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ksk\Documents\Models\"/>
    </mc:Choice>
  </mc:AlternateContent>
  <xr:revisionPtr revIDLastSave="0" documentId="8_{55A4255E-3622-47A0-8878-A0BD85726697}" xr6:coauthVersionLast="47" xr6:coauthVersionMax="47" xr10:uidLastSave="{00000000-0000-0000-0000-000000000000}"/>
  <bookViews>
    <workbookView xWindow="-120" yWindow="-120" windowWidth="38640" windowHeight="21240" activeTab="1" xr2:uid="{92810BD6-C4FE-44F7-BDA1-6EEEB686DC43}"/>
  </bookViews>
  <sheets>
    <sheet name="Main" sheetId="1" r:id="rId1"/>
    <sheet name="Model" sheetId="2" r:id="rId2"/>
  </sheets>
  <definedNames>
    <definedName name="RMB">Main!$L$9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Z48" i="2" l="1"/>
  <c r="AP40" i="2"/>
  <c r="AQ40" i="2" s="1"/>
  <c r="AR40" i="2" s="1"/>
  <c r="AS40" i="2" s="1"/>
  <c r="AT40" i="2" s="1"/>
  <c r="AU40" i="2" s="1"/>
  <c r="AV40" i="2" s="1"/>
  <c r="AW40" i="2" s="1"/>
  <c r="AO40" i="2"/>
  <c r="AQ42" i="2"/>
  <c r="AR42" i="2" s="1"/>
  <c r="AS42" i="2" s="1"/>
  <c r="AT42" i="2" s="1"/>
  <c r="AU42" i="2" s="1"/>
  <c r="AV42" i="2" s="1"/>
  <c r="AW42" i="2" s="1"/>
  <c r="AP42" i="2"/>
  <c r="AM42" i="2"/>
  <c r="AL42" i="2"/>
  <c r="AK42" i="2"/>
  <c r="AJ42" i="2"/>
  <c r="AI42" i="2"/>
  <c r="AH42" i="2"/>
  <c r="AG42" i="2"/>
  <c r="AF42" i="2"/>
  <c r="AE42" i="2"/>
  <c r="AD42" i="2"/>
  <c r="AC42" i="2"/>
  <c r="AN42" i="2"/>
  <c r="AP35" i="2"/>
  <c r="AQ35" i="2" s="1"/>
  <c r="AR35" i="2" s="1"/>
  <c r="AS35" i="2" s="1"/>
  <c r="AT35" i="2" s="1"/>
  <c r="AU35" i="2" s="1"/>
  <c r="AV35" i="2" s="1"/>
  <c r="AW35" i="2" s="1"/>
  <c r="AO35" i="2"/>
  <c r="AN35" i="2"/>
  <c r="AO6" i="2"/>
  <c r="AP6" i="2" s="1"/>
  <c r="AQ6" i="2" s="1"/>
  <c r="AR6" i="2" s="1"/>
  <c r="AS6" i="2" s="1"/>
  <c r="AT6" i="2" s="1"/>
  <c r="AU6" i="2" s="1"/>
  <c r="AV6" i="2" s="1"/>
  <c r="AW6" i="2" s="1"/>
  <c r="AO8" i="2"/>
  <c r="AP8" i="2" s="1"/>
  <c r="AQ8" i="2" s="1"/>
  <c r="AR8" i="2" s="1"/>
  <c r="AS8" i="2" s="1"/>
  <c r="AT8" i="2" s="1"/>
  <c r="AU8" i="2" s="1"/>
  <c r="AV8" i="2" s="1"/>
  <c r="AW8" i="2" s="1"/>
  <c r="AO10" i="2"/>
  <c r="AP10" i="2" s="1"/>
  <c r="AQ10" i="2" s="1"/>
  <c r="AR10" i="2" s="1"/>
  <c r="AS10" i="2" s="1"/>
  <c r="AT10" i="2" s="1"/>
  <c r="AU10" i="2" s="1"/>
  <c r="AV10" i="2" s="1"/>
  <c r="AW10" i="2" s="1"/>
  <c r="AO12" i="2"/>
  <c r="AP12" i="2" s="1"/>
  <c r="AO16" i="2"/>
  <c r="AP16" i="2" s="1"/>
  <c r="AQ16" i="2" s="1"/>
  <c r="AR16" i="2" s="1"/>
  <c r="AS16" i="2" s="1"/>
  <c r="AT16" i="2" s="1"/>
  <c r="AU16" i="2" s="1"/>
  <c r="AV16" i="2" s="1"/>
  <c r="AW16" i="2" s="1"/>
  <c r="AO21" i="2"/>
  <c r="AP21" i="2" s="1"/>
  <c r="AQ21" i="2" s="1"/>
  <c r="AR21" i="2" s="1"/>
  <c r="AS21" i="2" s="1"/>
  <c r="AT21" i="2" s="1"/>
  <c r="AU21" i="2" s="1"/>
  <c r="AV21" i="2" s="1"/>
  <c r="AW21" i="2" s="1"/>
  <c r="AP25" i="2"/>
  <c r="AQ25" i="2" s="1"/>
  <c r="AO25" i="2"/>
  <c r="AO32" i="2"/>
  <c r="AP32" i="2" s="1"/>
  <c r="AQ32" i="2" s="1"/>
  <c r="AR32" i="2" s="1"/>
  <c r="AS32" i="2" s="1"/>
  <c r="AT32" i="2" s="1"/>
  <c r="AU32" i="2" s="1"/>
  <c r="AV32" i="2" s="1"/>
  <c r="AW32" i="2" s="1"/>
  <c r="AO31" i="2"/>
  <c r="AO33" i="2" s="1"/>
  <c r="AP30" i="2"/>
  <c r="AQ30" i="2" s="1"/>
  <c r="AO30" i="2"/>
  <c r="AN49" i="2"/>
  <c r="AM51" i="2"/>
  <c r="AL51" i="2"/>
  <c r="AK51" i="2"/>
  <c r="AJ51" i="2"/>
  <c r="AI51" i="2"/>
  <c r="AH51" i="2"/>
  <c r="AG51" i="2"/>
  <c r="AF51" i="2"/>
  <c r="AE51" i="2"/>
  <c r="AD51" i="2"/>
  <c r="AM50" i="2"/>
  <c r="AL50" i="2"/>
  <c r="AK50" i="2"/>
  <c r="AJ50" i="2"/>
  <c r="AI50" i="2"/>
  <c r="AH50" i="2"/>
  <c r="AG50" i="2"/>
  <c r="AF50" i="2"/>
  <c r="AE50" i="2"/>
  <c r="AD50" i="2"/>
  <c r="AM49" i="2"/>
  <c r="AL49" i="2"/>
  <c r="AK49" i="2"/>
  <c r="AJ49" i="2"/>
  <c r="AI49" i="2"/>
  <c r="AH49" i="2"/>
  <c r="AG49" i="2"/>
  <c r="AF49" i="2"/>
  <c r="AE49" i="2"/>
  <c r="AD49" i="2"/>
  <c r="AN51" i="2"/>
  <c r="AN50" i="2"/>
  <c r="AN40" i="2"/>
  <c r="AN46" i="2"/>
  <c r="AN45" i="2"/>
  <c r="AN37" i="2"/>
  <c r="AN32" i="2"/>
  <c r="AN33" i="2" s="1"/>
  <c r="AN31" i="2"/>
  <c r="AN30" i="2"/>
  <c r="AN28" i="2"/>
  <c r="AN44" i="2"/>
  <c r="AM44" i="2"/>
  <c r="AN27" i="2"/>
  <c r="AN26" i="2"/>
  <c r="AM26" i="2"/>
  <c r="AL26" i="2"/>
  <c r="AN22" i="2"/>
  <c r="AN13" i="2"/>
  <c r="AM19" i="2"/>
  <c r="AL19" i="2"/>
  <c r="AK19" i="2"/>
  <c r="AJ19" i="2"/>
  <c r="AN17" i="2"/>
  <c r="AM17" i="2"/>
  <c r="AL17" i="2"/>
  <c r="AK17" i="2"/>
  <c r="AJ17" i="2"/>
  <c r="AN7" i="2"/>
  <c r="AM7" i="2"/>
  <c r="AL7" i="2"/>
  <c r="AN9" i="2"/>
  <c r="AM9" i="2"/>
  <c r="AL9" i="2"/>
  <c r="AN14" i="2"/>
  <c r="AM14" i="2"/>
  <c r="AL14" i="2"/>
  <c r="AK14" i="2"/>
  <c r="AI27" i="2"/>
  <c r="AI29" i="2" s="1"/>
  <c r="AI45" i="2" s="1"/>
  <c r="AM11" i="2"/>
  <c r="AL11" i="2"/>
  <c r="AN11" i="2"/>
  <c r="AN25" i="2"/>
  <c r="AN24" i="2"/>
  <c r="AN23" i="2"/>
  <c r="AN21" i="2"/>
  <c r="AN20" i="2"/>
  <c r="AN18" i="2"/>
  <c r="AN16" i="2"/>
  <c r="AN12" i="2"/>
  <c r="AN10" i="2"/>
  <c r="AN8" i="2"/>
  <c r="AN6" i="2"/>
  <c r="Z12" i="2"/>
  <c r="Y12" i="2"/>
  <c r="X12" i="2"/>
  <c r="W13" i="2"/>
  <c r="U19" i="2"/>
  <c r="T19" i="2"/>
  <c r="S19" i="2"/>
  <c r="R19" i="2"/>
  <c r="Q19" i="2"/>
  <c r="P19" i="2"/>
  <c r="O19" i="2"/>
  <c r="V19" i="2"/>
  <c r="Z6" i="2"/>
  <c r="Y6" i="2"/>
  <c r="X6" i="2"/>
  <c r="Z8" i="2"/>
  <c r="Y8" i="2"/>
  <c r="X8" i="2"/>
  <c r="Z10" i="2"/>
  <c r="Y10" i="2"/>
  <c r="X10" i="2"/>
  <c r="W7" i="2"/>
  <c r="V7" i="2"/>
  <c r="U7" i="2"/>
  <c r="T7" i="2"/>
  <c r="S7" i="2"/>
  <c r="R7" i="2"/>
  <c r="Q7" i="2"/>
  <c r="P7" i="2"/>
  <c r="O7" i="2"/>
  <c r="W9" i="2"/>
  <c r="V9" i="2"/>
  <c r="U9" i="2"/>
  <c r="T9" i="2"/>
  <c r="S9" i="2"/>
  <c r="R9" i="2"/>
  <c r="Q9" i="2"/>
  <c r="P9" i="2"/>
  <c r="O9" i="2"/>
  <c r="O11" i="2"/>
  <c r="O17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K27" i="2"/>
  <c r="K29" i="2" s="1"/>
  <c r="K45" i="2" s="1"/>
  <c r="J14" i="2"/>
  <c r="J27" i="2" s="1"/>
  <c r="AJ27" i="2"/>
  <c r="AJ29" i="2" s="1"/>
  <c r="AJ45" i="2" s="1"/>
  <c r="AH29" i="2"/>
  <c r="AH45" i="2" s="1"/>
  <c r="AG44" i="2"/>
  <c r="AF44" i="2"/>
  <c r="AE29" i="2"/>
  <c r="AE45" i="2" s="1"/>
  <c r="AD29" i="2"/>
  <c r="AD45" i="2" s="1"/>
  <c r="AJ22" i="2"/>
  <c r="AI22" i="2"/>
  <c r="AK24" i="2"/>
  <c r="AK23" i="2"/>
  <c r="AK21" i="2"/>
  <c r="AK22" i="2" s="1"/>
  <c r="AK20" i="2"/>
  <c r="AK18" i="2"/>
  <c r="AK16" i="2"/>
  <c r="AK12" i="2"/>
  <c r="AK10" i="2"/>
  <c r="AK8" i="2"/>
  <c r="AK6" i="2"/>
  <c r="O51" i="2"/>
  <c r="O50" i="2"/>
  <c r="O49" i="2"/>
  <c r="I14" i="2"/>
  <c r="H14" i="2"/>
  <c r="G14" i="2"/>
  <c r="AM24" i="2"/>
  <c r="AL24" i="2"/>
  <c r="AM23" i="2"/>
  <c r="AL23" i="2"/>
  <c r="AM21" i="2"/>
  <c r="AL21" i="2"/>
  <c r="AM22" i="2" s="1"/>
  <c r="AM20" i="2"/>
  <c r="AL20" i="2"/>
  <c r="AM18" i="2"/>
  <c r="AL18" i="2"/>
  <c r="AM16" i="2"/>
  <c r="AL16" i="2"/>
  <c r="AM12" i="2"/>
  <c r="AL12" i="2"/>
  <c r="AM10" i="2"/>
  <c r="AL10" i="2"/>
  <c r="AM8" i="2"/>
  <c r="AL8" i="2"/>
  <c r="AM6" i="2"/>
  <c r="AL6" i="2"/>
  <c r="X40" i="2"/>
  <c r="Y40" i="2" s="1"/>
  <c r="Z40" i="2" s="1"/>
  <c r="Z35" i="2"/>
  <c r="Y35" i="2"/>
  <c r="X35" i="2"/>
  <c r="Z32" i="2"/>
  <c r="Y32" i="2"/>
  <c r="X32" i="2"/>
  <c r="Z31" i="2"/>
  <c r="Y31" i="2"/>
  <c r="X31" i="2"/>
  <c r="Z30" i="2"/>
  <c r="Y30" i="2"/>
  <c r="X30" i="2"/>
  <c r="W51" i="2"/>
  <c r="V51" i="2"/>
  <c r="U51" i="2"/>
  <c r="T51" i="2"/>
  <c r="S51" i="2"/>
  <c r="R51" i="2"/>
  <c r="Q51" i="2"/>
  <c r="P51" i="2"/>
  <c r="W50" i="2"/>
  <c r="V50" i="2"/>
  <c r="U50" i="2"/>
  <c r="T50" i="2"/>
  <c r="S50" i="2"/>
  <c r="R50" i="2"/>
  <c r="Q50" i="2"/>
  <c r="P50" i="2"/>
  <c r="W49" i="2"/>
  <c r="V49" i="2"/>
  <c r="U49" i="2"/>
  <c r="T49" i="2"/>
  <c r="S49" i="2"/>
  <c r="R49" i="2"/>
  <c r="Q49" i="2"/>
  <c r="P49" i="2"/>
  <c r="Z16" i="2"/>
  <c r="Y16" i="2"/>
  <c r="X16" i="2"/>
  <c r="W17" i="2"/>
  <c r="V17" i="2"/>
  <c r="U17" i="2"/>
  <c r="T17" i="2"/>
  <c r="S17" i="2"/>
  <c r="R17" i="2"/>
  <c r="Q17" i="2"/>
  <c r="P17" i="2"/>
  <c r="Z21" i="2"/>
  <c r="Y21" i="2"/>
  <c r="X21" i="2"/>
  <c r="V22" i="2"/>
  <c r="U22" i="2"/>
  <c r="T22" i="2"/>
  <c r="S22" i="2"/>
  <c r="R22" i="2"/>
  <c r="Q22" i="2"/>
  <c r="P22" i="2"/>
  <c r="W22" i="2"/>
  <c r="AM40" i="2"/>
  <c r="AM32" i="2"/>
  <c r="AM31" i="2"/>
  <c r="AM30" i="2"/>
  <c r="AM28" i="2"/>
  <c r="L5" i="1"/>
  <c r="L6" i="1"/>
  <c r="O2" i="1"/>
  <c r="O6" i="1"/>
  <c r="L3" i="1"/>
  <c r="W25" i="2"/>
  <c r="W33" i="2"/>
  <c r="V33" i="2"/>
  <c r="V25" i="2"/>
  <c r="Z25" i="2" s="1"/>
  <c r="V1" i="2"/>
  <c r="W1" i="2" s="1"/>
  <c r="X1" i="2" s="1"/>
  <c r="Y1" i="2" s="1"/>
  <c r="Z1" i="2" s="1"/>
  <c r="T33" i="2"/>
  <c r="T25" i="2"/>
  <c r="X25" i="2" s="1"/>
  <c r="U33" i="2"/>
  <c r="U25" i="2"/>
  <c r="Y25" i="2" s="1"/>
  <c r="AC37" i="2"/>
  <c r="AC35" i="2"/>
  <c r="AC33" i="2"/>
  <c r="AC29" i="2"/>
  <c r="AC45" i="2" s="1"/>
  <c r="AE44" i="2"/>
  <c r="AD37" i="2"/>
  <c r="AD35" i="2"/>
  <c r="AD33" i="2"/>
  <c r="AE37" i="2"/>
  <c r="AE35" i="2"/>
  <c r="AE33" i="2"/>
  <c r="AF37" i="2"/>
  <c r="AF35" i="2"/>
  <c r="AF33" i="2"/>
  <c r="AG37" i="2"/>
  <c r="AG35" i="2"/>
  <c r="AG33" i="2"/>
  <c r="AG29" i="2"/>
  <c r="AG45" i="2" s="1"/>
  <c r="AL40" i="2"/>
  <c r="AL32" i="2"/>
  <c r="AL31" i="2"/>
  <c r="AL30" i="2"/>
  <c r="AL28" i="2"/>
  <c r="P37" i="2"/>
  <c r="P35" i="2"/>
  <c r="L37" i="2"/>
  <c r="L35" i="2"/>
  <c r="P25" i="2"/>
  <c r="L25" i="2"/>
  <c r="M37" i="2"/>
  <c r="Q37" i="2"/>
  <c r="Q35" i="2"/>
  <c r="M35" i="2"/>
  <c r="M25" i="2"/>
  <c r="Q25" i="2"/>
  <c r="AK37" i="2"/>
  <c r="AK35" i="2"/>
  <c r="AK33" i="2"/>
  <c r="AK29" i="2"/>
  <c r="AK45" i="2" s="1"/>
  <c r="N37" i="2"/>
  <c r="N35" i="2"/>
  <c r="R35" i="2"/>
  <c r="N33" i="2"/>
  <c r="R37" i="2"/>
  <c r="R25" i="2"/>
  <c r="N25" i="2"/>
  <c r="O25" i="2"/>
  <c r="O37" i="2"/>
  <c r="O35" i="2"/>
  <c r="O33" i="2"/>
  <c r="S73" i="2"/>
  <c r="O73" i="2"/>
  <c r="S66" i="2"/>
  <c r="S60" i="2"/>
  <c r="S61" i="2"/>
  <c r="S64" i="2"/>
  <c r="S57" i="2"/>
  <c r="S54" i="2"/>
  <c r="S55" i="2"/>
  <c r="O4" i="1"/>
  <c r="O7" i="1" s="1"/>
  <c r="L4" i="1"/>
  <c r="L7" i="1" s="1"/>
  <c r="S37" i="2"/>
  <c r="AM37" i="2" s="1"/>
  <c r="S35" i="2"/>
  <c r="AM35" i="2" s="1"/>
  <c r="S33" i="2"/>
  <c r="R33" i="2"/>
  <c r="Q33" i="2"/>
  <c r="P33" i="2"/>
  <c r="M33" i="2"/>
  <c r="L33" i="2"/>
  <c r="K33" i="2"/>
  <c r="S25" i="2"/>
  <c r="N1" i="2"/>
  <c r="R1" i="2" s="1"/>
  <c r="S1" i="2" s="1"/>
  <c r="AH35" i="2"/>
  <c r="AH33" i="2"/>
  <c r="AJ35" i="2"/>
  <c r="AJ33" i="2"/>
  <c r="AI35" i="2"/>
  <c r="AI33" i="2"/>
  <c r="AK1" i="2"/>
  <c r="AL1" i="2" s="1"/>
  <c r="AM1" i="2" s="1"/>
  <c r="AN1" i="2" s="1"/>
  <c r="AO1" i="2" s="1"/>
  <c r="AP1" i="2" s="1"/>
  <c r="AJ2" i="2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J37" i="2"/>
  <c r="F37" i="2"/>
  <c r="I36" i="2"/>
  <c r="I38" i="2" s="1"/>
  <c r="H36" i="2"/>
  <c r="H38" i="2" s="1"/>
  <c r="G36" i="2"/>
  <c r="G38" i="2" s="1"/>
  <c r="J35" i="2"/>
  <c r="F35" i="2"/>
  <c r="J33" i="2"/>
  <c r="F33" i="2"/>
  <c r="I29" i="2"/>
  <c r="H29" i="2"/>
  <c r="G29" i="2"/>
  <c r="F14" i="2"/>
  <c r="F27" i="2" s="1"/>
  <c r="AO14" i="2" l="1"/>
  <c r="AO27" i="2" s="1"/>
  <c r="AP14" i="2"/>
  <c r="AQ12" i="2"/>
  <c r="AR25" i="2"/>
  <c r="AS25" i="2" s="1"/>
  <c r="AT25" i="2" s="1"/>
  <c r="AO44" i="2"/>
  <c r="AP31" i="2"/>
  <c r="AQ31" i="2" s="1"/>
  <c r="AR31" i="2" s="1"/>
  <c r="AS31" i="2" s="1"/>
  <c r="AT31" i="2" s="1"/>
  <c r="AU31" i="2" s="1"/>
  <c r="AV31" i="2" s="1"/>
  <c r="AW31" i="2" s="1"/>
  <c r="AR30" i="2"/>
  <c r="W15" i="2"/>
  <c r="X14" i="2"/>
  <c r="X15" i="2" s="1"/>
  <c r="Y14" i="2"/>
  <c r="Y15" i="2" s="1"/>
  <c r="Z14" i="2"/>
  <c r="Z15" i="2" s="1"/>
  <c r="AM33" i="2"/>
  <c r="AK25" i="2"/>
  <c r="Z33" i="2"/>
  <c r="AL25" i="2"/>
  <c r="AM25" i="2"/>
  <c r="AL27" i="2"/>
  <c r="AM27" i="2"/>
  <c r="AL22" i="2"/>
  <c r="Q26" i="2"/>
  <c r="AP27" i="2"/>
  <c r="AP44" i="2" s="1"/>
  <c r="K34" i="2"/>
  <c r="S27" i="2"/>
  <c r="S29" i="2" s="1"/>
  <c r="AD44" i="2"/>
  <c r="AF29" i="2"/>
  <c r="AF45" i="2" s="1"/>
  <c r="AH44" i="2"/>
  <c r="AN29" i="2"/>
  <c r="AN34" i="2" s="1"/>
  <c r="AN36" i="2" s="1"/>
  <c r="AN38" i="2" s="1"/>
  <c r="X33" i="2"/>
  <c r="Y33" i="2"/>
  <c r="R26" i="2"/>
  <c r="P26" i="2"/>
  <c r="W26" i="2"/>
  <c r="S26" i="2"/>
  <c r="V26" i="2"/>
  <c r="T26" i="2"/>
  <c r="X27" i="2"/>
  <c r="X28" i="2" s="1"/>
  <c r="U26" i="2"/>
  <c r="R15" i="2"/>
  <c r="R11" i="2" s="1"/>
  <c r="S15" i="2"/>
  <c r="S11" i="2" s="1"/>
  <c r="Q15" i="2"/>
  <c r="Q11" i="2" s="1"/>
  <c r="P15" i="2"/>
  <c r="P11" i="2" s="1"/>
  <c r="Y27" i="2"/>
  <c r="Y28" i="2" s="1"/>
  <c r="Z27" i="2"/>
  <c r="Z28" i="2" s="1"/>
  <c r="V15" i="2"/>
  <c r="V11" i="2" s="1"/>
  <c r="T15" i="2"/>
  <c r="U15" i="2"/>
  <c r="Q27" i="2"/>
  <c r="Q29" i="2" s="1"/>
  <c r="T27" i="2"/>
  <c r="M27" i="2"/>
  <c r="M29" i="2" s="1"/>
  <c r="N27" i="2"/>
  <c r="N29" i="2" s="1"/>
  <c r="R27" i="2"/>
  <c r="V27" i="2"/>
  <c r="V29" i="2" s="1"/>
  <c r="P27" i="2"/>
  <c r="U27" i="2"/>
  <c r="L27" i="2"/>
  <c r="L29" i="2" s="1"/>
  <c r="W27" i="2"/>
  <c r="W29" i="2" s="1"/>
  <c r="W45" i="2" s="1"/>
  <c r="O27" i="2"/>
  <c r="J29" i="2"/>
  <c r="S53" i="2"/>
  <c r="AC34" i="2"/>
  <c r="AD34" i="2"/>
  <c r="AD46" i="2" s="1"/>
  <c r="AE34" i="2"/>
  <c r="AJ44" i="2"/>
  <c r="AI44" i="2"/>
  <c r="AK44" i="2"/>
  <c r="AG34" i="2"/>
  <c r="AL37" i="2"/>
  <c r="AL35" i="2"/>
  <c r="AL33" i="2"/>
  <c r="AK34" i="2"/>
  <c r="S67" i="2"/>
  <c r="S58" i="2"/>
  <c r="J44" i="2"/>
  <c r="F29" i="2"/>
  <c r="F34" i="2" s="1"/>
  <c r="F36" i="2" s="1"/>
  <c r="F38" i="2" s="1"/>
  <c r="F39" i="2" s="1"/>
  <c r="AH34" i="2"/>
  <c r="AJ34" i="2"/>
  <c r="AI34" i="2"/>
  <c r="AN39" i="2" l="1"/>
  <c r="AN47" i="2"/>
  <c r="AQ33" i="2"/>
  <c r="AR12" i="2"/>
  <c r="AQ14" i="2"/>
  <c r="AQ27" i="2" s="1"/>
  <c r="AQ44" i="2" s="1"/>
  <c r="AU25" i="2"/>
  <c r="AP33" i="2"/>
  <c r="AS30" i="2"/>
  <c r="AR33" i="2"/>
  <c r="U11" i="2"/>
  <c r="T11" i="2"/>
  <c r="W11" i="2"/>
  <c r="AF34" i="2"/>
  <c r="O29" i="2"/>
  <c r="O44" i="2"/>
  <c r="K46" i="2"/>
  <c r="K36" i="2"/>
  <c r="J34" i="2"/>
  <c r="J45" i="2"/>
  <c r="T44" i="2"/>
  <c r="X44" i="2"/>
  <c r="X29" i="2"/>
  <c r="X34" i="2" s="1"/>
  <c r="Y44" i="2"/>
  <c r="L45" i="2"/>
  <c r="L34" i="2"/>
  <c r="M45" i="2"/>
  <c r="M34" i="2"/>
  <c r="M36" i="2" s="1"/>
  <c r="W34" i="2"/>
  <c r="W36" i="2" s="1"/>
  <c r="T29" i="2"/>
  <c r="T34" i="2" s="1"/>
  <c r="Q44" i="2"/>
  <c r="W44" i="2"/>
  <c r="Y29" i="2"/>
  <c r="Y34" i="2" s="1"/>
  <c r="Z29" i="2"/>
  <c r="Z34" i="2" s="1"/>
  <c r="AG36" i="2"/>
  <c r="AG38" i="2" s="1"/>
  <c r="AG46" i="2"/>
  <c r="AE36" i="2"/>
  <c r="AE38" i="2" s="1"/>
  <c r="AE46" i="2"/>
  <c r="AJ36" i="2"/>
  <c r="AJ38" i="2" s="1"/>
  <c r="AJ46" i="2"/>
  <c r="AK36" i="2"/>
  <c r="AK38" i="2" s="1"/>
  <c r="AK46" i="2"/>
  <c r="AF36" i="2"/>
  <c r="AF38" i="2" s="1"/>
  <c r="AF46" i="2"/>
  <c r="AI36" i="2"/>
  <c r="AI38" i="2" s="1"/>
  <c r="AI46" i="2"/>
  <c r="AH36" i="2"/>
  <c r="AH38" i="2" s="1"/>
  <c r="AH46" i="2"/>
  <c r="AC36" i="2"/>
  <c r="AC38" i="2" s="1"/>
  <c r="AC46" i="2"/>
  <c r="L36" i="2"/>
  <c r="L46" i="2"/>
  <c r="S34" i="2"/>
  <c r="S45" i="2"/>
  <c r="V34" i="2"/>
  <c r="V45" i="2"/>
  <c r="O34" i="2"/>
  <c r="O45" i="2"/>
  <c r="N34" i="2"/>
  <c r="N45" i="2"/>
  <c r="Q34" i="2"/>
  <c r="Q45" i="2"/>
  <c r="V44" i="2"/>
  <c r="Z44" i="2"/>
  <c r="U44" i="2"/>
  <c r="U29" i="2"/>
  <c r="AL44" i="2"/>
  <c r="AM29" i="2"/>
  <c r="AD36" i="2"/>
  <c r="AD38" i="2" s="1"/>
  <c r="P44" i="2"/>
  <c r="P29" i="2"/>
  <c r="R44" i="2"/>
  <c r="R29" i="2"/>
  <c r="S44" i="2"/>
  <c r="AS12" i="2" l="1"/>
  <c r="AR14" i="2"/>
  <c r="AR27" i="2" s="1"/>
  <c r="AR44" i="2" s="1"/>
  <c r="AV25" i="2"/>
  <c r="AT30" i="2"/>
  <c r="AS33" i="2"/>
  <c r="K42" i="2"/>
  <c r="K38" i="2"/>
  <c r="T45" i="2"/>
  <c r="J36" i="2"/>
  <c r="J38" i="2" s="1"/>
  <c r="J46" i="2"/>
  <c r="M38" i="2"/>
  <c r="M39" i="2" s="1"/>
  <c r="M42" i="2"/>
  <c r="L38" i="2"/>
  <c r="L47" i="2" s="1"/>
  <c r="L42" i="2"/>
  <c r="W38" i="2"/>
  <c r="W39" i="2" s="1"/>
  <c r="W42" i="2"/>
  <c r="X36" i="2"/>
  <c r="X46" i="2"/>
  <c r="Z36" i="2"/>
  <c r="Z46" i="2"/>
  <c r="Y36" i="2"/>
  <c r="Y46" i="2"/>
  <c r="W46" i="2"/>
  <c r="M46" i="2"/>
  <c r="AJ39" i="2"/>
  <c r="AJ47" i="2"/>
  <c r="AH39" i="2"/>
  <c r="AH47" i="2"/>
  <c r="AC39" i="2"/>
  <c r="AC47" i="2"/>
  <c r="AI39" i="2"/>
  <c r="AI47" i="2"/>
  <c r="AF39" i="2"/>
  <c r="AF47" i="2"/>
  <c r="AK39" i="2"/>
  <c r="AK47" i="2"/>
  <c r="AE39" i="2"/>
  <c r="AE47" i="2"/>
  <c r="AD39" i="2"/>
  <c r="AD47" i="2"/>
  <c r="AG39" i="2"/>
  <c r="AG47" i="2"/>
  <c r="O36" i="2"/>
  <c r="O46" i="2"/>
  <c r="T36" i="2"/>
  <c r="T46" i="2"/>
  <c r="N36" i="2"/>
  <c r="N46" i="2"/>
  <c r="V36" i="2"/>
  <c r="V46" i="2"/>
  <c r="S36" i="2"/>
  <c r="S46" i="2"/>
  <c r="L39" i="2"/>
  <c r="Q36" i="2"/>
  <c r="Q46" i="2"/>
  <c r="AM45" i="2"/>
  <c r="AM34" i="2"/>
  <c r="U34" i="2"/>
  <c r="U45" i="2"/>
  <c r="R34" i="2"/>
  <c r="R45" i="2"/>
  <c r="P34" i="2"/>
  <c r="P45" i="2"/>
  <c r="AL29" i="2"/>
  <c r="AL45" i="2" s="1"/>
  <c r="AT12" i="2" l="1"/>
  <c r="AS14" i="2"/>
  <c r="AS27" i="2" s="1"/>
  <c r="AS44" i="2" s="1"/>
  <c r="AW25" i="2"/>
  <c r="AU30" i="2"/>
  <c r="AT33" i="2"/>
  <c r="M47" i="2"/>
  <c r="K47" i="2"/>
  <c r="K39" i="2"/>
  <c r="J39" i="2"/>
  <c r="J47" i="2"/>
  <c r="T38" i="2"/>
  <c r="T39" i="2" s="1"/>
  <c r="T42" i="2"/>
  <c r="W47" i="2"/>
  <c r="V38" i="2"/>
  <c r="V39" i="2" s="1"/>
  <c r="V42" i="2"/>
  <c r="N38" i="2"/>
  <c r="N39" i="2" s="1"/>
  <c r="N42" i="2"/>
  <c r="Z37" i="2"/>
  <c r="Z38" i="2" s="1"/>
  <c r="X37" i="2"/>
  <c r="X38" i="2" s="1"/>
  <c r="Q38" i="2"/>
  <c r="Q47" i="2" s="1"/>
  <c r="Q42" i="2"/>
  <c r="S38" i="2"/>
  <c r="S39" i="2" s="1"/>
  <c r="S42" i="2"/>
  <c r="Y37" i="2"/>
  <c r="Y38" i="2" s="1"/>
  <c r="O38" i="2"/>
  <c r="O39" i="2" s="1"/>
  <c r="O42" i="2"/>
  <c r="U36" i="2"/>
  <c r="U46" i="2"/>
  <c r="AM36" i="2"/>
  <c r="AM38" i="2" s="1"/>
  <c r="AM46" i="2"/>
  <c r="R36" i="2"/>
  <c r="R46" i="2"/>
  <c r="P36" i="2"/>
  <c r="P46" i="2"/>
  <c r="AL34" i="2"/>
  <c r="AU12" i="2" l="1"/>
  <c r="AT14" i="2"/>
  <c r="AT27" i="2" s="1"/>
  <c r="AT44" i="2" s="1"/>
  <c r="AV30" i="2"/>
  <c r="AU33" i="2"/>
  <c r="T47" i="2"/>
  <c r="V47" i="2"/>
  <c r="O47" i="2"/>
  <c r="N47" i="2"/>
  <c r="Y47" i="2"/>
  <c r="Y39" i="2"/>
  <c r="X39" i="2"/>
  <c r="X47" i="2"/>
  <c r="Z39" i="2"/>
  <c r="Z47" i="2"/>
  <c r="Q39" i="2"/>
  <c r="R38" i="2"/>
  <c r="R47" i="2" s="1"/>
  <c r="R42" i="2"/>
  <c r="S47" i="2"/>
  <c r="P38" i="2"/>
  <c r="P42" i="2"/>
  <c r="U38" i="2"/>
  <c r="U39" i="2" s="1"/>
  <c r="U42" i="2"/>
  <c r="AL36" i="2"/>
  <c r="AL38" i="2" s="1"/>
  <c r="AL46" i="2"/>
  <c r="AM47" i="2"/>
  <c r="AM39" i="2"/>
  <c r="P39" i="2"/>
  <c r="P47" i="2"/>
  <c r="AV12" i="2" l="1"/>
  <c r="AU14" i="2"/>
  <c r="AU27" i="2" s="1"/>
  <c r="AU44" i="2" s="1"/>
  <c r="AW30" i="2"/>
  <c r="AW33" i="2" s="1"/>
  <c r="AV33" i="2"/>
  <c r="R39" i="2"/>
  <c r="U47" i="2"/>
  <c r="AL39" i="2"/>
  <c r="AL47" i="2"/>
  <c r="AO28" i="2"/>
  <c r="AO29" i="2" s="1"/>
  <c r="AO34" i="2" s="1"/>
  <c r="AW12" i="2" l="1"/>
  <c r="AW14" i="2" s="1"/>
  <c r="AW27" i="2" s="1"/>
  <c r="AV14" i="2"/>
  <c r="AV27" i="2" s="1"/>
  <c r="AV44" i="2" s="1"/>
  <c r="AO46" i="2"/>
  <c r="AO36" i="2"/>
  <c r="AO37" i="2" l="1"/>
  <c r="AO38" i="2" s="1"/>
  <c r="AW44" i="2"/>
  <c r="AP28" i="2"/>
  <c r="AP29" i="2" s="1"/>
  <c r="AP34" i="2" s="1"/>
  <c r="AO39" i="2" l="1"/>
  <c r="AO47" i="2"/>
  <c r="AP46" i="2"/>
  <c r="AP36" i="2"/>
  <c r="AP37" i="2" l="1"/>
  <c r="AP38" i="2" s="1"/>
  <c r="AQ28" i="2"/>
  <c r="AQ29" i="2" s="1"/>
  <c r="AQ34" i="2" s="1"/>
  <c r="AP39" i="2" l="1"/>
  <c r="AP47" i="2"/>
  <c r="AQ36" i="2"/>
  <c r="AQ46" i="2"/>
  <c r="AQ37" i="2" l="1"/>
  <c r="AQ38" i="2" s="1"/>
  <c r="AR28" i="2"/>
  <c r="AR29" i="2" s="1"/>
  <c r="AR34" i="2" s="1"/>
  <c r="AQ39" i="2" l="1"/>
  <c r="AQ47" i="2"/>
  <c r="AR46" i="2"/>
  <c r="AR36" i="2"/>
  <c r="AR37" i="2" l="1"/>
  <c r="AR38" i="2" s="1"/>
  <c r="AS28" i="2"/>
  <c r="AS29" i="2" s="1"/>
  <c r="AS34" i="2" s="1"/>
  <c r="AR47" i="2" l="1"/>
  <c r="AR39" i="2"/>
  <c r="AS46" i="2"/>
  <c r="AS36" i="2"/>
  <c r="AS37" i="2" l="1"/>
  <c r="AS38" i="2" s="1"/>
  <c r="AT28" i="2"/>
  <c r="AT29" i="2" s="1"/>
  <c r="AT34" i="2" s="1"/>
  <c r="AS47" i="2" l="1"/>
  <c r="AS39" i="2"/>
  <c r="AT36" i="2"/>
  <c r="AT46" i="2"/>
  <c r="AT37" i="2" l="1"/>
  <c r="AT38" i="2" s="1"/>
  <c r="AU28" i="2"/>
  <c r="AU29" i="2" s="1"/>
  <c r="AU34" i="2" s="1"/>
  <c r="AT39" i="2" l="1"/>
  <c r="AT47" i="2"/>
  <c r="AU46" i="2"/>
  <c r="AU36" i="2"/>
  <c r="AU37" i="2" l="1"/>
  <c r="AU38" i="2" s="1"/>
  <c r="AV28" i="2"/>
  <c r="AV29" i="2" s="1"/>
  <c r="AV34" i="2" s="1"/>
  <c r="AU39" i="2" l="1"/>
  <c r="AU47" i="2"/>
  <c r="AV36" i="2"/>
  <c r="AV46" i="2"/>
  <c r="AV37" i="2" l="1"/>
  <c r="AV38" i="2" s="1"/>
  <c r="AW28" i="2"/>
  <c r="AW29" i="2" s="1"/>
  <c r="AW34" i="2" s="1"/>
  <c r="AV39" i="2" l="1"/>
  <c r="AV47" i="2"/>
  <c r="AW36" i="2"/>
  <c r="AW46" i="2"/>
  <c r="AW37" i="2" l="1"/>
  <c r="AW38" i="2" s="1"/>
  <c r="AX38" i="2" l="1"/>
  <c r="AY38" i="2" s="1"/>
  <c r="AZ38" i="2" s="1"/>
  <c r="BA38" i="2" s="1"/>
  <c r="BB38" i="2" s="1"/>
  <c r="BC38" i="2" s="1"/>
  <c r="BD38" i="2" s="1"/>
  <c r="BE38" i="2" s="1"/>
  <c r="BF38" i="2" s="1"/>
  <c r="BG38" i="2" s="1"/>
  <c r="BH38" i="2" s="1"/>
  <c r="BI38" i="2" s="1"/>
  <c r="BJ38" i="2" s="1"/>
  <c r="BK38" i="2" s="1"/>
  <c r="BL38" i="2" s="1"/>
  <c r="BM38" i="2" s="1"/>
  <c r="BN38" i="2" s="1"/>
  <c r="BO38" i="2" s="1"/>
  <c r="BP38" i="2" s="1"/>
  <c r="BQ38" i="2" s="1"/>
  <c r="BR38" i="2" s="1"/>
  <c r="BS38" i="2" s="1"/>
  <c r="BT38" i="2" s="1"/>
  <c r="BU38" i="2" s="1"/>
  <c r="BV38" i="2" s="1"/>
  <c r="BW38" i="2" s="1"/>
  <c r="BX38" i="2" s="1"/>
  <c r="BY38" i="2" s="1"/>
  <c r="BZ38" i="2" s="1"/>
  <c r="CA38" i="2" s="1"/>
  <c r="CB38" i="2" s="1"/>
  <c r="CC38" i="2" s="1"/>
  <c r="CD38" i="2" s="1"/>
  <c r="CE38" i="2" s="1"/>
  <c r="CF38" i="2" s="1"/>
  <c r="CG38" i="2" s="1"/>
  <c r="CH38" i="2" s="1"/>
  <c r="CI38" i="2" s="1"/>
  <c r="CJ38" i="2" s="1"/>
  <c r="CK38" i="2" s="1"/>
  <c r="CL38" i="2" s="1"/>
  <c r="CM38" i="2" s="1"/>
  <c r="CN38" i="2" s="1"/>
  <c r="CO38" i="2" s="1"/>
  <c r="CP38" i="2" s="1"/>
  <c r="CQ38" i="2" s="1"/>
  <c r="CR38" i="2" s="1"/>
  <c r="CS38" i="2" s="1"/>
  <c r="CT38" i="2" s="1"/>
  <c r="CU38" i="2" s="1"/>
  <c r="CV38" i="2" s="1"/>
  <c r="CW38" i="2" s="1"/>
  <c r="CX38" i="2" s="1"/>
  <c r="CY38" i="2" s="1"/>
  <c r="CZ38" i="2" s="1"/>
  <c r="DA38" i="2" s="1"/>
  <c r="DB38" i="2" s="1"/>
  <c r="DC38" i="2" s="1"/>
  <c r="DD38" i="2" s="1"/>
  <c r="DE38" i="2" s="1"/>
  <c r="DF38" i="2" s="1"/>
  <c r="DG38" i="2" s="1"/>
  <c r="DH38" i="2" s="1"/>
  <c r="DI38" i="2" s="1"/>
  <c r="DJ38" i="2" s="1"/>
  <c r="DK38" i="2" s="1"/>
  <c r="DL38" i="2" s="1"/>
  <c r="DM38" i="2" s="1"/>
  <c r="DN38" i="2" s="1"/>
  <c r="DO38" i="2" s="1"/>
  <c r="DP38" i="2" s="1"/>
  <c r="DQ38" i="2" s="1"/>
  <c r="DR38" i="2" s="1"/>
  <c r="DS38" i="2" s="1"/>
  <c r="DT38" i="2" s="1"/>
  <c r="DU38" i="2" s="1"/>
  <c r="DV38" i="2" s="1"/>
  <c r="DW38" i="2" s="1"/>
  <c r="DX38" i="2" s="1"/>
  <c r="DY38" i="2" s="1"/>
  <c r="DZ38" i="2" s="1"/>
  <c r="EA38" i="2" s="1"/>
  <c r="EB38" i="2" s="1"/>
  <c r="AZ46" i="2" s="1"/>
  <c r="AZ47" i="2" s="1"/>
  <c r="AZ49" i="2" s="1"/>
  <c r="AW39" i="2"/>
  <c r="AW4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tc={3E07ACD7-4E54-48C5-9962-C9F093B3F815}</author>
    <author>tc={4391F7E9-01DA-4DA8-9DC2-CEF958A11960}</author>
    <author>tc={3DAC623C-748E-43C2-98AF-ABB4C3B09751}</author>
  </authors>
  <commentList>
    <comment ref="W12" authorId="0" shapeId="0" xr:uid="{3E07ACD7-4E54-48C5-9962-C9F093B3F815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Accounting, Instead of „Local Consumer“ -&gt; „Quick Commerce“</t>
      </text>
    </comment>
    <comment ref="W20" authorId="1" shapeId="0" xr:uid="{4391F7E9-01DA-4DA8-9DC2-CEF958A11960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into all others, undeer „Other - Eliminations“</t>
      </text>
    </comment>
    <comment ref="W44" authorId="2" shapeId="0" xr:uid="{3DAC623C-748E-43C2-98AF-ABB4C3B09751}">
      <text>
        <t>[Threaded comment]
Your version of Excel allows you to read this threaded comment; however, any edits to it will get removed if the file is opened in a newer version of Excel. Learn more: https://go.microsoft.com/fwlink/?linkid=870924
Comment:
    10 % LFL</t>
      </text>
    </comment>
  </commentList>
</comments>
</file>

<file path=xl/sharedStrings.xml><?xml version="1.0" encoding="utf-8"?>
<sst xmlns="http://schemas.openxmlformats.org/spreadsheetml/2006/main" count="116" uniqueCount="101">
  <si>
    <t>Shares</t>
  </si>
  <si>
    <t>EV</t>
  </si>
  <si>
    <t>5/26/22: FY22 results.</t>
  </si>
  <si>
    <t>HK Listing: 9988</t>
  </si>
  <si>
    <t>Main</t>
  </si>
  <si>
    <t>Revenue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</si>
  <si>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</si>
  <si>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</si>
  <si>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</si>
  <si>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</si>
  <si>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</si>
  <si>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</si>
  <si>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</si>
  <si>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</si>
  <si>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China Customer Management</t>
  </si>
  <si>
    <t>China Direct Sales</t>
  </si>
  <si>
    <t>China Wholesale</t>
  </si>
  <si>
    <t>China Retail</t>
  </si>
  <si>
    <t>International Retail</t>
  </si>
  <si>
    <t>Local Consumer</t>
  </si>
  <si>
    <t>Cainiao</t>
  </si>
  <si>
    <t>Cloud</t>
  </si>
  <si>
    <t>Digital Media</t>
  </si>
  <si>
    <t>Innovation</t>
  </si>
  <si>
    <t>COGS</t>
  </si>
  <si>
    <t>RMB 000s</t>
  </si>
  <si>
    <t>Gross Margin</t>
  </si>
  <si>
    <t>Product Development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</si>
  <si>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</si>
  <si>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</si>
  <si>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</si>
  <si>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</si>
  <si>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</si>
  <si>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</si>
  <si>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</si>
  <si>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</si>
  <si>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</si>
  <si>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Revenue Growth</t>
  </si>
  <si>
    <t>ADS = 8 ordinary shares</t>
  </si>
  <si>
    <t>Price USD</t>
  </si>
  <si>
    <t>MC USD</t>
  </si>
  <si>
    <t>Cash RMB</t>
  </si>
  <si>
    <t>Debt RMB</t>
  </si>
  <si>
    <t>RMB</t>
  </si>
  <si>
    <t>CFFO</t>
  </si>
  <si>
    <t>CEO: Eddie Wu, Daniel Zhang, Jack Ma</t>
  </si>
  <si>
    <t>Taobao</t>
  </si>
  <si>
    <t>Tmall</t>
  </si>
  <si>
    <t>CFO: Toby Xu</t>
  </si>
  <si>
    <t>FQ123</t>
  </si>
  <si>
    <t>FQ223</t>
  </si>
  <si>
    <t>FQ323</t>
  </si>
  <si>
    <t>FQ423</t>
  </si>
  <si>
    <t>FQ124</t>
  </si>
  <si>
    <t>FQ224</t>
  </si>
  <si>
    <t>FQ324</t>
  </si>
  <si>
    <t>FQ424</t>
  </si>
  <si>
    <t>FQ125</t>
  </si>
  <si>
    <t>FQ225</t>
  </si>
  <si>
    <t>FQ325</t>
  </si>
  <si>
    <t>FQ425</t>
  </si>
  <si>
    <t>Other - Eliminations</t>
  </si>
  <si>
    <t>Headcount</t>
  </si>
  <si>
    <t>Price RMB</t>
  </si>
  <si>
    <t>MC RMB</t>
  </si>
  <si>
    <t>Cash USD</t>
  </si>
  <si>
    <t>Debt USD</t>
  </si>
  <si>
    <t>Cash</t>
  </si>
  <si>
    <t>Prepayments</t>
  </si>
  <si>
    <t>PP&amp;E</t>
  </si>
  <si>
    <t>Goodwill</t>
  </si>
  <si>
    <t>Assets</t>
  </si>
  <si>
    <t>Debt</t>
  </si>
  <si>
    <t>DR</t>
  </si>
  <si>
    <t>Merchant</t>
  </si>
  <si>
    <t>Accrued</t>
  </si>
  <si>
    <t>L+SE</t>
  </si>
  <si>
    <t>SE</t>
  </si>
  <si>
    <t>Other</t>
  </si>
  <si>
    <t>CapEx</t>
  </si>
  <si>
    <t>FCF</t>
  </si>
  <si>
    <t>Net Cash</t>
  </si>
  <si>
    <t>China GDP</t>
  </si>
  <si>
    <t>China 10Y</t>
  </si>
  <si>
    <t>FQ126</t>
  </si>
  <si>
    <t>FQ226</t>
  </si>
  <si>
    <t>FQ326</t>
  </si>
  <si>
    <t>FQ426</t>
  </si>
  <si>
    <t>Quick Commerce</t>
  </si>
  <si>
    <t>Operating margin</t>
  </si>
  <si>
    <t>Net margin</t>
  </si>
  <si>
    <t>Q126</t>
  </si>
  <si>
    <t>RMB to USD</t>
  </si>
  <si>
    <t>growth</t>
  </si>
  <si>
    <t>Tax Rate</t>
  </si>
  <si>
    <t>Terminal growth</t>
  </si>
  <si>
    <t>Discount Rate</t>
  </si>
  <si>
    <t>NPV</t>
  </si>
  <si>
    <t>Value</t>
  </si>
  <si>
    <t>Current</t>
  </si>
  <si>
    <t>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</si>
</sst>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;@"/>
    <numFmt numFmtId="165" formatCode="0.0%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  <xf numFmtId="9" fontId="1" fillId="0" borderId="0" xfId="0" applyNumberFormat="1" applyFont="1"/>
    <xf numFmtId="164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4" fontId="2" fillId="0" borderId="0" xfId="1" applyNumberFormat="1"/>
    <xf numFmtId="4" fontId="1" fillId="0" borderId="0" xfId="0" applyNumberFormat="1" applyFont="1"/>
    <xf numFmtId="9" fontId="0" fillId="0" borderId="0" xfId="0" applyNumberFormat="1" applyAlignment="1">
      <alignment horizontal="right"/>
    </xf>
    <xf numFmtId="9" fontId="0" fillId="0" borderId="0" xfId="0" applyNumberFormat="1"/>
    <xf numFmtId="9" fontId="3" fillId="0" borderId="0" xfId="0" applyNumberFormat="1" applyFont="1"/>
    <xf numFmtId="9" fontId="3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left" indent="1"/>
    </xf>
    <xf numFmtId="9" fontId="4" fillId="0" borderId="0" xfId="0" applyNumberFormat="1" applyFont="1"/>
    <xf numFmtId="9" fontId="4" fillId="0" borderId="0" xfId="0" applyNumberFormat="1" applyFont="1" applyAlignment="1">
      <alignment horizontal="right"/>
    </xf>
    <xf numFmtId="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F28F8C2-3168-48EC-97D7-88C1B058DD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75622</xdr:colOff>
      <xdr:row>0</xdr:row>
      <xdr:rowOff>85725</xdr:rowOff>
    </xdr:from>
    <xdr:to>
      <xdr:col>23</xdr:col>
      <xdr:colOff>75622</xdr:colOff>
      <xdr:row>82</xdr:row>
      <xdr:rowOff>65171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3CE6F5E-BEF2-57BD-7B0B-D3DEB45A7832}"/>
            </a:ext>
          </a:extLst>
        </xdr:cNvPr>
        <xdr:cNvCxnSpPr/>
      </xdr:nvCxnSpPr>
      <xdr:spPr>
        <a:xfrm>
          <a:off x="15401347" y="85725"/>
          <a:ext cx="0" cy="113141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72588</xdr:colOff>
      <xdr:row>0</xdr:row>
      <xdr:rowOff>28575</xdr:rowOff>
    </xdr:from>
    <xdr:to>
      <xdr:col>39</xdr:col>
      <xdr:colOff>72588</xdr:colOff>
      <xdr:row>82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5294D9E-89D7-4E03-BF95-102A21600453}"/>
            </a:ext>
          </a:extLst>
        </xdr:cNvPr>
        <xdr:cNvCxnSpPr/>
      </xdr:nvCxnSpPr>
      <xdr:spPr>
        <a:xfrm>
          <a:off x="25437663" y="28575"/>
          <a:ext cx="0" cy="11315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nas Bundschuh" id="{3C29C30C-40E0-4515-BEF7-DA9D51CB64F8}" userId="S::Jonas.Bundschuh@gvss.de::969751a5-6ebc-4b8e-8174-fb044e86e6b7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2" dT="2025-09-15T17:47:55.07" personId="{3C29C30C-40E0-4515-BEF7-DA9D51CB64F8}" id="{3E07ACD7-4E54-48C5-9962-C9F093B3F815}">
    <text>New Accounting, Instead of „Local Consumer“ -&gt; „Quick Commerce“</text>
  </threadedComment>
  <threadedComment ref="W20" dT="2025-09-15T17:48:52.59" personId="{3C29C30C-40E0-4515-BEF7-DA9D51CB64F8}" id="{4391F7E9-01DA-4DA8-9DC2-CEF958A11960}">
    <text>Moved into all others, undeer „Other - Eliminations“</text>
  </threadedComment>
  <threadedComment ref="W44" dT="2025-09-15T17:50:12.02" personId="{3C29C30C-40E0-4515-BEF7-DA9D51CB64F8}" id="{3DAC623C-748E-43C2-98AF-ABB4C3B09751}">
    <text>10 % LFL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BA1B-3870-4960-86CF-D4C6C2448885}">
  <dimension ref="B2:R16"/>
  <sheetViews>
    <sheetView zoomScale="115" zoomScaleNormal="115" workbookViewId="0">
      <selection activeCell="L2" sqref="L2"/>
    </sheetView>
  </sheetViews>
  <sheetFormatPr defaultRowHeight="12.75" x14ac:dyDescent="0.2"/>
  <cols>
    <col min="11" max="11" width="10.5703125" customWidth="1"/>
    <col min="12" max="12" width="10.140625" bestFit="1" customWidth="1"/>
    <col min="14" max="14" width="10.42578125" customWidth="1"/>
    <col min="15" max="15" width="10.140625" customWidth="1"/>
  </cols>
  <sheetData>
    <row r="2" spans="2:18" x14ac:dyDescent="0.2">
      <c r="B2" t="s">
        <v>46</v>
      </c>
      <c r="K2" t="s">
        <v>39</v>
      </c>
      <c r="L2" s="1">
        <v>158.59</v>
      </c>
      <c r="N2" t="s">
        <v>63</v>
      </c>
      <c r="O2" s="1">
        <f>(L2/R3)/8</f>
        <v>141.59821428571428</v>
      </c>
      <c r="R2" t="s">
        <v>92</v>
      </c>
    </row>
    <row r="3" spans="2:18" x14ac:dyDescent="0.2">
      <c r="B3" t="s">
        <v>47</v>
      </c>
      <c r="K3" t="s">
        <v>0</v>
      </c>
      <c r="L3" s="3">
        <f>+O3/8</f>
        <v>2392.75</v>
      </c>
      <c r="M3" s="2" t="s">
        <v>91</v>
      </c>
      <c r="N3" t="s">
        <v>0</v>
      </c>
      <c r="O3">
        <v>19142</v>
      </c>
      <c r="P3" s="2" t="s">
        <v>91</v>
      </c>
      <c r="R3">
        <v>0.14000000000000001</v>
      </c>
    </row>
    <row r="4" spans="2:18" x14ac:dyDescent="0.2">
      <c r="K4" t="s">
        <v>40</v>
      </c>
      <c r="L4" s="3">
        <f>L2*L3</f>
        <v>379466.22250000003</v>
      </c>
      <c r="M4" s="2"/>
      <c r="N4" t="s">
        <v>64</v>
      </c>
      <c r="O4" s="3">
        <f>+O2*O3</f>
        <v>2710473.0178571427</v>
      </c>
    </row>
    <row r="5" spans="2:18" x14ac:dyDescent="0.2">
      <c r="K5" t="s">
        <v>65</v>
      </c>
      <c r="L5">
        <f>+O5*$R$3</f>
        <v>81992.820000000007</v>
      </c>
      <c r="M5" s="2" t="s">
        <v>91</v>
      </c>
      <c r="N5" t="s">
        <v>41</v>
      </c>
      <c r="O5" s="3">
        <v>585663</v>
      </c>
      <c r="P5" s="2" t="s">
        <v>91</v>
      </c>
    </row>
    <row r="6" spans="2:18" x14ac:dyDescent="0.2">
      <c r="K6" t="s">
        <v>66</v>
      </c>
      <c r="L6">
        <f>+O6*$R$3</f>
        <v>32493.720000000005</v>
      </c>
      <c r="M6" s="2" t="s">
        <v>91</v>
      </c>
      <c r="N6" t="s">
        <v>42</v>
      </c>
      <c r="O6" s="3">
        <f>24584+50919+121164+35431</f>
        <v>232098</v>
      </c>
      <c r="P6" s="2" t="s">
        <v>91</v>
      </c>
    </row>
    <row r="7" spans="2:18" x14ac:dyDescent="0.2">
      <c r="K7" t="s">
        <v>1</v>
      </c>
      <c r="L7" s="3">
        <f>+L4-L5+L6</f>
        <v>329967.12250000006</v>
      </c>
      <c r="M7" s="2"/>
      <c r="N7" t="s">
        <v>1</v>
      </c>
      <c r="O7" s="3">
        <f>+O4-O5+O6</f>
        <v>2356908.0178571427</v>
      </c>
    </row>
    <row r="9" spans="2:18" x14ac:dyDescent="0.2">
      <c r="K9" t="s">
        <v>43</v>
      </c>
      <c r="L9">
        <v>7.12</v>
      </c>
    </row>
    <row r="13" spans="2:18" x14ac:dyDescent="0.2">
      <c r="K13" t="s">
        <v>3</v>
      </c>
    </row>
    <row r="14" spans="2:18" x14ac:dyDescent="0.2">
      <c r="K14" t="s">
        <v>45</v>
      </c>
    </row>
    <row r="15" spans="2:18" x14ac:dyDescent="0.2">
      <c r="K15" t="s">
        <v>48</v>
      </c>
    </row>
    <row r="16" spans="2:18" x14ac:dyDescent="0.2">
      <c r="B16" t="s">
        <v>2</v>
      </c>
      <c r="K1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4FB6-2DDF-41E8-BD94-FC380ED24DA7}">
  <dimension ref="A1:EB75"/>
  <sheetViews>
    <sheetView tabSelected="1" zoomScaleNormal="100" workbookViewId="0">
      <pane xSplit="2" ySplit="2" topLeftCell="N6" activePane="bottomRight" state="frozen"/>
      <selection pane="topRight" activeCell="C1" sqref="C1"/>
      <selection pane="bottomLeft" activeCell="A3" sqref="A3"/>
      <selection pane="bottomRight" activeCell="AA38" sqref="AA38"/>
    </sheetView>
  </sheetViews>
  <sheetFormatPr defaultRowHeight="12.75" x14ac:dyDescent="0.2"/>
  <cols>
    <col min="1" max="1" width="5" bestFit="1" customWidth="1"/>
    <col min="2" max="2" width="26.140625" bestFit="1" customWidth="1"/>
    <col min="3" max="5" width="9.140625" style="2"/>
    <col min="6" max="6" width="10.140625" style="2" bestFit="1" customWidth="1"/>
    <col min="7" max="9" width="9.140625" style="2"/>
    <col min="10" max="10" width="10.140625" style="2" bestFit="1" customWidth="1"/>
    <col min="11" max="11" width="9.140625" style="2"/>
    <col min="12" max="12" width="9.28515625" style="2" bestFit="1" customWidth="1"/>
    <col min="13" max="15" width="9.140625" style="2" customWidth="1"/>
    <col min="16" max="27" width="9.7109375" style="2" customWidth="1"/>
    <col min="35" max="36" width="10.140625" bestFit="1" customWidth="1"/>
    <col min="41" max="41" width="9.7109375" bestFit="1" customWidth="1"/>
    <col min="51" max="51" width="16.140625" bestFit="1" customWidth="1"/>
    <col min="52" max="52" width="18" bestFit="1" customWidth="1"/>
  </cols>
  <sheetData>
    <row r="1" spans="1:49" s="12" customFormat="1" x14ac:dyDescent="0.2">
      <c r="A1" s="14" t="s">
        <v>4</v>
      </c>
      <c r="C1" s="11"/>
      <c r="D1" s="11"/>
      <c r="E1" s="11"/>
      <c r="F1" s="11">
        <v>44286</v>
      </c>
      <c r="G1" s="11"/>
      <c r="H1" s="11"/>
      <c r="I1" s="11"/>
      <c r="J1" s="11">
        <v>44651</v>
      </c>
      <c r="K1" s="11"/>
      <c r="L1" s="11">
        <v>44834</v>
      </c>
      <c r="M1" s="11">
        <v>44926</v>
      </c>
      <c r="N1" s="11">
        <f>+J1+365</f>
        <v>45016</v>
      </c>
      <c r="O1" s="11">
        <v>45107</v>
      </c>
      <c r="P1" s="11">
        <v>45199</v>
      </c>
      <c r="Q1" s="11">
        <v>45291</v>
      </c>
      <c r="R1" s="11">
        <f>+N1+365</f>
        <v>45381</v>
      </c>
      <c r="S1" s="11">
        <f>+R1+92</f>
        <v>45473</v>
      </c>
      <c r="T1" s="11">
        <v>45565</v>
      </c>
      <c r="U1" s="11">
        <v>45657</v>
      </c>
      <c r="V1" s="11">
        <f>EOMONTH(U1,3)</f>
        <v>45747</v>
      </c>
      <c r="W1" s="11">
        <f t="shared" ref="W1:Z1" si="0">EOMONTH(V1,3)</f>
        <v>45838</v>
      </c>
      <c r="X1" s="11">
        <f t="shared" si="0"/>
        <v>45930</v>
      </c>
      <c r="Y1" s="11">
        <f t="shared" si="0"/>
        <v>46022</v>
      </c>
      <c r="Z1" s="11">
        <f t="shared" si="0"/>
        <v>46112</v>
      </c>
      <c r="AA1" s="11"/>
      <c r="AC1" s="12">
        <v>42094</v>
      </c>
      <c r="AD1" s="12">
        <v>42460</v>
      </c>
      <c r="AE1" s="12">
        <v>42825</v>
      </c>
      <c r="AF1" s="12">
        <v>43190</v>
      </c>
      <c r="AG1" s="12">
        <v>43555</v>
      </c>
      <c r="AH1" s="12">
        <v>43921</v>
      </c>
      <c r="AI1" s="12">
        <v>44286</v>
      </c>
      <c r="AJ1" s="12">
        <v>44651</v>
      </c>
      <c r="AK1" s="12">
        <f>AJ1+365</f>
        <v>45016</v>
      </c>
      <c r="AL1" s="12">
        <f>AK1+366</f>
        <v>45382</v>
      </c>
      <c r="AM1" s="12">
        <f t="shared" ref="AM1:AO1" si="1">AL1+365</f>
        <v>45747</v>
      </c>
      <c r="AN1" s="12">
        <f t="shared" si="1"/>
        <v>46112</v>
      </c>
      <c r="AO1" s="12">
        <f t="shared" si="1"/>
        <v>46477</v>
      </c>
      <c r="AP1" s="12">
        <f>AO1+366</f>
        <v>46843</v>
      </c>
    </row>
    <row r="2" spans="1:49" x14ac:dyDescent="0.2">
      <c r="B2" t="s">
        <v>25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84</v>
      </c>
      <c r="X2" s="2" t="s">
        <v>85</v>
      </c>
      <c r="Y2" s="2" t="s">
        <v>86</v>
      </c>
      <c r="Z2" s="2" t="s">
        <v>87</v>
      </c>
      <c r="AC2">
        <v>2015</v>
      </c>
      <c r="AD2">
        <v>2016</v>
      </c>
      <c r="AE2">
        <v>2017</v>
      </c>
      <c r="AF2">
        <v>2018</v>
      </c>
      <c r="AG2">
        <v>2019</v>
      </c>
      <c r="AH2">
        <v>2020</v>
      </c>
      <c r="AI2">
        <v>2021</v>
      </c>
      <c r="AJ2">
        <f>AI2+1</f>
        <v>2022</v>
      </c>
      <c r="AK2">
        <f t="shared" ref="AK2:AU2" si="2">AJ2+1</f>
        <v>2023</v>
      </c>
      <c r="AL2">
        <f t="shared" si="2"/>
        <v>2024</v>
      </c>
      <c r="AM2">
        <f t="shared" si="2"/>
        <v>2025</v>
      </c>
      <c r="AN2">
        <f t="shared" si="2"/>
        <v>2026</v>
      </c>
      <c r="AO2">
        <f t="shared" si="2"/>
        <v>2027</v>
      </c>
      <c r="AP2">
        <f t="shared" si="2"/>
        <v>2028</v>
      </c>
      <c r="AQ2">
        <f t="shared" si="2"/>
        <v>2029</v>
      </c>
      <c r="AR2">
        <f t="shared" si="2"/>
        <v>2030</v>
      </c>
      <c r="AS2">
        <f t="shared" si="2"/>
        <v>2031</v>
      </c>
      <c r="AT2">
        <f t="shared" si="2"/>
        <v>2032</v>
      </c>
      <c r="AU2">
        <f t="shared" si="2"/>
        <v>2033</v>
      </c>
      <c r="AV2">
        <f t="shared" ref="AV2" si="3">AU2+1</f>
        <v>2034</v>
      </c>
      <c r="AW2">
        <f t="shared" ref="AW2" si="4">AV2+1</f>
        <v>2035</v>
      </c>
    </row>
    <row r="3" spans="1:49" x14ac:dyDescent="0.2">
      <c r="B3" t="s">
        <v>82</v>
      </c>
      <c r="AI3" s="3">
        <v>14700</v>
      </c>
      <c r="AJ3" s="3">
        <v>17800</v>
      </c>
      <c r="AK3" s="3">
        <v>17900</v>
      </c>
      <c r="AL3" s="3">
        <v>17800</v>
      </c>
    </row>
    <row r="4" spans="1:49" x14ac:dyDescent="0.2">
      <c r="B4" t="s">
        <v>83</v>
      </c>
      <c r="AI4" s="13">
        <v>3.1E-2</v>
      </c>
      <c r="AJ4" s="13">
        <v>2.9000000000000001E-2</v>
      </c>
      <c r="AK4" s="13">
        <v>2.8000000000000001E-2</v>
      </c>
      <c r="AL4" s="13">
        <v>2.7E-2</v>
      </c>
      <c r="AM4" s="13">
        <v>2.1000000000000001E-2</v>
      </c>
    </row>
    <row r="6" spans="1:49" s="3" customFormat="1" x14ac:dyDescent="0.2">
      <c r="B6" s="3" t="s">
        <v>14</v>
      </c>
      <c r="C6" s="4"/>
      <c r="D6" s="4"/>
      <c r="E6" s="4"/>
      <c r="F6" s="4">
        <v>63224</v>
      </c>
      <c r="G6" s="4"/>
      <c r="H6" s="4"/>
      <c r="I6" s="4"/>
      <c r="J6" s="4">
        <v>63421</v>
      </c>
      <c r="K6" s="4">
        <v>72263</v>
      </c>
      <c r="L6" s="4">
        <v>66877</v>
      </c>
      <c r="M6" s="4">
        <v>91694</v>
      </c>
      <c r="N6" s="4">
        <v>60545</v>
      </c>
      <c r="O6" s="4">
        <v>79661</v>
      </c>
      <c r="P6" s="4">
        <v>68661</v>
      </c>
      <c r="Q6" s="4">
        <v>92113</v>
      </c>
      <c r="R6" s="4">
        <v>63574</v>
      </c>
      <c r="S6" s="4">
        <v>81088</v>
      </c>
      <c r="T6" s="4">
        <v>70364</v>
      </c>
      <c r="U6" s="4">
        <v>100790</v>
      </c>
      <c r="V6" s="4">
        <v>71077</v>
      </c>
      <c r="W6" s="4">
        <v>89252</v>
      </c>
      <c r="X6" s="4">
        <f>+T6*(1+X7)</f>
        <v>76696.760000000009</v>
      </c>
      <c r="Y6" s="4">
        <f t="shared" ref="Y6" si="5">+U6*(1+Y7)</f>
        <v>109861.1</v>
      </c>
      <c r="Z6" s="4">
        <f t="shared" ref="Z6" si="6">+V6*(1+Z7)</f>
        <v>77473.930000000008</v>
      </c>
      <c r="AA6" s="4"/>
      <c r="AK6" s="3">
        <f>+SUM(K6:N6)</f>
        <v>291379</v>
      </c>
      <c r="AL6" s="3">
        <f>SUM(O6:R6)</f>
        <v>304009</v>
      </c>
      <c r="AM6" s="3">
        <f>SUM(S6:V6)</f>
        <v>323319</v>
      </c>
      <c r="AN6" s="3">
        <f>+SUM(W6:Z6)</f>
        <v>353283.79</v>
      </c>
      <c r="AO6" s="4">
        <f>+AN6*(1+AO7)</f>
        <v>381546.49320000003</v>
      </c>
      <c r="AP6" s="4">
        <f t="shared" ref="AP6" si="7">+AO6*(1+AP7)</f>
        <v>408254.74772400007</v>
      </c>
      <c r="AQ6" s="4">
        <f t="shared" ref="AQ6" si="8">+AP6*(1+AQ7)</f>
        <v>436832.58006468008</v>
      </c>
      <c r="AR6" s="4">
        <f t="shared" ref="AR6" si="9">+AQ6*(1+AR7)</f>
        <v>463042.53486856091</v>
      </c>
      <c r="AS6" s="4">
        <f t="shared" ref="AS6" si="10">+AR6*(1+AS7)</f>
        <v>481564.23626330338</v>
      </c>
      <c r="AT6" s="4">
        <f t="shared" ref="AT6" si="11">+AS6*(1+AT7)</f>
        <v>500826.80571383552</v>
      </c>
      <c r="AU6" s="4">
        <f t="shared" ref="AU6" si="12">+AT6*(1+AU7)</f>
        <v>520859.87794238894</v>
      </c>
      <c r="AV6" s="4">
        <f t="shared" ref="AV6" si="13">+AU6*(1+AV7)</f>
        <v>531277.07550123672</v>
      </c>
      <c r="AW6" s="4">
        <f t="shared" ref="AW6" si="14">+AV6*(1+AW7)</f>
        <v>541902.61701126141</v>
      </c>
    </row>
    <row r="7" spans="1:49" s="17" customFormat="1" x14ac:dyDescent="0.2"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9">
        <f t="shared" ref="O7" si="15">(O6+O10)/(K6+K10)-1</f>
        <v>9.7965579311327211E-2</v>
      </c>
      <c r="P7" s="19">
        <f t="shared" ref="P7" si="16">(P6+P10)/(L6+L10)-1</f>
        <v>3.6234123861975887E-2</v>
      </c>
      <c r="Q7" s="19">
        <f t="shared" ref="Q7" si="17">(Q6+Q10)/(M6+M10)-1</f>
        <v>1.4559011903398034E-2</v>
      </c>
      <c r="R7" s="19">
        <f t="shared" ref="R7" si="18">(R6+R10)/(N6+N10)-1</f>
        <v>5.9511109049584787E-2</v>
      </c>
      <c r="S7" s="19">
        <f t="shared" ref="S7" si="19">(S6+S10)/(O6+O10)-1</f>
        <v>2.6584577642535301E-2</v>
      </c>
      <c r="T7" s="19">
        <f t="shared" ref="T7" si="20">(T6+T10)/(P6+P10)-1</f>
        <v>3.5184055318283614E-2</v>
      </c>
      <c r="U7" s="19">
        <f t="shared" ref="U7" si="21">(U6+U10)/(Q6+Q10)-1</f>
        <v>0.10207244844540697</v>
      </c>
      <c r="V7" s="19">
        <f>(V6+V10)/(R6+R10)-1</f>
        <v>0.12169103697866501</v>
      </c>
      <c r="W7" s="19">
        <f>(W6+W10)/(S6+S10)-1</f>
        <v>0.10251608455882355</v>
      </c>
      <c r="X7" s="16">
        <v>0.09</v>
      </c>
      <c r="Y7" s="16">
        <v>0.09</v>
      </c>
      <c r="Z7" s="16">
        <v>0.09</v>
      </c>
      <c r="AA7" s="16"/>
      <c r="AL7" s="17">
        <f t="shared" ref="AL7" si="22">+AL6/AK6-1</f>
        <v>4.3345608297097549E-2</v>
      </c>
      <c r="AM7" s="17">
        <f t="shared" ref="AM7" si="23">+AM6/AL6-1</f>
        <v>6.3517856379252002E-2</v>
      </c>
      <c r="AN7" s="17">
        <f>+AN6/AM6-1</f>
        <v>9.2678716685378859E-2</v>
      </c>
      <c r="AO7" s="17">
        <v>0.08</v>
      </c>
      <c r="AP7" s="17">
        <v>7.0000000000000007E-2</v>
      </c>
      <c r="AQ7" s="17">
        <v>7.0000000000000007E-2</v>
      </c>
      <c r="AR7" s="17">
        <v>0.06</v>
      </c>
      <c r="AS7" s="17">
        <v>0.04</v>
      </c>
      <c r="AT7" s="17">
        <v>0.04</v>
      </c>
      <c r="AU7" s="17">
        <v>0.04</v>
      </c>
      <c r="AV7" s="17">
        <v>0.02</v>
      </c>
      <c r="AW7" s="17">
        <v>0.02</v>
      </c>
    </row>
    <row r="8" spans="1:49" s="3" customFormat="1" x14ac:dyDescent="0.2">
      <c r="B8" s="3" t="s">
        <v>15</v>
      </c>
      <c r="C8" s="4"/>
      <c r="D8" s="4"/>
      <c r="E8" s="4"/>
      <c r="F8" s="4">
        <v>63797</v>
      </c>
      <c r="G8" s="4"/>
      <c r="H8" s="4"/>
      <c r="I8" s="4"/>
      <c r="J8" s="4">
        <v>72526</v>
      </c>
      <c r="K8" s="4">
        <v>64714</v>
      </c>
      <c r="L8" s="4">
        <v>22559</v>
      </c>
      <c r="M8" s="4">
        <v>31042</v>
      </c>
      <c r="N8" s="4">
        <v>25212</v>
      </c>
      <c r="O8" s="4">
        <v>30167</v>
      </c>
      <c r="P8" s="4">
        <v>23899</v>
      </c>
      <c r="Q8" s="4">
        <v>31649</v>
      </c>
      <c r="R8" s="4">
        <v>24690</v>
      </c>
      <c r="S8" s="4">
        <v>27306</v>
      </c>
      <c r="T8" s="4">
        <v>22644</v>
      </c>
      <c r="U8" s="4">
        <v>28726</v>
      </c>
      <c r="V8" s="4">
        <v>24504</v>
      </c>
      <c r="W8" s="4">
        <v>29325</v>
      </c>
      <c r="X8" s="4">
        <f>+T8*(1+X9)</f>
        <v>25361.280000000002</v>
      </c>
      <c r="Y8" s="4">
        <f t="shared" ref="Y8" si="24">+U8*(1+Y9)</f>
        <v>32173.120000000003</v>
      </c>
      <c r="Z8" s="4">
        <f t="shared" ref="Z8" si="25">+V8*(1+Z9)</f>
        <v>27444.480000000003</v>
      </c>
      <c r="AA8" s="4"/>
      <c r="AK8" s="3">
        <f t="shared" ref="AK8:AK12" si="26">+SUM(K8:N8)</f>
        <v>143527</v>
      </c>
      <c r="AL8" s="3">
        <f t="shared" ref="AL8:AL12" si="27">SUM(O8:R8)</f>
        <v>110405</v>
      </c>
      <c r="AM8" s="3">
        <f t="shared" ref="AM8:AM12" si="28">SUM(S8:V8)</f>
        <v>103180</v>
      </c>
      <c r="AN8" s="3">
        <f>+SUM(W8:Z8)</f>
        <v>114303.88</v>
      </c>
      <c r="AO8" s="4">
        <f>+AN8*(1+AO9)</f>
        <v>125734.26800000001</v>
      </c>
      <c r="AP8" s="4">
        <f t="shared" ref="AP8" si="29">+AO8*(1+AP9)</f>
        <v>134535.66676000002</v>
      </c>
      <c r="AQ8" s="4">
        <f t="shared" ref="AQ8" si="30">+AP8*(1+AQ9)</f>
        <v>143953.16343320004</v>
      </c>
      <c r="AR8" s="4">
        <f t="shared" ref="AR8" si="31">+AQ8*(1+AR9)</f>
        <v>152590.35323919205</v>
      </c>
      <c r="AS8" s="4">
        <f t="shared" ref="AS8" si="32">+AR8*(1+AS9)</f>
        <v>160219.87090115165</v>
      </c>
      <c r="AT8" s="4">
        <f t="shared" ref="AT8" si="33">+AS8*(1+AT9)</f>
        <v>166628.66573719771</v>
      </c>
      <c r="AU8" s="4">
        <f t="shared" ref="AU8" si="34">+AT8*(1+AU9)</f>
        <v>173293.81236668563</v>
      </c>
      <c r="AV8" s="4">
        <f t="shared" ref="AV8" si="35">+AU8*(1+AV9)</f>
        <v>180225.56486135305</v>
      </c>
      <c r="AW8" s="4">
        <f t="shared" ref="AW8" si="36">+AV8*(1+AW9)</f>
        <v>183830.07615858011</v>
      </c>
    </row>
    <row r="9" spans="1:49" s="17" customFormat="1" x14ac:dyDescent="0.2"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9">
        <f t="shared" ref="O9" si="37">(O8+O12)/(K8+K12)-1</f>
        <v>-0.5338412090119603</v>
      </c>
      <c r="P9" s="19">
        <f t="shared" ref="P9" si="38">(P8+P12)/(L8+L12)-1</f>
        <v>5.9399796090252144E-2</v>
      </c>
      <c r="Q9" s="19">
        <f t="shared" ref="Q9" si="39">(Q8+Q12)/(M8+M12)-1</f>
        <v>1.9554152438631567E-2</v>
      </c>
      <c r="R9" s="19">
        <f t="shared" ref="R9" si="40">(R8+R12)/(N8+N12)-1</f>
        <v>-2.0704426463588721E-2</v>
      </c>
      <c r="S9" s="19">
        <f t="shared" ref="S9" si="41">(S8+S12)/(O8+O12)-1</f>
        <v>-9.4838731063745185E-2</v>
      </c>
      <c r="T9" s="19">
        <f t="shared" ref="T9" si="42">(T8+T12)/(P8+P12)-1</f>
        <v>-5.2512657433365417E-2</v>
      </c>
      <c r="U9" s="19">
        <f t="shared" ref="U9" si="43">(U8+U12)/(Q8+Q12)-1</f>
        <v>-9.2356788524123989E-2</v>
      </c>
      <c r="V9" s="19">
        <f>(V8+V12)/(R8+R12)-1</f>
        <v>-7.5334143377885354E-3</v>
      </c>
      <c r="W9" s="19">
        <f>(W8+W12)/(S8+S12)-1</f>
        <v>0.61535926170072508</v>
      </c>
      <c r="X9" s="16">
        <v>0.12</v>
      </c>
      <c r="Y9" s="16">
        <v>0.12</v>
      </c>
      <c r="Z9" s="16">
        <v>0.12</v>
      </c>
      <c r="AA9" s="16"/>
      <c r="AL9" s="17">
        <f t="shared" ref="AL9" si="44">+AL8/AK8-1</f>
        <v>-0.23077191051161106</v>
      </c>
      <c r="AM9" s="17">
        <f t="shared" ref="AM9" si="45">+AM8/AL8-1</f>
        <v>-6.544087677188537E-2</v>
      </c>
      <c r="AN9" s="17">
        <f>+AN8/AM8-1</f>
        <v>0.10781042837759269</v>
      </c>
      <c r="AO9" s="17">
        <v>0.1</v>
      </c>
      <c r="AP9" s="17">
        <v>7.0000000000000007E-2</v>
      </c>
      <c r="AQ9" s="17">
        <v>7.0000000000000007E-2</v>
      </c>
      <c r="AR9" s="17">
        <v>0.06</v>
      </c>
      <c r="AS9" s="17">
        <v>0.05</v>
      </c>
      <c r="AT9" s="17">
        <v>0.04</v>
      </c>
      <c r="AU9" s="17">
        <v>0.04</v>
      </c>
      <c r="AV9" s="17">
        <v>0.04</v>
      </c>
      <c r="AW9" s="17">
        <v>0.02</v>
      </c>
    </row>
    <row r="10" spans="1:49" s="3" customFormat="1" x14ac:dyDescent="0.2">
      <c r="B10" s="3" t="s">
        <v>16</v>
      </c>
      <c r="C10" s="4"/>
      <c r="D10" s="4"/>
      <c r="E10" s="4"/>
      <c r="F10" s="4">
        <v>3370</v>
      </c>
      <c r="G10" s="4"/>
      <c r="H10" s="4"/>
      <c r="I10" s="4"/>
      <c r="J10" s="4">
        <v>4383</v>
      </c>
      <c r="K10" s="4">
        <v>4958</v>
      </c>
      <c r="L10" s="4">
        <v>4299</v>
      </c>
      <c r="M10" s="4">
        <v>4329</v>
      </c>
      <c r="N10" s="4">
        <v>4132</v>
      </c>
      <c r="O10" s="4">
        <v>5125</v>
      </c>
      <c r="P10" s="4">
        <v>5094</v>
      </c>
      <c r="Q10" s="4">
        <v>5308</v>
      </c>
      <c r="R10" s="4">
        <v>4952</v>
      </c>
      <c r="S10" s="4">
        <v>5952</v>
      </c>
      <c r="T10" s="4">
        <v>5986</v>
      </c>
      <c r="U10" s="4">
        <v>6575</v>
      </c>
      <c r="V10" s="4">
        <v>5788</v>
      </c>
      <c r="W10" s="4">
        <v>6711</v>
      </c>
      <c r="X10" s="4">
        <f>+T10*(1+X11)</f>
        <v>6764.1799999999994</v>
      </c>
      <c r="Y10" s="4">
        <f t="shared" ref="Y10:Z10" si="46">+U10*(1+Y11)</f>
        <v>7364.0000000000009</v>
      </c>
      <c r="Z10" s="4">
        <f t="shared" si="46"/>
        <v>6482.56</v>
      </c>
      <c r="AA10" s="4"/>
      <c r="AK10" s="3">
        <f t="shared" si="26"/>
        <v>17718</v>
      </c>
      <c r="AL10" s="3">
        <f t="shared" si="27"/>
        <v>20479</v>
      </c>
      <c r="AM10" s="3">
        <f t="shared" si="28"/>
        <v>24301</v>
      </c>
      <c r="AN10" s="3">
        <f>+SUM(W10:Z10)</f>
        <v>27321.74</v>
      </c>
      <c r="AO10" s="4">
        <f>+AN10*(1+AO11)</f>
        <v>30600.348800000003</v>
      </c>
      <c r="AP10" s="4">
        <f t="shared" ref="AP10" si="47">+AO10*(1+AP11)</f>
        <v>34272.39065600001</v>
      </c>
      <c r="AQ10" s="4">
        <f t="shared" ref="AQ10" si="48">+AP10*(1+AQ11)</f>
        <v>37699.629721600017</v>
      </c>
      <c r="AR10" s="4">
        <f t="shared" ref="AR10" si="49">+AQ10*(1+AR11)</f>
        <v>40338.603802112018</v>
      </c>
      <c r="AS10" s="4">
        <f t="shared" ref="AS10" si="50">+AR10*(1+AS11)</f>
        <v>43162.306068259859</v>
      </c>
      <c r="AT10" s="4">
        <f t="shared" ref="AT10" si="51">+AS10*(1+AT11)</f>
        <v>45752.044432355455</v>
      </c>
      <c r="AU10" s="4">
        <f t="shared" ref="AU10" si="52">+AT10*(1+AU11)</f>
        <v>48039.646653973228</v>
      </c>
      <c r="AV10" s="4">
        <f t="shared" ref="AV10" si="53">+AU10*(1+AV11)</f>
        <v>49961.232520132158</v>
      </c>
      <c r="AW10" s="4">
        <f t="shared" ref="AW10" si="54">+AV10*(1+AW11)</f>
        <v>51959.681820937447</v>
      </c>
    </row>
    <row r="11" spans="1:49" s="17" customFormat="1" x14ac:dyDescent="0.2"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9">
        <f t="shared" ref="O11" si="55">(O10+O15)/(K10+K15)-1</f>
        <v>3.3682936668011365E-2</v>
      </c>
      <c r="P11" s="19">
        <f t="shared" ref="P11" si="56">(P10+P15)/(L10+L15)-1</f>
        <v>0.18493997819947605</v>
      </c>
      <c r="Q11" s="19">
        <f t="shared" ref="Q11" si="57">(Q10+Q15)/(M10+M15)-1</f>
        <v>0.22615542290614554</v>
      </c>
      <c r="R11" s="19">
        <f t="shared" ref="R11" si="58">(R10+R15)/(N10+N15)-1</f>
        <v>0.19846440602759263</v>
      </c>
      <c r="S11" s="19">
        <f t="shared" ref="S11" si="59">(S10+S15)/(O10+O15)-1</f>
        <v>0.16136762087356904</v>
      </c>
      <c r="T11" s="19">
        <f t="shared" ref="T11" si="60">(T10+T15)/(P10+P15)-1</f>
        <v>0.17510089939506823</v>
      </c>
      <c r="U11" s="19">
        <f t="shared" ref="U11" si="61">(U10+U15)/(Q10+Q15)-1</f>
        <v>0.23870160593086287</v>
      </c>
      <c r="V11" s="19">
        <f>(V10+V15)/(R10+R15)-1</f>
        <v>0.16882580088325749</v>
      </c>
      <c r="W11" s="19">
        <f>(W10+W15)/(S10+S15)-1</f>
        <v>0.12753066534390589</v>
      </c>
      <c r="X11" s="16">
        <v>0.13</v>
      </c>
      <c r="Y11" s="16">
        <v>0.12</v>
      </c>
      <c r="Z11" s="16">
        <v>0.12</v>
      </c>
      <c r="AA11" s="16"/>
      <c r="AL11" s="17">
        <f t="shared" ref="AL11:AM11" si="62">+AL10/AK10-1</f>
        <v>0.15583022914550182</v>
      </c>
      <c r="AM11" s="17">
        <f t="shared" si="62"/>
        <v>0.18663020655305429</v>
      </c>
      <c r="AN11" s="17">
        <f>+AN10/AM10-1</f>
        <v>0.12430517262664087</v>
      </c>
      <c r="AO11" s="17">
        <v>0.12</v>
      </c>
      <c r="AP11" s="17">
        <v>0.12</v>
      </c>
      <c r="AQ11" s="17">
        <v>0.1</v>
      </c>
      <c r="AR11" s="17">
        <v>7.0000000000000007E-2</v>
      </c>
      <c r="AS11" s="17">
        <v>7.0000000000000007E-2</v>
      </c>
      <c r="AT11" s="17">
        <v>0.06</v>
      </c>
      <c r="AU11" s="17">
        <v>0.05</v>
      </c>
      <c r="AV11" s="17">
        <v>0.04</v>
      </c>
      <c r="AW11" s="17">
        <v>0.04</v>
      </c>
    </row>
    <row r="12" spans="1:49" s="3" customFormat="1" x14ac:dyDescent="0.2">
      <c r="B12" s="3" t="s">
        <v>88</v>
      </c>
      <c r="C12" s="4"/>
      <c r="D12" s="4"/>
      <c r="E12" s="4"/>
      <c r="F12" s="4"/>
      <c r="G12" s="4"/>
      <c r="H12" s="4"/>
      <c r="I12" s="4"/>
      <c r="J12" s="4"/>
      <c r="K12" s="4"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>
        <v>14784</v>
      </c>
      <c r="X12" s="4">
        <f>+T18*(1+X13)</f>
        <v>17547.75</v>
      </c>
      <c r="Y12" s="4">
        <f t="shared" ref="Y12:Z12" si="63">+U18*(1+Y13)</f>
        <v>17327.760000000002</v>
      </c>
      <c r="Z12" s="4">
        <f t="shared" si="63"/>
        <v>17263.38</v>
      </c>
      <c r="AA12" s="4"/>
      <c r="AK12" s="3">
        <f t="shared" si="26"/>
        <v>0</v>
      </c>
      <c r="AL12" s="3">
        <f t="shared" si="27"/>
        <v>0</v>
      </c>
      <c r="AM12" s="3">
        <f t="shared" si="28"/>
        <v>0</v>
      </c>
      <c r="AN12" s="3">
        <f>+SUM(W12:Z12)</f>
        <v>66922.89</v>
      </c>
      <c r="AO12" s="4">
        <f>+AN12*(1+AO13)</f>
        <v>70269.034500000009</v>
      </c>
      <c r="AP12" s="4">
        <f t="shared" ref="AP12" si="64">+AO12*(1+AP13)</f>
        <v>75187.866915000021</v>
      </c>
      <c r="AQ12" s="4">
        <f t="shared" ref="AQ12" si="65">+AP12*(1+AQ13)</f>
        <v>82706.653606500025</v>
      </c>
      <c r="AR12" s="4">
        <f t="shared" ref="AR12" si="66">+AQ12*(1+AR13)</f>
        <v>88496.119358955038</v>
      </c>
      <c r="AS12" s="4">
        <f t="shared" ref="AS12" si="67">+AR12*(1+AS13)</f>
        <v>94690.847714081901</v>
      </c>
      <c r="AT12" s="4">
        <f t="shared" ref="AT12" si="68">+AS12*(1+AT13)</f>
        <v>100372.29857692683</v>
      </c>
      <c r="AU12" s="4">
        <f t="shared" ref="AU12" si="69">+AT12*(1+AU13)</f>
        <v>105390.91350577318</v>
      </c>
      <c r="AV12" s="4">
        <f t="shared" ref="AV12" si="70">+AU12*(1+AV13)</f>
        <v>109606.55004600411</v>
      </c>
      <c r="AW12" s="4">
        <f t="shared" ref="AW12" si="71">+AV12*(1+AW13)</f>
        <v>113990.81204784427</v>
      </c>
    </row>
    <row r="13" spans="1:49" s="17" customFormat="1" x14ac:dyDescent="0.2"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>
        <f>+W12/S18-1</f>
        <v>-8.903814159837331E-2</v>
      </c>
      <c r="X13" s="16">
        <v>-0.01</v>
      </c>
      <c r="Y13" s="16">
        <v>0.02</v>
      </c>
      <c r="Z13" s="16">
        <v>7.0000000000000007E-2</v>
      </c>
      <c r="AA13" s="16"/>
      <c r="AN13" s="17">
        <f>+AN12/AM18-1</f>
        <v>-2.2826346234122719E-3</v>
      </c>
      <c r="AO13" s="17">
        <v>0.05</v>
      </c>
      <c r="AP13" s="17">
        <v>7.0000000000000007E-2</v>
      </c>
      <c r="AQ13" s="17">
        <v>0.1</v>
      </c>
      <c r="AR13" s="17">
        <v>7.0000000000000007E-2</v>
      </c>
      <c r="AS13" s="17">
        <v>7.0000000000000007E-2</v>
      </c>
      <c r="AT13" s="17">
        <v>0.06</v>
      </c>
      <c r="AU13" s="17">
        <v>0.05</v>
      </c>
      <c r="AV13" s="17">
        <v>0.04</v>
      </c>
      <c r="AW13" s="17">
        <v>0.04</v>
      </c>
    </row>
    <row r="14" spans="1:49" s="5" customFormat="1" x14ac:dyDescent="0.2">
      <c r="B14" s="5" t="s">
        <v>17</v>
      </c>
      <c r="C14" s="6"/>
      <c r="D14" s="6"/>
      <c r="E14" s="6"/>
      <c r="F14" s="6">
        <f>F8+F6+F10</f>
        <v>130391</v>
      </c>
      <c r="G14" s="6">
        <f t="shared" ref="G14:I14" si="72">SUM(G6:G12)</f>
        <v>0</v>
      </c>
      <c r="H14" s="6">
        <f t="shared" si="72"/>
        <v>0</v>
      </c>
      <c r="I14" s="6">
        <f t="shared" si="72"/>
        <v>0</v>
      </c>
      <c r="J14" s="6">
        <f>J8+J6+J10+J12</f>
        <v>140330</v>
      </c>
      <c r="K14" s="6">
        <f t="shared" ref="K14:W14" si="73">K8+K6+K10+K12</f>
        <v>141935</v>
      </c>
      <c r="L14" s="6">
        <f t="shared" si="73"/>
        <v>93735</v>
      </c>
      <c r="M14" s="6">
        <f t="shared" si="73"/>
        <v>127065</v>
      </c>
      <c r="N14" s="6">
        <f t="shared" si="73"/>
        <v>89889</v>
      </c>
      <c r="O14" s="6">
        <f t="shared" si="73"/>
        <v>114953</v>
      </c>
      <c r="P14" s="6">
        <f t="shared" si="73"/>
        <v>97654</v>
      </c>
      <c r="Q14" s="6">
        <f t="shared" si="73"/>
        <v>129070</v>
      </c>
      <c r="R14" s="6">
        <f t="shared" si="73"/>
        <v>93216</v>
      </c>
      <c r="S14" s="6">
        <f t="shared" si="73"/>
        <v>114346</v>
      </c>
      <c r="T14" s="6">
        <f t="shared" si="73"/>
        <v>98994</v>
      </c>
      <c r="U14" s="6">
        <f t="shared" si="73"/>
        <v>136091</v>
      </c>
      <c r="V14" s="6">
        <f t="shared" si="73"/>
        <v>101369</v>
      </c>
      <c r="W14" s="6">
        <f t="shared" si="73"/>
        <v>140072</v>
      </c>
      <c r="X14" s="6">
        <f t="shared" ref="X14" si="74">X8+X6+X10+X12</f>
        <v>126369.97</v>
      </c>
      <c r="Y14" s="6">
        <f t="shared" ref="Y14" si="75">Y8+Y6+Y10+Y12</f>
        <v>166725.98000000001</v>
      </c>
      <c r="Z14" s="6">
        <f t="shared" ref="Z14" si="76">Z8+Z6+Z10+Z12</f>
        <v>128664.35</v>
      </c>
      <c r="AA14" s="6"/>
      <c r="AI14" s="5">
        <v>501683</v>
      </c>
      <c r="AJ14" s="5">
        <v>592705</v>
      </c>
      <c r="AK14" s="6">
        <f t="shared" ref="AK14" si="77">AK8+AK6+AK10+AK12</f>
        <v>452624</v>
      </c>
      <c r="AL14" s="6">
        <f t="shared" ref="AL14" si="78">AL8+AL6+AL10+AL12</f>
        <v>434893</v>
      </c>
      <c r="AM14" s="6">
        <f t="shared" ref="AM14" si="79">AM8+AM6+AM10+AM12</f>
        <v>450800</v>
      </c>
      <c r="AN14" s="6">
        <f t="shared" ref="AN14" si="80">AN8+AN6+AN10+AN12</f>
        <v>561832.29999999993</v>
      </c>
      <c r="AO14" s="6">
        <f t="shared" ref="AO14" si="81">AO8+AO6+AO10+AO12</f>
        <v>608150.14450000017</v>
      </c>
      <c r="AP14" s="6">
        <f t="shared" ref="AP14" si="82">AP8+AP6+AP10+AP12</f>
        <v>652250.67205500009</v>
      </c>
      <c r="AQ14" s="6">
        <f t="shared" ref="AQ14" si="83">AQ8+AQ6+AQ10+AQ12</f>
        <v>701192.02682598017</v>
      </c>
      <c r="AR14" s="6">
        <f t="shared" ref="AR14" si="84">AR8+AR6+AR10+AR12</f>
        <v>744467.61126882001</v>
      </c>
      <c r="AS14" s="6">
        <f t="shared" ref="AS14" si="85">AS8+AS6+AS10+AS12</f>
        <v>779637.26094679674</v>
      </c>
      <c r="AT14" s="6">
        <f t="shared" ref="AT14" si="86">AT8+AT6+AT10+AT12</f>
        <v>813579.81446031551</v>
      </c>
      <c r="AU14" s="6">
        <f t="shared" ref="AU14" si="87">AU8+AU6+AU10+AU12</f>
        <v>847584.25046882103</v>
      </c>
      <c r="AV14" s="6">
        <f t="shared" ref="AV14" si="88">AV8+AV6+AV10+AV12</f>
        <v>871070.42292872607</v>
      </c>
      <c r="AW14" s="6">
        <f t="shared" ref="AW14" si="89">AW8+AW6+AW10+AW12</f>
        <v>891683.18703862326</v>
      </c>
    </row>
    <row r="15" spans="1:49" s="21" customFormat="1" x14ac:dyDescent="0.2">
      <c r="B15" s="20" t="s">
        <v>93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19">
        <f t="shared" ref="P15:U15" si="90">(P14+P18)/(L14+L18)-1</f>
        <v>5.6966279547406629E-2</v>
      </c>
      <c r="Q15" s="19">
        <f t="shared" si="90"/>
        <v>2.6825760703962587E-2</v>
      </c>
      <c r="R15" s="19">
        <f t="shared" si="90"/>
        <v>5.4925706012970865E-2</v>
      </c>
      <c r="S15" s="19">
        <f t="shared" si="90"/>
        <v>9.0569770407178396E-3</v>
      </c>
      <c r="T15" s="19">
        <f t="shared" si="90"/>
        <v>3.0922644809129318E-2</v>
      </c>
      <c r="U15" s="19">
        <f t="shared" si="90"/>
        <v>6.135339388476746E-2</v>
      </c>
      <c r="V15" s="19">
        <f>(V14+V18)/(R14+R18)-1</f>
        <v>8.9564556210822932E-2</v>
      </c>
      <c r="W15" s="19">
        <f>(W14+W18)/(S14+S18)-1</f>
        <v>7.2732146276086596E-2</v>
      </c>
      <c r="X15" s="19">
        <f t="shared" ref="X15:Z15" si="91">(X14+X18)/(T14+T18)-1</f>
        <v>8.2685509642817401E-2</v>
      </c>
      <c r="Y15" s="19">
        <f t="shared" si="91"/>
        <v>8.9149916056415313E-2</v>
      </c>
      <c r="Z15" s="19">
        <f t="shared" si="91"/>
        <v>9.4987787545850022E-2</v>
      </c>
      <c r="AA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</row>
    <row r="16" spans="1:49" s="3" customFormat="1" x14ac:dyDescent="0.2">
      <c r="B16" s="3" t="s">
        <v>18</v>
      </c>
      <c r="C16" s="4"/>
      <c r="D16" s="4"/>
      <c r="E16" s="4"/>
      <c r="F16" s="4">
        <v>13416</v>
      </c>
      <c r="G16" s="4"/>
      <c r="H16" s="4"/>
      <c r="I16" s="4"/>
      <c r="J16" s="4">
        <v>14335</v>
      </c>
      <c r="K16" s="4">
        <v>15451</v>
      </c>
      <c r="L16" s="4">
        <v>16046</v>
      </c>
      <c r="M16" s="4">
        <v>19824</v>
      </c>
      <c r="N16" s="4">
        <v>18915</v>
      </c>
      <c r="O16" s="4">
        <v>22123</v>
      </c>
      <c r="P16" s="4">
        <v>24511</v>
      </c>
      <c r="Q16" s="4">
        <v>28516</v>
      </c>
      <c r="R16" s="4">
        <v>27448</v>
      </c>
      <c r="S16" s="4">
        <v>29293</v>
      </c>
      <c r="T16" s="4">
        <v>31672</v>
      </c>
      <c r="U16" s="4">
        <v>37756</v>
      </c>
      <c r="V16" s="4">
        <v>33579</v>
      </c>
      <c r="W16" s="4">
        <v>34741</v>
      </c>
      <c r="X16" s="4">
        <f>T16*(1+X17)</f>
        <v>38323.119999999995</v>
      </c>
      <c r="Y16" s="4">
        <f t="shared" ref="Y16" si="92">U16*(1+Y17)</f>
        <v>45684.76</v>
      </c>
      <c r="Z16" s="4">
        <f t="shared" ref="Z16" si="93">V16*(1+Z17)</f>
        <v>40630.589999999997</v>
      </c>
      <c r="AA16" s="4"/>
      <c r="AI16" s="3">
        <v>48851</v>
      </c>
      <c r="AJ16" s="3">
        <v>61078</v>
      </c>
      <c r="AK16" s="3">
        <f t="shared" ref="AK16" si="94">+SUM(K16:N16)</f>
        <v>70236</v>
      </c>
      <c r="AL16" s="3">
        <f t="shared" ref="AL16" si="95">SUM(O16:R16)</f>
        <v>102598</v>
      </c>
      <c r="AM16" s="3">
        <f t="shared" ref="AM16" si="96">SUM(S16:V16)</f>
        <v>132300</v>
      </c>
      <c r="AN16" s="3">
        <f>+SUM(W16:Z16)</f>
        <v>159379.47</v>
      </c>
      <c r="AO16" s="4">
        <f>+AN16*(1+AO17)</f>
        <v>191255.364</v>
      </c>
      <c r="AP16" s="4">
        <f t="shared" ref="AP16" si="97">+AO16*(1+AP17)</f>
        <v>219943.66859999998</v>
      </c>
      <c r="AQ16" s="4">
        <f t="shared" ref="AQ16" si="98">+AP16*(1+AQ17)</f>
        <v>246336.90883199999</v>
      </c>
      <c r="AR16" s="4">
        <f t="shared" ref="AR16" si="99">+AQ16*(1+AR17)</f>
        <v>270970.59971520002</v>
      </c>
      <c r="AS16" s="4">
        <f t="shared" ref="AS16" si="100">+AR16*(1+AS17)</f>
        <v>289938.54169526405</v>
      </c>
      <c r="AT16" s="4">
        <f t="shared" ref="AT16" si="101">+AS16*(1+AT17)</f>
        <v>310234.23961393256</v>
      </c>
      <c r="AU16" s="4">
        <f t="shared" ref="AU16" si="102">+AT16*(1+AU17)</f>
        <v>328848.29399076855</v>
      </c>
      <c r="AV16" s="4">
        <f t="shared" ref="AV16" si="103">+AU16*(1+AV17)</f>
        <v>345290.70869030699</v>
      </c>
      <c r="AW16" s="4">
        <f t="shared" ref="AW16" si="104">+AV16*(1+AW17)</f>
        <v>359102.33703791926</v>
      </c>
    </row>
    <row r="17" spans="2:49" s="18" customFormat="1" x14ac:dyDescent="0.2">
      <c r="B17" s="20" t="s">
        <v>93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>
        <f t="shared" ref="O17" si="105">(O16+O21)/(K16+K21)-1</f>
        <v>0.42407049734427815</v>
      </c>
      <c r="P17" s="19">
        <f t="shared" ref="P17" si="106">(P16+P21)/(L16+L21)-1</f>
        <v>0.21071934263364356</v>
      </c>
      <c r="Q17" s="19">
        <f t="shared" ref="Q17" si="107">(Q16+Q21)/(M16+M21)-1</f>
        <v>0.19907603628041026</v>
      </c>
      <c r="R17" s="19">
        <f t="shared" ref="R17" si="108">(R16+R21)/(N16+N21)-1</f>
        <v>0.21499415901230035</v>
      </c>
      <c r="S17" s="19">
        <f t="shared" ref="S17" si="109">(S16+S21)/(O16+O21)-1</f>
        <v>0.18339408324150197</v>
      </c>
      <c r="T17" s="19">
        <f t="shared" ref="T17" si="110">(T16+T21)/(P16+P21)-1</f>
        <v>0.17490749439214714</v>
      </c>
      <c r="U17" s="19">
        <f t="shared" ref="U17" si="111">(U16+U21)/(Q16+Q21)-1</f>
        <v>0.22827047470927142</v>
      </c>
      <c r="V17" s="19">
        <f>(V16+V21)/(R16+R21)-1</f>
        <v>0.2010255830175518</v>
      </c>
      <c r="W17" s="19">
        <f>(W16+W21)/(S16+S21)-1</f>
        <v>0.2202105941764263</v>
      </c>
      <c r="X17" s="19">
        <v>0.21</v>
      </c>
      <c r="Y17" s="19">
        <v>0.21</v>
      </c>
      <c r="Z17" s="19">
        <v>0.21</v>
      </c>
      <c r="AA17" s="19"/>
      <c r="AJ17" s="18">
        <f>+AJ16/AI16-1</f>
        <v>0.25029170334281803</v>
      </c>
      <c r="AK17" s="18">
        <f t="shared" ref="AK17:AN17" si="112">+AK16/AJ16-1</f>
        <v>0.14993942172304275</v>
      </c>
      <c r="AL17" s="18">
        <f t="shared" si="112"/>
        <v>0.4607608633749074</v>
      </c>
      <c r="AM17" s="18">
        <f t="shared" si="112"/>
        <v>0.28949882063977861</v>
      </c>
      <c r="AN17" s="18">
        <f t="shared" si="112"/>
        <v>0.20468231292517003</v>
      </c>
      <c r="AO17" s="19">
        <v>0.2</v>
      </c>
      <c r="AP17" s="19">
        <v>0.15</v>
      </c>
      <c r="AQ17" s="19">
        <v>0.12</v>
      </c>
      <c r="AR17" s="19">
        <v>0.1</v>
      </c>
      <c r="AS17" s="19">
        <v>7.0000000000000007E-2</v>
      </c>
      <c r="AT17" s="19">
        <v>7.0000000000000007E-2</v>
      </c>
      <c r="AU17" s="19">
        <v>0.06</v>
      </c>
      <c r="AV17" s="19">
        <v>0.05</v>
      </c>
      <c r="AW17" s="19">
        <v>0.04</v>
      </c>
    </row>
    <row r="18" spans="2:49" s="3" customFormat="1" x14ac:dyDescent="0.2">
      <c r="B18" s="3" t="s">
        <v>19</v>
      </c>
      <c r="C18" s="4"/>
      <c r="D18" s="4"/>
      <c r="E18" s="4"/>
      <c r="F18" s="4">
        <v>8123</v>
      </c>
      <c r="G18" s="4"/>
      <c r="H18" s="4"/>
      <c r="I18" s="4"/>
      <c r="J18" s="4">
        <v>10445</v>
      </c>
      <c r="K18" s="4">
        <v>10632</v>
      </c>
      <c r="L18" s="4">
        <v>13381</v>
      </c>
      <c r="M18" s="4">
        <v>13397</v>
      </c>
      <c r="N18" s="4">
        <v>12340</v>
      </c>
      <c r="O18" s="4">
        <v>14450</v>
      </c>
      <c r="P18" s="4">
        <v>15564</v>
      </c>
      <c r="Q18" s="4">
        <v>15160</v>
      </c>
      <c r="R18" s="4">
        <v>14628</v>
      </c>
      <c r="S18" s="4">
        <v>16229</v>
      </c>
      <c r="T18" s="4">
        <v>17725</v>
      </c>
      <c r="U18" s="4">
        <v>16988</v>
      </c>
      <c r="V18" s="4">
        <v>16134</v>
      </c>
      <c r="W18" s="4">
        <v>0</v>
      </c>
      <c r="X18" s="4"/>
      <c r="Y18" s="4"/>
      <c r="Z18" s="4"/>
      <c r="AA18" s="4"/>
      <c r="AI18" s="3">
        <v>35442</v>
      </c>
      <c r="AJ18" s="3">
        <v>43491</v>
      </c>
      <c r="AK18" s="3">
        <f t="shared" ref="AK18:AK21" si="113">+SUM(K18:N18)</f>
        <v>49750</v>
      </c>
      <c r="AL18" s="3">
        <f t="shared" ref="AL18:AL21" si="114">SUM(O18:R18)</f>
        <v>59802</v>
      </c>
      <c r="AM18" s="3">
        <f t="shared" ref="AM18:AM21" si="115">SUM(S18:V18)</f>
        <v>67076</v>
      </c>
      <c r="AN18" s="3">
        <f>+SUM(W18:Z18)</f>
        <v>0</v>
      </c>
      <c r="AO18" s="4"/>
      <c r="AP18" s="4"/>
      <c r="AQ18" s="4"/>
      <c r="AR18" s="4"/>
      <c r="AS18" s="4"/>
      <c r="AT18" s="4"/>
      <c r="AU18" s="4"/>
      <c r="AV18" s="4"/>
      <c r="AW18" s="4"/>
    </row>
    <row r="19" spans="2:49" s="17" customFormat="1" x14ac:dyDescent="0.2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>
        <f t="shared" ref="O19:U19" si="116">O18/K18-1</f>
        <v>0.35910458991723093</v>
      </c>
      <c r="P19" s="16">
        <f t="shared" si="116"/>
        <v>0.16314176817876103</v>
      </c>
      <c r="Q19" s="16">
        <f t="shared" si="116"/>
        <v>0.13159662611032319</v>
      </c>
      <c r="R19" s="16">
        <f t="shared" si="116"/>
        <v>0.1854132901134522</v>
      </c>
      <c r="S19" s="16">
        <f t="shared" si="116"/>
        <v>0.12311418685121112</v>
      </c>
      <c r="T19" s="16">
        <f t="shared" si="116"/>
        <v>0.13884605499871494</v>
      </c>
      <c r="U19" s="16">
        <f t="shared" si="116"/>
        <v>0.1205804749340369</v>
      </c>
      <c r="V19" s="16">
        <f>V18/R18-1</f>
        <v>0.10295324036095166</v>
      </c>
      <c r="X19" s="16"/>
      <c r="Y19" s="16"/>
      <c r="Z19" s="16"/>
      <c r="AA19" s="16"/>
      <c r="AJ19" s="18">
        <f>+AJ18/AI18-1</f>
        <v>0.22710343660064325</v>
      </c>
      <c r="AK19" s="18">
        <f t="shared" ref="AK19" si="117">+AK18/AJ18-1</f>
        <v>0.14391483295394458</v>
      </c>
      <c r="AL19" s="18">
        <f t="shared" ref="AL19" si="118">+AL18/AK18-1</f>
        <v>0.2020502512562814</v>
      </c>
      <c r="AM19" s="18">
        <f t="shared" ref="AM19" si="119">+AM18/AL18-1</f>
        <v>0.12163472793552055</v>
      </c>
      <c r="AN19" s="18"/>
      <c r="AO19" s="16"/>
      <c r="AP19" s="16"/>
      <c r="AQ19" s="16"/>
      <c r="AR19" s="16"/>
      <c r="AS19" s="16"/>
      <c r="AT19" s="16"/>
      <c r="AU19" s="16"/>
      <c r="AV19" s="16"/>
      <c r="AW19" s="16"/>
    </row>
    <row r="20" spans="2:49" s="3" customFormat="1" x14ac:dyDescent="0.2">
      <c r="B20" s="3" t="s">
        <v>20</v>
      </c>
      <c r="C20" s="4"/>
      <c r="D20" s="4"/>
      <c r="E20" s="4"/>
      <c r="F20" s="4">
        <v>9959</v>
      </c>
      <c r="G20" s="4"/>
      <c r="H20" s="4"/>
      <c r="I20" s="4"/>
      <c r="J20" s="4">
        <v>11582</v>
      </c>
      <c r="K20" s="4">
        <v>12142</v>
      </c>
      <c r="L20" s="4">
        <v>18282</v>
      </c>
      <c r="M20" s="4">
        <v>23023</v>
      </c>
      <c r="N20" s="4">
        <v>18915</v>
      </c>
      <c r="O20" s="4">
        <v>23164</v>
      </c>
      <c r="P20" s="4">
        <v>22823</v>
      </c>
      <c r="Q20" s="4">
        <v>28476</v>
      </c>
      <c r="R20" s="4">
        <v>24557</v>
      </c>
      <c r="S20" s="4">
        <v>26811</v>
      </c>
      <c r="T20" s="4">
        <v>24647</v>
      </c>
      <c r="U20" s="4">
        <v>28241</v>
      </c>
      <c r="V20" s="4">
        <v>21573</v>
      </c>
      <c r="W20" s="4">
        <v>0</v>
      </c>
      <c r="X20" s="4"/>
      <c r="Y20" s="4"/>
      <c r="Z20" s="4"/>
      <c r="AA20" s="4"/>
      <c r="AI20" s="3">
        <v>37258</v>
      </c>
      <c r="AJ20" s="3">
        <v>46107</v>
      </c>
      <c r="AK20" s="3">
        <f t="shared" si="113"/>
        <v>72362</v>
      </c>
      <c r="AL20" s="3">
        <f t="shared" si="114"/>
        <v>99020</v>
      </c>
      <c r="AM20" s="3">
        <f t="shared" si="115"/>
        <v>101272</v>
      </c>
      <c r="AN20" s="3">
        <f>+SUM(W20:Z20)</f>
        <v>0</v>
      </c>
      <c r="AO20" s="4"/>
      <c r="AP20" s="4"/>
      <c r="AQ20" s="4"/>
      <c r="AR20" s="4"/>
      <c r="AS20" s="4"/>
      <c r="AT20" s="4"/>
      <c r="AU20" s="4"/>
      <c r="AV20" s="4"/>
      <c r="AW20" s="4"/>
    </row>
    <row r="21" spans="2:49" s="3" customFormat="1" x14ac:dyDescent="0.2">
      <c r="B21" s="3" t="s">
        <v>21</v>
      </c>
      <c r="C21" s="4"/>
      <c r="D21" s="4"/>
      <c r="E21" s="4"/>
      <c r="F21" s="4">
        <v>16865</v>
      </c>
      <c r="G21" s="4"/>
      <c r="H21" s="4"/>
      <c r="I21" s="4"/>
      <c r="J21" s="4">
        <v>18971</v>
      </c>
      <c r="K21" s="4">
        <v>17685</v>
      </c>
      <c r="L21" s="4">
        <v>27035</v>
      </c>
      <c r="M21" s="4">
        <v>27364</v>
      </c>
      <c r="N21" s="4">
        <v>24742</v>
      </c>
      <c r="O21" s="4">
        <v>25065</v>
      </c>
      <c r="P21" s="4">
        <v>27648</v>
      </c>
      <c r="Q21" s="4">
        <v>28066</v>
      </c>
      <c r="R21" s="4">
        <v>25595</v>
      </c>
      <c r="S21" s="4">
        <v>26549</v>
      </c>
      <c r="T21" s="4">
        <v>29610</v>
      </c>
      <c r="U21" s="4">
        <v>31742</v>
      </c>
      <c r="V21" s="4">
        <v>30127</v>
      </c>
      <c r="W21" s="4">
        <v>33398</v>
      </c>
      <c r="X21" s="4">
        <f>T21*(1+X22)</f>
        <v>38493</v>
      </c>
      <c r="Y21" s="4">
        <f t="shared" ref="Y21:Z21" si="120">U21*(1+Y22)</f>
        <v>42216.86</v>
      </c>
      <c r="Z21" s="4">
        <f t="shared" si="120"/>
        <v>40671.450000000004</v>
      </c>
      <c r="AA21" s="4"/>
      <c r="AH21" s="3">
        <v>40016</v>
      </c>
      <c r="AI21" s="3">
        <v>60558</v>
      </c>
      <c r="AJ21" s="3">
        <v>74568</v>
      </c>
      <c r="AK21" s="3">
        <f t="shared" si="113"/>
        <v>96826</v>
      </c>
      <c r="AL21" s="3">
        <f t="shared" si="114"/>
        <v>106374</v>
      </c>
      <c r="AM21" s="3">
        <f t="shared" si="115"/>
        <v>118028</v>
      </c>
      <c r="AN21" s="3">
        <f>+SUM(W21:Z21)</f>
        <v>154779.31</v>
      </c>
      <c r="AO21" s="4">
        <f>+AN21*(1+AO22)</f>
        <v>208952.06850000002</v>
      </c>
      <c r="AP21" s="4">
        <f t="shared" ref="AP21" si="121">+AO21*(1+AP22)</f>
        <v>271637.68905000004</v>
      </c>
      <c r="AQ21" s="4">
        <f t="shared" ref="AQ21" si="122">+AP21*(1+AQ22)</f>
        <v>353128.99576500006</v>
      </c>
      <c r="AR21" s="4">
        <f t="shared" ref="AR21" si="123">+AQ21*(1+AR22)</f>
        <v>441411.24470625009</v>
      </c>
      <c r="AS21" s="4">
        <f t="shared" ref="AS21" si="124">+AR21*(1+AS22)</f>
        <v>551764.05588281259</v>
      </c>
      <c r="AT21" s="4">
        <f t="shared" ref="AT21" si="125">+AS21*(1+AT22)</f>
        <v>662116.86705937504</v>
      </c>
      <c r="AU21" s="4">
        <f t="shared" ref="AU21" si="126">+AT21*(1+AU22)</f>
        <v>794540.24047125003</v>
      </c>
      <c r="AV21" s="4">
        <f t="shared" ref="AV21" si="127">+AU21*(1+AV22)</f>
        <v>913721.27654193749</v>
      </c>
      <c r="AW21" s="4">
        <f t="shared" ref="AW21" si="128">+AV21*(1+AW22)</f>
        <v>1005093.4041961313</v>
      </c>
    </row>
    <row r="22" spans="2:49" s="18" customFormat="1" x14ac:dyDescent="0.2">
      <c r="B22" s="20" t="s">
        <v>93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>
        <f t="shared" ref="P22:V22" si="129">P21/L21-1</f>
        <v>2.2674311078231923E-2</v>
      </c>
      <c r="Q22" s="19">
        <f t="shared" si="129"/>
        <v>2.5654144130974998E-2</v>
      </c>
      <c r="R22" s="19">
        <f t="shared" si="129"/>
        <v>3.4475790154393282E-2</v>
      </c>
      <c r="S22" s="19">
        <f t="shared" si="129"/>
        <v>5.9206064232994127E-2</v>
      </c>
      <c r="T22" s="19">
        <f t="shared" si="129"/>
        <v>7.0963541666666741E-2</v>
      </c>
      <c r="U22" s="19">
        <f t="shared" si="129"/>
        <v>0.1309769828261953</v>
      </c>
      <c r="V22" s="19">
        <f t="shared" si="129"/>
        <v>0.17706583317054103</v>
      </c>
      <c r="W22" s="19">
        <f>W21/S21-1</f>
        <v>0.25797581829824101</v>
      </c>
      <c r="X22" s="19">
        <v>0.3</v>
      </c>
      <c r="Y22" s="19">
        <v>0.33</v>
      </c>
      <c r="Z22" s="19">
        <v>0.35</v>
      </c>
      <c r="AA22" s="19"/>
      <c r="AI22" s="18">
        <f t="shared" ref="AI22" si="130">+AI21/AH21-1</f>
        <v>0.51334466213514585</v>
      </c>
      <c r="AJ22" s="18">
        <f t="shared" ref="AJ22" si="131">+AJ21/AI21-1</f>
        <v>0.23134845932824732</v>
      </c>
      <c r="AK22" s="18">
        <f t="shared" ref="AK22:AL22" si="132">+AK21/AJ21-1</f>
        <v>0.29849265100311118</v>
      </c>
      <c r="AL22" s="18">
        <f t="shared" si="132"/>
        <v>9.8609877512238375E-2</v>
      </c>
      <c r="AM22" s="18">
        <f>+AM21/AL21-1</f>
        <v>0.10955684659785292</v>
      </c>
      <c r="AN22" s="18">
        <f t="shared" ref="AN22" si="133">+AN21/AM21-1</f>
        <v>0.31137789338123145</v>
      </c>
      <c r="AO22" s="19">
        <v>0.35</v>
      </c>
      <c r="AP22" s="19">
        <v>0.3</v>
      </c>
      <c r="AQ22" s="19">
        <v>0.3</v>
      </c>
      <c r="AR22" s="19">
        <v>0.25</v>
      </c>
      <c r="AS22" s="19">
        <v>0.25</v>
      </c>
      <c r="AT22" s="19">
        <v>0.2</v>
      </c>
      <c r="AU22" s="19">
        <v>0.2</v>
      </c>
      <c r="AV22" s="19">
        <v>0.15</v>
      </c>
      <c r="AW22" s="19">
        <v>0.1</v>
      </c>
    </row>
    <row r="23" spans="2:49" s="3" customFormat="1" x14ac:dyDescent="0.2">
      <c r="B23" s="3" t="s">
        <v>22</v>
      </c>
      <c r="C23" s="4"/>
      <c r="D23" s="4"/>
      <c r="E23" s="4"/>
      <c r="F23" s="4">
        <v>8047</v>
      </c>
      <c r="G23" s="4"/>
      <c r="H23" s="4"/>
      <c r="I23" s="4"/>
      <c r="J23" s="4">
        <v>8005</v>
      </c>
      <c r="K23" s="4">
        <v>7231</v>
      </c>
      <c r="L23" s="4">
        <v>5228</v>
      </c>
      <c r="M23" s="4">
        <v>4261</v>
      </c>
      <c r="N23" s="4">
        <v>4989</v>
      </c>
      <c r="O23" s="4">
        <v>5381</v>
      </c>
      <c r="P23" s="4">
        <v>5779</v>
      </c>
      <c r="Q23" s="4">
        <v>5040</v>
      </c>
      <c r="R23" s="4">
        <v>4945</v>
      </c>
      <c r="S23" s="4">
        <v>5581</v>
      </c>
      <c r="T23" s="4">
        <v>5694</v>
      </c>
      <c r="U23" s="4">
        <v>5438</v>
      </c>
      <c r="V23" s="4">
        <v>5554</v>
      </c>
      <c r="W23" s="4">
        <v>0</v>
      </c>
      <c r="X23" s="4"/>
      <c r="Y23" s="4"/>
      <c r="Z23" s="4"/>
      <c r="AA23" s="4"/>
      <c r="AH23" s="3">
        <v>29094</v>
      </c>
      <c r="AI23" s="3">
        <v>31186</v>
      </c>
      <c r="AJ23" s="3">
        <v>32272</v>
      </c>
      <c r="AK23" s="3">
        <f t="shared" ref="AK23:AK25" si="134">+SUM(K23:N23)</f>
        <v>21709</v>
      </c>
      <c r="AL23" s="3">
        <f t="shared" ref="AL23:AL25" si="135">SUM(O23:R23)</f>
        <v>21145</v>
      </c>
      <c r="AM23" s="3">
        <f t="shared" ref="AM23:AM25" si="136">SUM(S23:V23)</f>
        <v>22267</v>
      </c>
      <c r="AN23" s="3">
        <f>+SUM(W23:Z23)</f>
        <v>0</v>
      </c>
      <c r="AO23" s="4"/>
      <c r="AP23" s="4"/>
      <c r="AQ23" s="4"/>
      <c r="AR23" s="4"/>
      <c r="AS23" s="4"/>
      <c r="AT23" s="4"/>
      <c r="AU23" s="4"/>
      <c r="AV23" s="4"/>
      <c r="AW23" s="4"/>
    </row>
    <row r="24" spans="2:49" s="3" customFormat="1" x14ac:dyDescent="0.2">
      <c r="B24" s="3" t="s">
        <v>23</v>
      </c>
      <c r="C24" s="4"/>
      <c r="D24" s="4"/>
      <c r="E24" s="4"/>
      <c r="F24" s="4">
        <v>594</v>
      </c>
      <c r="G24" s="4"/>
      <c r="H24" s="4"/>
      <c r="I24" s="4"/>
      <c r="J24" s="4">
        <v>384</v>
      </c>
      <c r="K24" s="4">
        <v>479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>
        <v>0</v>
      </c>
      <c r="X24" s="4"/>
      <c r="Y24" s="4"/>
      <c r="Z24" s="4"/>
      <c r="AA24" s="4"/>
      <c r="AH24" s="3">
        <v>4497</v>
      </c>
      <c r="AI24" s="3">
        <v>2311</v>
      </c>
      <c r="AJ24" s="3">
        <v>2841</v>
      </c>
      <c r="AK24" s="3">
        <f t="shared" si="134"/>
        <v>479</v>
      </c>
      <c r="AL24" s="3">
        <f t="shared" si="135"/>
        <v>0</v>
      </c>
      <c r="AM24" s="3">
        <f t="shared" si="136"/>
        <v>0</v>
      </c>
      <c r="AN24" s="3">
        <f>+SUM(W24:Z24)</f>
        <v>0</v>
      </c>
      <c r="AO24" s="4"/>
      <c r="AP24" s="4"/>
      <c r="AQ24" s="4"/>
      <c r="AR24" s="4"/>
      <c r="AS24" s="4"/>
      <c r="AT24" s="4"/>
      <c r="AU24" s="4"/>
      <c r="AV24" s="4"/>
      <c r="AW24" s="4"/>
    </row>
    <row r="25" spans="2:49" s="3" customFormat="1" x14ac:dyDescent="0.2">
      <c r="B25" s="3" t="s">
        <v>61</v>
      </c>
      <c r="C25" s="4"/>
      <c r="D25" s="4"/>
      <c r="E25" s="4"/>
      <c r="F25" s="4"/>
      <c r="G25" s="4"/>
      <c r="H25" s="4"/>
      <c r="I25" s="4"/>
      <c r="J25" s="4"/>
      <c r="K25" s="4"/>
      <c r="L25" s="4">
        <f>216-14889+48142</f>
        <v>33469</v>
      </c>
      <c r="M25" s="4">
        <f>50334+225-17737</f>
        <v>32822</v>
      </c>
      <c r="N25" s="4">
        <f>53303+232-15125</f>
        <v>38410</v>
      </c>
      <c r="O25" s="4">
        <f>45798-17027+249</f>
        <v>29020</v>
      </c>
      <c r="P25" s="4">
        <f>48052-17518+277</f>
        <v>30811</v>
      </c>
      <c r="Q25" s="4">
        <f>47023+374-21377</f>
        <v>26020</v>
      </c>
      <c r="R25" s="4">
        <f>51458+397-20370</f>
        <v>31485</v>
      </c>
      <c r="S25" s="4">
        <f>47001-22020+419</f>
        <v>25400</v>
      </c>
      <c r="T25" s="4">
        <f>52178+469-24486</f>
        <v>28161</v>
      </c>
      <c r="U25" s="4">
        <f>53102+590-29794</f>
        <v>23898</v>
      </c>
      <c r="V25" s="4">
        <f>53988+446-26316</f>
        <v>28118</v>
      </c>
      <c r="W25" s="4">
        <f>58599+519-19677</f>
        <v>39441</v>
      </c>
      <c r="X25" s="4">
        <f>T25*(1+X26)</f>
        <v>25626.510000000002</v>
      </c>
      <c r="Y25" s="4">
        <f t="shared" ref="Y25" si="137">U25*(1+Y26)</f>
        <v>21747.18</v>
      </c>
      <c r="Z25" s="4">
        <f t="shared" ref="Z25" si="138">V25*(1+Z26)</f>
        <v>26712.1</v>
      </c>
      <c r="AA25" s="4"/>
      <c r="AK25" s="3">
        <f t="shared" si="134"/>
        <v>104701</v>
      </c>
      <c r="AL25" s="3">
        <f t="shared" si="135"/>
        <v>117336</v>
      </c>
      <c r="AM25" s="3">
        <f t="shared" si="136"/>
        <v>105577</v>
      </c>
      <c r="AN25" s="3">
        <f>+SUM(W25:Z25)</f>
        <v>113526.79000000001</v>
      </c>
      <c r="AO25" s="4">
        <f>+AN25*(1+AO26)</f>
        <v>122608.93320000001</v>
      </c>
      <c r="AP25" s="4">
        <f t="shared" ref="AP25:AW25" si="139">+AO25*(1+AP26)</f>
        <v>132417.64785600003</v>
      </c>
      <c r="AQ25" s="4">
        <f t="shared" si="139"/>
        <v>141686.88320592002</v>
      </c>
      <c r="AR25" s="4">
        <f t="shared" si="139"/>
        <v>151604.96503033442</v>
      </c>
      <c r="AS25" s="4">
        <f t="shared" si="139"/>
        <v>162217.31258245785</v>
      </c>
      <c r="AT25" s="4">
        <f t="shared" si="139"/>
        <v>171950.35133740533</v>
      </c>
      <c r="AU25" s="4">
        <f t="shared" si="139"/>
        <v>180547.86890427562</v>
      </c>
      <c r="AV25" s="4">
        <f t="shared" si="139"/>
        <v>189575.26234948941</v>
      </c>
      <c r="AW25" s="4">
        <f t="shared" si="139"/>
        <v>197158.27284346899</v>
      </c>
    </row>
    <row r="26" spans="2:49" s="17" customFormat="1" x14ac:dyDescent="0.2"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9">
        <f t="shared" ref="P26:V26" si="140">(P25+P20+P23)/(L25+L20+L23)-1</f>
        <v>4.2717492409484192E-2</v>
      </c>
      <c r="Q26" s="19">
        <f t="shared" si="140"/>
        <v>-9.4832462649319105E-3</v>
      </c>
      <c r="R26" s="19">
        <f t="shared" si="140"/>
        <v>-2.1295375036107456E-2</v>
      </c>
      <c r="S26" s="19">
        <f t="shared" si="140"/>
        <v>3.9433683661946883E-3</v>
      </c>
      <c r="T26" s="19">
        <f t="shared" si="140"/>
        <v>-1.5333344554222195E-2</v>
      </c>
      <c r="U26" s="19">
        <f t="shared" si="140"/>
        <v>-3.2904461166353149E-2</v>
      </c>
      <c r="V26" s="19">
        <f t="shared" si="140"/>
        <v>-9.4151212553495012E-2</v>
      </c>
      <c r="W26" s="19">
        <f>(W25+W20+W23)/(S25+S20+S23)-1</f>
        <v>-0.31753529900332222</v>
      </c>
      <c r="X26" s="16">
        <v>-0.09</v>
      </c>
      <c r="Y26" s="16">
        <v>-0.09</v>
      </c>
      <c r="Z26" s="16">
        <v>-0.05</v>
      </c>
      <c r="AA26" s="16"/>
      <c r="AK26" s="18"/>
      <c r="AL26" s="18">
        <f t="shared" ref="AL26" si="141">+AL25/AK25-1</f>
        <v>0.12067697538705446</v>
      </c>
      <c r="AM26" s="18">
        <f>+AM25/AL25-1</f>
        <v>-0.1002164723529011</v>
      </c>
      <c r="AN26" s="18">
        <f t="shared" ref="AN26" si="142">+AN25/AM25-1</f>
        <v>7.5298502514752341E-2</v>
      </c>
      <c r="AO26" s="16">
        <v>0.08</v>
      </c>
      <c r="AP26" s="16">
        <v>0.08</v>
      </c>
      <c r="AQ26" s="16">
        <v>7.0000000000000007E-2</v>
      </c>
      <c r="AR26" s="16">
        <v>7.0000000000000007E-2</v>
      </c>
      <c r="AS26" s="16">
        <v>7.0000000000000007E-2</v>
      </c>
      <c r="AT26" s="16">
        <v>0.06</v>
      </c>
      <c r="AU26" s="16">
        <v>0.05</v>
      </c>
      <c r="AV26" s="16">
        <v>0.05</v>
      </c>
      <c r="AW26" s="16">
        <v>0.04</v>
      </c>
    </row>
    <row r="27" spans="2:49" s="5" customFormat="1" x14ac:dyDescent="0.2">
      <c r="B27" s="5" t="s">
        <v>5</v>
      </c>
      <c r="C27" s="6"/>
      <c r="D27" s="6"/>
      <c r="E27" s="6"/>
      <c r="F27" s="6">
        <f>SUM(F14:F24)</f>
        <v>187395</v>
      </c>
      <c r="G27" s="6"/>
      <c r="H27" s="6"/>
      <c r="I27" s="6"/>
      <c r="J27" s="6">
        <f t="shared" ref="J27:V27" si="143">+J25+J24+J23+J21+J20+J18+J16+J14</f>
        <v>204052</v>
      </c>
      <c r="K27" s="6">
        <f t="shared" si="143"/>
        <v>205555</v>
      </c>
      <c r="L27" s="6">
        <f t="shared" si="143"/>
        <v>207176</v>
      </c>
      <c r="M27" s="6">
        <f t="shared" si="143"/>
        <v>247756</v>
      </c>
      <c r="N27" s="6">
        <f t="shared" si="143"/>
        <v>208200</v>
      </c>
      <c r="O27" s="6">
        <f t="shared" si="143"/>
        <v>234156</v>
      </c>
      <c r="P27" s="6">
        <f t="shared" si="143"/>
        <v>224790</v>
      </c>
      <c r="Q27" s="6">
        <f t="shared" si="143"/>
        <v>260348</v>
      </c>
      <c r="R27" s="6">
        <f t="shared" si="143"/>
        <v>221874</v>
      </c>
      <c r="S27" s="6">
        <f t="shared" si="143"/>
        <v>244209</v>
      </c>
      <c r="T27" s="6">
        <f t="shared" si="143"/>
        <v>236503</v>
      </c>
      <c r="U27" s="6">
        <f t="shared" si="143"/>
        <v>280154</v>
      </c>
      <c r="V27" s="6">
        <f t="shared" si="143"/>
        <v>236454</v>
      </c>
      <c r="W27" s="6">
        <f>+W25+W24+W23+W21+W20+W18+W16+W14</f>
        <v>247652</v>
      </c>
      <c r="X27" s="6">
        <f>+X25+X24+X23+X21+X20+X18+X16+X14</f>
        <v>228812.6</v>
      </c>
      <c r="Y27" s="6">
        <f t="shared" ref="Y27:Z27" si="144">+Y25+Y24+Y23+Y21+Y20+Y18+Y16+Y14</f>
        <v>276374.78000000003</v>
      </c>
      <c r="Z27" s="6">
        <f t="shared" si="144"/>
        <v>236678.49</v>
      </c>
      <c r="AA27" s="6"/>
      <c r="AC27" s="5">
        <v>76204</v>
      </c>
      <c r="AD27" s="5">
        <v>101143</v>
      </c>
      <c r="AE27" s="5">
        <v>158273</v>
      </c>
      <c r="AF27" s="5">
        <v>250266</v>
      </c>
      <c r="AG27" s="5">
        <v>376844</v>
      </c>
      <c r="AH27" s="5">
        <v>509711</v>
      </c>
      <c r="AI27" s="6">
        <f t="shared" ref="AI27:AJ27" si="145">+AI25+AI24+AI23+AI21+AI20+AI18+AI16+AI14</f>
        <v>717289</v>
      </c>
      <c r="AJ27" s="6">
        <f t="shared" si="145"/>
        <v>853062</v>
      </c>
      <c r="AK27" s="5">
        <v>868867</v>
      </c>
      <c r="AL27" s="6">
        <f t="shared" ref="AL27:AM27" si="146">+AL25+AL24+AL23+AL21+AL20+AL18+AL16+AL14</f>
        <v>941168</v>
      </c>
      <c r="AM27" s="6">
        <f t="shared" si="146"/>
        <v>997320</v>
      </c>
      <c r="AN27" s="6">
        <f>+AN25+AN24+AN23+AN21+AN20+AN18+AN16+AN14</f>
        <v>989517.86999999988</v>
      </c>
      <c r="AO27" s="6">
        <f t="shared" ref="AO27" si="147">+AO25+AO24+AO23+AO21+AO20+AO18+AO16+AO14</f>
        <v>1130966.5102000001</v>
      </c>
      <c r="AP27" s="6">
        <f t="shared" ref="AP27" si="148">+AP25+AP24+AP23+AP21+AP20+AP18+AP16+AP14</f>
        <v>1276249.677561</v>
      </c>
      <c r="AQ27" s="6">
        <f t="shared" ref="AQ27" si="149">+AQ25+AQ24+AQ23+AQ21+AQ20+AQ18+AQ16+AQ14</f>
        <v>1442344.8146289003</v>
      </c>
      <c r="AR27" s="6">
        <f t="shared" ref="AR27" si="150">+AR25+AR24+AR23+AR21+AR20+AR18+AR16+AR14</f>
        <v>1608454.4207206045</v>
      </c>
      <c r="AS27" s="6">
        <f t="shared" ref="AS27" si="151">+AS25+AS24+AS23+AS21+AS20+AS18+AS16+AS14</f>
        <v>1783557.1711073313</v>
      </c>
      <c r="AT27" s="6">
        <f t="shared" ref="AT27" si="152">+AT25+AT24+AT23+AT21+AT20+AT18+AT16+AT14</f>
        <v>1957881.2724710284</v>
      </c>
      <c r="AU27" s="6">
        <f t="shared" ref="AU27" si="153">+AU25+AU24+AU23+AU21+AU20+AU18+AU16+AU14</f>
        <v>2151520.653835115</v>
      </c>
      <c r="AV27" s="6">
        <f t="shared" ref="AV27" si="154">+AV25+AV24+AV23+AV21+AV20+AV18+AV16+AV14</f>
        <v>2319657.6705104597</v>
      </c>
      <c r="AW27" s="6">
        <f t="shared" ref="AW27" si="155">+AW25+AW24+AW23+AW21+AW20+AW18+AW16+AW14</f>
        <v>2453037.2011161428</v>
      </c>
    </row>
    <row r="28" spans="2:49" s="3" customFormat="1" x14ac:dyDescent="0.2">
      <c r="B28" s="3" t="s">
        <v>24</v>
      </c>
      <c r="C28" s="4"/>
      <c r="D28" s="4"/>
      <c r="E28" s="4"/>
      <c r="F28" s="4">
        <v>125454</v>
      </c>
      <c r="G28" s="4"/>
      <c r="H28" s="4"/>
      <c r="I28" s="4"/>
      <c r="J28" s="4">
        <v>138945</v>
      </c>
      <c r="K28" s="4">
        <v>129657</v>
      </c>
      <c r="L28" s="4">
        <v>131210</v>
      </c>
      <c r="M28" s="4">
        <v>150005</v>
      </c>
      <c r="N28" s="4">
        <v>138823</v>
      </c>
      <c r="O28" s="4">
        <v>142347</v>
      </c>
      <c r="P28" s="4">
        <v>139664</v>
      </c>
      <c r="Q28" s="4">
        <v>156214</v>
      </c>
      <c r="R28" s="4">
        <v>148098</v>
      </c>
      <c r="S28" s="4">
        <v>146106</v>
      </c>
      <c r="T28" s="4">
        <v>144029</v>
      </c>
      <c r="U28" s="4">
        <v>162524</v>
      </c>
      <c r="V28" s="4">
        <v>145626</v>
      </c>
      <c r="W28" s="4">
        <v>136429</v>
      </c>
      <c r="X28" s="4">
        <f>X27*(1-X45)</f>
        <v>128135.05600000001</v>
      </c>
      <c r="Y28" s="4">
        <f t="shared" ref="Y28:Z28" si="156">Y27*(1-Y45)</f>
        <v>149242.38120000003</v>
      </c>
      <c r="Z28" s="4">
        <f t="shared" si="156"/>
        <v>137273.52420000001</v>
      </c>
      <c r="AA28" s="4"/>
      <c r="AC28" s="3">
        <v>23834</v>
      </c>
      <c r="AD28" s="3">
        <v>34355</v>
      </c>
      <c r="AE28" s="3">
        <v>59483</v>
      </c>
      <c r="AF28" s="3">
        <v>107044</v>
      </c>
      <c r="AG28" s="3">
        <v>206929</v>
      </c>
      <c r="AH28" s="3">
        <v>282367</v>
      </c>
      <c r="AI28" s="3">
        <v>421205</v>
      </c>
      <c r="AJ28" s="3">
        <v>539450</v>
      </c>
      <c r="AK28" s="3">
        <v>549695</v>
      </c>
      <c r="AL28" s="3">
        <f>SUM(O28:R28)</f>
        <v>586323</v>
      </c>
      <c r="AM28" s="3">
        <f>SUM(S28:V28)</f>
        <v>598285</v>
      </c>
      <c r="AN28" s="3">
        <f>+SUM(W28:Z28)</f>
        <v>551079.96140000003</v>
      </c>
      <c r="AO28" s="4">
        <f>+AO27*(1-AO45)</f>
        <v>622031.58061000018</v>
      </c>
      <c r="AP28" s="4">
        <f t="shared" ref="AP28:AW28" si="157">+AP27*(1-AP45)</f>
        <v>676412.32910733006</v>
      </c>
      <c r="AQ28" s="4">
        <f t="shared" si="157"/>
        <v>721172.40731445013</v>
      </c>
      <c r="AR28" s="4">
        <f t="shared" si="157"/>
        <v>788142.66615309613</v>
      </c>
      <c r="AS28" s="4">
        <f t="shared" si="157"/>
        <v>873943.01384259237</v>
      </c>
      <c r="AT28" s="4">
        <f t="shared" si="157"/>
        <v>939783.01078609354</v>
      </c>
      <c r="AU28" s="4">
        <f t="shared" si="157"/>
        <v>1011214.707302504</v>
      </c>
      <c r="AV28" s="4">
        <f t="shared" si="157"/>
        <v>1067042.5284348114</v>
      </c>
      <c r="AW28" s="4">
        <f t="shared" si="157"/>
        <v>1103866.7405022641</v>
      </c>
    </row>
    <row r="29" spans="2:49" s="5" customFormat="1" x14ac:dyDescent="0.2">
      <c r="B29" s="5" t="s">
        <v>26</v>
      </c>
      <c r="C29" s="6"/>
      <c r="D29" s="6"/>
      <c r="E29" s="6"/>
      <c r="F29" s="6">
        <f>F27-F28</f>
        <v>61941</v>
      </c>
      <c r="G29" s="6">
        <f t="shared" ref="G29:K29" si="158">G27-G28</f>
        <v>0</v>
      </c>
      <c r="H29" s="6">
        <f t="shared" si="158"/>
        <v>0</v>
      </c>
      <c r="I29" s="6">
        <f t="shared" si="158"/>
        <v>0</v>
      </c>
      <c r="J29" s="6">
        <f t="shared" si="158"/>
        <v>65107</v>
      </c>
      <c r="K29" s="6">
        <f t="shared" si="158"/>
        <v>75898</v>
      </c>
      <c r="L29" s="6">
        <f>+L27-L28</f>
        <v>75966</v>
      </c>
      <c r="M29" s="6">
        <f>+M27-M28</f>
        <v>97751</v>
      </c>
      <c r="N29" s="6">
        <f t="shared" ref="N29:R29" si="159">+N27-N28</f>
        <v>69377</v>
      </c>
      <c r="O29" s="6">
        <f t="shared" si="159"/>
        <v>91809</v>
      </c>
      <c r="P29" s="6">
        <f t="shared" si="159"/>
        <v>85126</v>
      </c>
      <c r="Q29" s="6">
        <f t="shared" si="159"/>
        <v>104134</v>
      </c>
      <c r="R29" s="6">
        <f t="shared" si="159"/>
        <v>73776</v>
      </c>
      <c r="S29" s="6">
        <f>+S27-S28</f>
        <v>98103</v>
      </c>
      <c r="T29" s="6">
        <f>+T27-T28</f>
        <v>92474</v>
      </c>
      <c r="U29" s="6">
        <f>+U27-U28</f>
        <v>117630</v>
      </c>
      <c r="V29" s="6">
        <f t="shared" ref="V29" si="160">+V27-V28</f>
        <v>90828</v>
      </c>
      <c r="W29" s="6">
        <f t="shared" ref="W29" si="161">+W27-W28</f>
        <v>111223</v>
      </c>
      <c r="X29" s="6">
        <f t="shared" ref="X29" si="162">+X27-X28</f>
        <v>100677.54399999999</v>
      </c>
      <c r="Y29" s="6">
        <f t="shared" ref="Y29" si="163">+Y27-Y28</f>
        <v>127132.3988</v>
      </c>
      <c r="Z29" s="6">
        <f t="shared" ref="Z29" si="164">+Z27-Z28</f>
        <v>99404.965799999976</v>
      </c>
      <c r="AA29" s="6"/>
      <c r="AC29" s="5">
        <f t="shared" ref="AC29:AD29" si="165">AC27-AC28</f>
        <v>52370</v>
      </c>
      <c r="AD29" s="5">
        <f t="shared" si="165"/>
        <v>66788</v>
      </c>
      <c r="AE29" s="5">
        <f t="shared" ref="AE29:AF29" si="166">AE27-AE28</f>
        <v>98790</v>
      </c>
      <c r="AF29" s="5">
        <f t="shared" si="166"/>
        <v>143222</v>
      </c>
      <c r="AG29" s="5">
        <f>AG27-AG28</f>
        <v>169915</v>
      </c>
      <c r="AH29" s="5">
        <f>AH27-AH28</f>
        <v>227344</v>
      </c>
      <c r="AI29" s="5">
        <f>AI27-AI28</f>
        <v>296084</v>
      </c>
      <c r="AJ29" s="5">
        <f t="shared" ref="AJ29" si="167">AJ27-AJ28</f>
        <v>313612</v>
      </c>
      <c r="AK29" s="5">
        <f>+AK27-AK28</f>
        <v>319172</v>
      </c>
      <c r="AL29" s="5">
        <f>+AL27-AL28</f>
        <v>354845</v>
      </c>
      <c r="AM29" s="6">
        <f t="shared" ref="AM29" si="168">+AM27-AM28</f>
        <v>399035</v>
      </c>
      <c r="AN29" s="6">
        <f t="shared" ref="AN29" si="169">+AN27-AN28</f>
        <v>438437.90859999985</v>
      </c>
      <c r="AO29" s="6">
        <f t="shared" ref="AO29" si="170">+AO27-AO28</f>
        <v>508934.92958999996</v>
      </c>
      <c r="AP29" s="6">
        <f t="shared" ref="AP29" si="171">+AP27-AP28</f>
        <v>599837.34845366993</v>
      </c>
      <c r="AQ29" s="6">
        <f t="shared" ref="AQ29" si="172">+AQ27-AQ28</f>
        <v>721172.40731445013</v>
      </c>
      <c r="AR29" s="6">
        <f t="shared" ref="AR29" si="173">+AR27-AR28</f>
        <v>820311.75456750835</v>
      </c>
      <c r="AS29" s="6">
        <f t="shared" ref="AS29" si="174">+AS27-AS28</f>
        <v>909614.15726473893</v>
      </c>
      <c r="AT29" s="6">
        <f t="shared" ref="AT29" si="175">+AT27-AT28</f>
        <v>1018098.2616849348</v>
      </c>
      <c r="AU29" s="6">
        <f t="shared" ref="AU29" si="176">+AU27-AU28</f>
        <v>1140305.946532611</v>
      </c>
      <c r="AV29" s="6">
        <f t="shared" ref="AV29" si="177">+AV27-AV28</f>
        <v>1252615.1420756483</v>
      </c>
      <c r="AW29" s="6">
        <f t="shared" ref="AW29" si="178">+AW27-AW28</f>
        <v>1349170.4606138787</v>
      </c>
    </row>
    <row r="30" spans="2:49" s="3" customFormat="1" x14ac:dyDescent="0.2">
      <c r="B30" s="3" t="s">
        <v>27</v>
      </c>
      <c r="C30" s="4"/>
      <c r="D30" s="4"/>
      <c r="E30" s="4"/>
      <c r="F30" s="4">
        <v>13302</v>
      </c>
      <c r="G30" s="4"/>
      <c r="H30" s="4"/>
      <c r="I30" s="4"/>
      <c r="J30" s="4">
        <v>10944</v>
      </c>
      <c r="K30" s="4">
        <v>14193</v>
      </c>
      <c r="L30" s="4">
        <v>15150</v>
      </c>
      <c r="M30" s="4">
        <v>13521</v>
      </c>
      <c r="N30" s="4">
        <v>13880</v>
      </c>
      <c r="O30" s="4">
        <v>10465</v>
      </c>
      <c r="P30" s="4">
        <v>14218</v>
      </c>
      <c r="Q30" s="4">
        <v>13488</v>
      </c>
      <c r="R30" s="4">
        <v>14085</v>
      </c>
      <c r="S30" s="4">
        <v>13373</v>
      </c>
      <c r="T30" s="4">
        <v>14182</v>
      </c>
      <c r="U30" s="4">
        <v>14662</v>
      </c>
      <c r="V30" s="4">
        <v>14934</v>
      </c>
      <c r="W30" s="4">
        <v>15001</v>
      </c>
      <c r="X30" s="4">
        <f>T30*(1+X49)</f>
        <v>16025.659999999998</v>
      </c>
      <c r="Y30" s="4">
        <f t="shared" ref="Y30:Z30" si="179">U30*(1+Y49)</f>
        <v>16861.3</v>
      </c>
      <c r="Z30" s="4">
        <f t="shared" si="179"/>
        <v>17174.099999999999</v>
      </c>
      <c r="AA30" s="4"/>
      <c r="AC30" s="3">
        <v>10658</v>
      </c>
      <c r="AD30" s="3">
        <v>13788</v>
      </c>
      <c r="AE30" s="3">
        <v>17060</v>
      </c>
      <c r="AF30" s="3">
        <v>22754</v>
      </c>
      <c r="AG30" s="3">
        <v>37435</v>
      </c>
      <c r="AH30" s="3">
        <v>43080</v>
      </c>
      <c r="AI30" s="3">
        <v>57236</v>
      </c>
      <c r="AJ30" s="3">
        <v>55465</v>
      </c>
      <c r="AK30" s="3">
        <v>56744</v>
      </c>
      <c r="AL30" s="3">
        <f t="shared" ref="AL30:AL32" si="180">SUM(O30:R30)</f>
        <v>52256</v>
      </c>
      <c r="AM30" s="3">
        <f t="shared" ref="AM30:AM32" si="181">SUM(S30:V30)</f>
        <v>57151</v>
      </c>
      <c r="AN30" s="3">
        <f t="shared" ref="AN30:AN32" si="182">+SUM(W30:Z30)</f>
        <v>65062.05999999999</v>
      </c>
      <c r="AO30" s="4">
        <f>+AN30*(1+AO49)</f>
        <v>71568.265999999989</v>
      </c>
      <c r="AP30" s="4">
        <f t="shared" ref="AP30:AW30" si="183">+AO30*(1+AP49)</f>
        <v>76578.044619999986</v>
      </c>
      <c r="AQ30" s="4">
        <f t="shared" si="183"/>
        <v>81938.507743399983</v>
      </c>
      <c r="AR30" s="4">
        <f t="shared" si="183"/>
        <v>86854.818208003984</v>
      </c>
      <c r="AS30" s="4">
        <f t="shared" si="183"/>
        <v>92066.107300484233</v>
      </c>
      <c r="AT30" s="4">
        <f t="shared" si="183"/>
        <v>97590.073738513296</v>
      </c>
      <c r="AU30" s="4">
        <f t="shared" si="183"/>
        <v>102469.57742543897</v>
      </c>
      <c r="AV30" s="4">
        <f t="shared" si="183"/>
        <v>107593.05629671093</v>
      </c>
      <c r="AW30" s="4">
        <f t="shared" si="183"/>
        <v>112972.70911154649</v>
      </c>
    </row>
    <row r="31" spans="2:49" s="3" customFormat="1" x14ac:dyDescent="0.2">
      <c r="B31" s="3" t="s">
        <v>28</v>
      </c>
      <c r="C31" s="4"/>
      <c r="D31" s="4"/>
      <c r="E31" s="4"/>
      <c r="F31" s="4">
        <v>25153</v>
      </c>
      <c r="G31" s="4"/>
      <c r="H31" s="4"/>
      <c r="I31" s="4"/>
      <c r="J31" s="4">
        <v>27200</v>
      </c>
      <c r="K31" s="4">
        <v>25578</v>
      </c>
      <c r="L31" s="4">
        <v>22359</v>
      </c>
      <c r="M31" s="4">
        <v>30628</v>
      </c>
      <c r="N31" s="4">
        <v>24931</v>
      </c>
      <c r="O31" s="4">
        <v>27047</v>
      </c>
      <c r="P31" s="4">
        <v>25485</v>
      </c>
      <c r="Q31" s="4">
        <v>33783</v>
      </c>
      <c r="R31" s="4">
        <v>28826</v>
      </c>
      <c r="S31" s="4">
        <v>32696</v>
      </c>
      <c r="T31" s="4">
        <v>32471</v>
      </c>
      <c r="U31" s="4">
        <v>42675</v>
      </c>
      <c r="V31" s="4">
        <v>36179</v>
      </c>
      <c r="W31" s="4">
        <v>53178</v>
      </c>
      <c r="X31" s="4">
        <f>T31*(1+X50)</f>
        <v>48706.5</v>
      </c>
      <c r="Y31" s="4">
        <f>U31*(1+Y50)</f>
        <v>59744.999999999993</v>
      </c>
      <c r="Z31" s="4">
        <f>V31*(1+Z50)</f>
        <v>50650.6</v>
      </c>
      <c r="AA31" s="4"/>
      <c r="AC31" s="3">
        <v>8513</v>
      </c>
      <c r="AD31" s="3">
        <v>11307</v>
      </c>
      <c r="AE31" s="3">
        <v>16314</v>
      </c>
      <c r="AF31" s="3">
        <v>27299</v>
      </c>
      <c r="AG31" s="3">
        <v>39780</v>
      </c>
      <c r="AH31" s="3">
        <v>50673</v>
      </c>
      <c r="AI31" s="3">
        <v>81519</v>
      </c>
      <c r="AJ31" s="3">
        <v>119799</v>
      </c>
      <c r="AK31" s="3">
        <v>103496</v>
      </c>
      <c r="AL31" s="3">
        <f t="shared" si="180"/>
        <v>115141</v>
      </c>
      <c r="AM31" s="3">
        <f t="shared" si="181"/>
        <v>144021</v>
      </c>
      <c r="AN31" s="3">
        <f t="shared" si="182"/>
        <v>212280.1</v>
      </c>
      <c r="AO31" s="4">
        <f t="shared" ref="AO31:AW31" si="184">+AN31*(1+AO50)</f>
        <v>265350.125</v>
      </c>
      <c r="AP31" s="4">
        <f t="shared" si="184"/>
        <v>318420.14999999997</v>
      </c>
      <c r="AQ31" s="4">
        <f t="shared" si="184"/>
        <v>372551.57549999992</v>
      </c>
      <c r="AR31" s="4">
        <f t="shared" si="184"/>
        <v>417257.76455999992</v>
      </c>
      <c r="AS31" s="4">
        <f t="shared" si="184"/>
        <v>458983.54101599997</v>
      </c>
      <c r="AT31" s="4">
        <f t="shared" si="184"/>
        <v>481932.71806679998</v>
      </c>
      <c r="AU31" s="4">
        <f t="shared" si="184"/>
        <v>501210.02678947197</v>
      </c>
      <c r="AV31" s="4">
        <f t="shared" si="184"/>
        <v>511234.2273252614</v>
      </c>
      <c r="AW31" s="4">
        <f t="shared" si="184"/>
        <v>521458.91187176661</v>
      </c>
    </row>
    <row r="32" spans="2:49" s="3" customFormat="1" x14ac:dyDescent="0.2">
      <c r="B32" s="3" t="s">
        <v>29</v>
      </c>
      <c r="C32" s="4"/>
      <c r="D32" s="4"/>
      <c r="E32" s="4"/>
      <c r="F32" s="4">
        <v>27734</v>
      </c>
      <c r="G32" s="4"/>
      <c r="H32" s="4"/>
      <c r="I32" s="4"/>
      <c r="J32" s="4">
        <v>7415</v>
      </c>
      <c r="K32" s="4">
        <v>8433</v>
      </c>
      <c r="L32" s="4">
        <v>10591</v>
      </c>
      <c r="M32" s="4">
        <v>10327</v>
      </c>
      <c r="N32" s="4">
        <v>12832</v>
      </c>
      <c r="O32" s="4">
        <v>7297</v>
      </c>
      <c r="P32" s="4">
        <v>9408</v>
      </c>
      <c r="Q32" s="4">
        <v>11261</v>
      </c>
      <c r="R32" s="4">
        <v>14019</v>
      </c>
      <c r="S32" s="4">
        <v>13280</v>
      </c>
      <c r="T32" s="4">
        <v>9777</v>
      </c>
      <c r="U32" s="4">
        <v>10851</v>
      </c>
      <c r="V32" s="4">
        <v>10331</v>
      </c>
      <c r="W32" s="4">
        <v>7398</v>
      </c>
      <c r="X32" s="4">
        <f>T32*(1+X51)</f>
        <v>5866.2</v>
      </c>
      <c r="Y32" s="4">
        <f>U32*(1+Y51)</f>
        <v>7595.7</v>
      </c>
      <c r="Z32" s="4">
        <f>V32*(1+Z51)</f>
        <v>8264.8000000000011</v>
      </c>
      <c r="AA32" s="4"/>
      <c r="AC32" s="3">
        <v>7800</v>
      </c>
      <c r="AD32" s="3">
        <v>9205</v>
      </c>
      <c r="AE32" s="3">
        <v>12239</v>
      </c>
      <c r="AF32" s="3">
        <v>16241</v>
      </c>
      <c r="AG32" s="3">
        <v>24889</v>
      </c>
      <c r="AH32" s="3">
        <v>28197</v>
      </c>
      <c r="AI32" s="3">
        <v>55224</v>
      </c>
      <c r="AJ32" s="3">
        <v>31922</v>
      </c>
      <c r="AK32" s="3">
        <v>42183</v>
      </c>
      <c r="AL32" s="3">
        <f t="shared" si="180"/>
        <v>41985</v>
      </c>
      <c r="AM32" s="3">
        <f t="shared" si="181"/>
        <v>44239</v>
      </c>
      <c r="AN32" s="3">
        <f t="shared" si="182"/>
        <v>29124.700000000004</v>
      </c>
      <c r="AO32" s="4">
        <f t="shared" ref="AO32:AW32" si="185">+AN32*(1+AO51)</f>
        <v>26212.230000000003</v>
      </c>
      <c r="AP32" s="4">
        <f t="shared" si="185"/>
        <v>25425.863100000002</v>
      </c>
      <c r="AQ32" s="4">
        <f t="shared" si="185"/>
        <v>25425.863100000002</v>
      </c>
      <c r="AR32" s="4">
        <f t="shared" si="185"/>
        <v>25934.380362000004</v>
      </c>
      <c r="AS32" s="4">
        <f t="shared" si="185"/>
        <v>26453.067969240004</v>
      </c>
      <c r="AT32" s="4">
        <f t="shared" si="185"/>
        <v>26982.129328624804</v>
      </c>
      <c r="AU32" s="4">
        <f t="shared" si="185"/>
        <v>27521.7719151973</v>
      </c>
      <c r="AV32" s="4">
        <f t="shared" si="185"/>
        <v>28072.207353501246</v>
      </c>
      <c r="AW32" s="4">
        <f t="shared" si="185"/>
        <v>28633.651500571272</v>
      </c>
    </row>
    <row r="33" spans="2:132" s="5" customFormat="1" x14ac:dyDescent="0.2">
      <c r="B33" s="5" t="s">
        <v>30</v>
      </c>
      <c r="C33" s="6"/>
      <c r="D33" s="6"/>
      <c r="E33" s="6"/>
      <c r="F33" s="6">
        <f>SUM(F30:F32)</f>
        <v>66189</v>
      </c>
      <c r="G33" s="6"/>
      <c r="H33" s="6"/>
      <c r="I33" s="6"/>
      <c r="J33" s="6">
        <f>SUM(J30:J32)</f>
        <v>45559</v>
      </c>
      <c r="K33" s="6">
        <f t="shared" ref="K33:R33" si="186">SUM(K30:K32)</f>
        <v>48204</v>
      </c>
      <c r="L33" s="6">
        <f t="shared" si="186"/>
        <v>48100</v>
      </c>
      <c r="M33" s="6">
        <f t="shared" si="186"/>
        <v>54476</v>
      </c>
      <c r="N33" s="6">
        <f t="shared" ref="N33" si="187">SUM(N30:N32)</f>
        <v>51643</v>
      </c>
      <c r="O33" s="6">
        <f t="shared" si="186"/>
        <v>44809</v>
      </c>
      <c r="P33" s="6">
        <f t="shared" si="186"/>
        <v>49111</v>
      </c>
      <c r="Q33" s="6">
        <f t="shared" si="186"/>
        <v>58532</v>
      </c>
      <c r="R33" s="6">
        <f t="shared" si="186"/>
        <v>56930</v>
      </c>
      <c r="S33" s="6">
        <f>SUM(S30:S32)</f>
        <v>59349</v>
      </c>
      <c r="T33" s="6">
        <f>SUM(T30:T32)</f>
        <v>56430</v>
      </c>
      <c r="U33" s="6">
        <f>SUM(U30:U32)</f>
        <v>68188</v>
      </c>
      <c r="V33" s="6">
        <f t="shared" ref="V33:Z33" si="188">SUM(V30:V32)</f>
        <v>61444</v>
      </c>
      <c r="W33" s="6">
        <f t="shared" si="188"/>
        <v>75577</v>
      </c>
      <c r="X33" s="6">
        <f t="shared" si="188"/>
        <v>70598.36</v>
      </c>
      <c r="Y33" s="6">
        <f t="shared" si="188"/>
        <v>84201.999999999985</v>
      </c>
      <c r="Z33" s="6">
        <f t="shared" si="188"/>
        <v>76089.5</v>
      </c>
      <c r="AA33" s="6"/>
      <c r="AC33" s="6">
        <f t="shared" ref="AC33:AD33" si="189">SUM(AC30:AC32)</f>
        <v>26971</v>
      </c>
      <c r="AD33" s="6">
        <f t="shared" si="189"/>
        <v>34300</v>
      </c>
      <c r="AE33" s="6">
        <f t="shared" ref="AE33:AF33" si="190">SUM(AE30:AE32)</f>
        <v>45613</v>
      </c>
      <c r="AF33" s="6">
        <f t="shared" si="190"/>
        <v>66294</v>
      </c>
      <c r="AG33" s="6">
        <f>SUM(AG30:AG32)</f>
        <v>102104</v>
      </c>
      <c r="AH33" s="6">
        <f>SUM(AH30:AH32)</f>
        <v>121950</v>
      </c>
      <c r="AI33" s="6">
        <f>SUM(AI30:AI32)</f>
        <v>193979</v>
      </c>
      <c r="AJ33" s="6">
        <f t="shared" ref="AJ33:AL33" si="191">SUM(AJ30:AJ32)</f>
        <v>207186</v>
      </c>
      <c r="AK33" s="6">
        <f t="shared" si="191"/>
        <v>202423</v>
      </c>
      <c r="AL33" s="6">
        <f t="shared" si="191"/>
        <v>209382</v>
      </c>
      <c r="AM33" s="6">
        <f t="shared" ref="AM33" si="192">SUM(AM30:AM32)</f>
        <v>245411</v>
      </c>
      <c r="AN33" s="6">
        <f t="shared" ref="AN33" si="193">SUM(AN30:AN32)</f>
        <v>306466.86</v>
      </c>
      <c r="AO33" s="6">
        <f t="shared" ref="AO33" si="194">SUM(AO30:AO32)</f>
        <v>363130.62099999998</v>
      </c>
      <c r="AP33" s="6">
        <f t="shared" ref="AP33" si="195">SUM(AP30:AP32)</f>
        <v>420424.05771999998</v>
      </c>
      <c r="AQ33" s="6">
        <f t="shared" ref="AQ33" si="196">SUM(AQ30:AQ32)</f>
        <v>479915.94634339993</v>
      </c>
      <c r="AR33" s="6">
        <f t="shared" ref="AR33" si="197">SUM(AR30:AR32)</f>
        <v>530046.96313000389</v>
      </c>
      <c r="AS33" s="6">
        <f t="shared" ref="AS33" si="198">SUM(AS30:AS32)</f>
        <v>577502.71628572419</v>
      </c>
      <c r="AT33" s="6">
        <f t="shared" ref="AT33" si="199">SUM(AT30:AT32)</f>
        <v>606504.92113393813</v>
      </c>
      <c r="AU33" s="6">
        <f t="shared" ref="AU33" si="200">SUM(AU30:AU32)</f>
        <v>631201.37613010814</v>
      </c>
      <c r="AV33" s="6">
        <f t="shared" ref="AV33" si="201">SUM(AV30:AV32)</f>
        <v>646899.49097547354</v>
      </c>
      <c r="AW33" s="6">
        <f t="shared" ref="AW33" si="202">SUM(AW30:AW32)</f>
        <v>663065.27248388436</v>
      </c>
    </row>
    <row r="34" spans="2:132" s="5" customFormat="1" x14ac:dyDescent="0.2">
      <c r="B34" s="5" t="s">
        <v>31</v>
      </c>
      <c r="C34" s="6"/>
      <c r="D34" s="6"/>
      <c r="E34" s="6"/>
      <c r="F34" s="6">
        <f>F29-F33</f>
        <v>-4248</v>
      </c>
      <c r="G34" s="6"/>
      <c r="H34" s="6"/>
      <c r="I34" s="6"/>
      <c r="J34" s="6">
        <f>J29-J33</f>
        <v>19548</v>
      </c>
      <c r="K34" s="6">
        <f t="shared" ref="K34:R34" si="203">K29-K33</f>
        <v>27694</v>
      </c>
      <c r="L34" s="6">
        <f t="shared" si="203"/>
        <v>27866</v>
      </c>
      <c r="M34" s="6">
        <f t="shared" si="203"/>
        <v>43275</v>
      </c>
      <c r="N34" s="6">
        <f t="shared" ref="N34" si="204">N29-N33</f>
        <v>17734</v>
      </c>
      <c r="O34" s="6">
        <f t="shared" si="203"/>
        <v>47000</v>
      </c>
      <c r="P34" s="6">
        <f t="shared" si="203"/>
        <v>36015</v>
      </c>
      <c r="Q34" s="6">
        <f t="shared" si="203"/>
        <v>45602</v>
      </c>
      <c r="R34" s="6">
        <f t="shared" si="203"/>
        <v>16846</v>
      </c>
      <c r="S34" s="6">
        <f>S29-S33</f>
        <v>38754</v>
      </c>
      <c r="T34" s="6">
        <f>T29-T33</f>
        <v>36044</v>
      </c>
      <c r="U34" s="6">
        <f>U29-U33</f>
        <v>49442</v>
      </c>
      <c r="V34" s="6">
        <f t="shared" ref="V34:Z34" si="205">V29-V33</f>
        <v>29384</v>
      </c>
      <c r="W34" s="6">
        <f t="shared" si="205"/>
        <v>35646</v>
      </c>
      <c r="X34" s="6">
        <f t="shared" si="205"/>
        <v>30079.183999999994</v>
      </c>
      <c r="Y34" s="6">
        <f t="shared" si="205"/>
        <v>42930.39880000001</v>
      </c>
      <c r="Z34" s="6">
        <f t="shared" si="205"/>
        <v>23315.465799999976</v>
      </c>
      <c r="AA34" s="6"/>
      <c r="AC34" s="6">
        <f t="shared" ref="AC34:AD34" si="206">AC29-AC33</f>
        <v>25399</v>
      </c>
      <c r="AD34" s="6">
        <f t="shared" si="206"/>
        <v>32488</v>
      </c>
      <c r="AE34" s="6">
        <f t="shared" ref="AE34:AF34" si="207">AE29-AE33</f>
        <v>53177</v>
      </c>
      <c r="AF34" s="6">
        <f t="shared" si="207"/>
        <v>76928</v>
      </c>
      <c r="AG34" s="6">
        <f>AG29-AG33</f>
        <v>67811</v>
      </c>
      <c r="AH34" s="6">
        <f>AH29-AH33</f>
        <v>105394</v>
      </c>
      <c r="AI34" s="6">
        <f>AI29-AI33</f>
        <v>102105</v>
      </c>
      <c r="AJ34" s="6">
        <f t="shared" ref="AJ34:AL34" si="208">AJ29-AJ33</f>
        <v>106426</v>
      </c>
      <c r="AK34" s="6">
        <f t="shared" si="208"/>
        <v>116749</v>
      </c>
      <c r="AL34" s="6">
        <f t="shared" si="208"/>
        <v>145463</v>
      </c>
      <c r="AM34" s="6">
        <f t="shared" ref="AM34" si="209">AM29-AM33</f>
        <v>153624</v>
      </c>
      <c r="AN34" s="6">
        <f t="shared" ref="AN34" si="210">AN29-AN33</f>
        <v>131971.04859999986</v>
      </c>
      <c r="AO34" s="6">
        <f t="shared" ref="AO34" si="211">AO29-AO33</f>
        <v>145804.30858999997</v>
      </c>
      <c r="AP34" s="6">
        <f t="shared" ref="AP34" si="212">AP29-AP33</f>
        <v>179413.29073366994</v>
      </c>
      <c r="AQ34" s="6">
        <f t="shared" ref="AQ34" si="213">AQ29-AQ33</f>
        <v>241256.4609710502</v>
      </c>
      <c r="AR34" s="6">
        <f t="shared" ref="AR34" si="214">AR29-AR33</f>
        <v>290264.79143750446</v>
      </c>
      <c r="AS34" s="6">
        <f t="shared" ref="AS34" si="215">AS29-AS33</f>
        <v>332111.44097901473</v>
      </c>
      <c r="AT34" s="6">
        <f t="shared" ref="AT34" si="216">AT29-AT33</f>
        <v>411593.34055099671</v>
      </c>
      <c r="AU34" s="6">
        <f t="shared" ref="AU34" si="217">AU29-AU33</f>
        <v>509104.5704025029</v>
      </c>
      <c r="AV34" s="6">
        <f t="shared" ref="AV34" si="218">AV29-AV33</f>
        <v>605715.65110017476</v>
      </c>
      <c r="AW34" s="6">
        <f t="shared" ref="AW34" si="219">AW29-AW33</f>
        <v>686105.18812999432</v>
      </c>
    </row>
    <row r="35" spans="2:132" s="3" customFormat="1" x14ac:dyDescent="0.2">
      <c r="B35" s="3" t="s">
        <v>32</v>
      </c>
      <c r="C35" s="4"/>
      <c r="D35" s="4"/>
      <c r="E35" s="4"/>
      <c r="F35" s="4">
        <f>111-1160+2115</f>
        <v>1066</v>
      </c>
      <c r="G35" s="4"/>
      <c r="H35" s="4"/>
      <c r="I35" s="4"/>
      <c r="J35" s="4">
        <f>-36708-1189+1620</f>
        <v>-36277</v>
      </c>
      <c r="K35" s="4">
        <v>-1244</v>
      </c>
      <c r="L35" s="4">
        <f>-42452-1388+2944</f>
        <v>-40896</v>
      </c>
      <c r="M35" s="4">
        <f>15516-1550+1462</f>
        <v>15428</v>
      </c>
      <c r="N35" s="4">
        <f>10496-1736+1308</f>
        <v>10068</v>
      </c>
      <c r="O35" s="4">
        <f>-5898-1784+1364</f>
        <v>-6318</v>
      </c>
      <c r="P35" s="4">
        <f>5136-1854+1391</f>
        <v>4673</v>
      </c>
      <c r="Q35" s="4">
        <f>-3500-2132+439</f>
        <v>-5193</v>
      </c>
      <c r="R35" s="4">
        <f>-5702-2177+2963</f>
        <v>-4916</v>
      </c>
      <c r="S35" s="4">
        <f>-1478-2188+257</f>
        <v>-3409</v>
      </c>
      <c r="T35" s="4">
        <v>-2427</v>
      </c>
      <c r="U35" s="4">
        <v>-2485</v>
      </c>
      <c r="V35" s="4">
        <v>-2496</v>
      </c>
      <c r="W35" s="4">
        <v>-2478</v>
      </c>
      <c r="X35" s="4">
        <f>+T35</f>
        <v>-2427</v>
      </c>
      <c r="Y35" s="4">
        <f t="shared" ref="Y35:Z35" si="220">+U35</f>
        <v>-2485</v>
      </c>
      <c r="Z35" s="4">
        <f t="shared" si="220"/>
        <v>-2496</v>
      </c>
      <c r="AA35" s="4"/>
      <c r="AC35" s="3">
        <f>9455-2750+2486</f>
        <v>9191</v>
      </c>
      <c r="AD35" s="3">
        <f>52254-1946+2058</f>
        <v>52366</v>
      </c>
      <c r="AE35" s="3">
        <f>8559-2671+6086</f>
        <v>11974</v>
      </c>
      <c r="AF35" s="3">
        <f>30495-3566+4160</f>
        <v>31089</v>
      </c>
      <c r="AG35" s="3">
        <f>44106-5190+221</f>
        <v>39137</v>
      </c>
      <c r="AH35" s="3">
        <f>72956-5180+7439</f>
        <v>75215</v>
      </c>
      <c r="AI35" s="3">
        <f>72794-4476+7582</f>
        <v>75900</v>
      </c>
      <c r="AJ35" s="3">
        <f>-15702-4909+10523</f>
        <v>-10088</v>
      </c>
      <c r="AK35" s="3">
        <f>-11071-5918+5823</f>
        <v>-11166</v>
      </c>
      <c r="AL35" s="3">
        <f t="shared" ref="AL35" si="221">SUM(O35:R35)</f>
        <v>-11754</v>
      </c>
      <c r="AM35" s="3">
        <f>SUM(S35:V35)</f>
        <v>-10817</v>
      </c>
      <c r="AN35" s="3">
        <f>+SUM(W35:Z35)</f>
        <v>-9886</v>
      </c>
      <c r="AO35" s="4">
        <f>+AN35*0.95</f>
        <v>-9391.6999999999989</v>
      </c>
      <c r="AP35" s="4">
        <f t="shared" ref="AP35:AW35" si="222">+AO35*0.95</f>
        <v>-8922.114999999998</v>
      </c>
      <c r="AQ35" s="4">
        <f t="shared" si="222"/>
        <v>-8476.0092499999973</v>
      </c>
      <c r="AR35" s="4">
        <f t="shared" si="222"/>
        <v>-8052.208787499997</v>
      </c>
      <c r="AS35" s="4">
        <f t="shared" si="222"/>
        <v>-7649.5983481249968</v>
      </c>
      <c r="AT35" s="4">
        <f t="shared" si="222"/>
        <v>-7267.1184307187468</v>
      </c>
      <c r="AU35" s="4">
        <f t="shared" si="222"/>
        <v>-6903.7625091828095</v>
      </c>
      <c r="AV35" s="4">
        <f t="shared" si="222"/>
        <v>-6558.5743837236687</v>
      </c>
      <c r="AW35" s="4">
        <f t="shared" si="222"/>
        <v>-6230.6456645374847</v>
      </c>
    </row>
    <row r="36" spans="2:132" s="5" customFormat="1" x14ac:dyDescent="0.2">
      <c r="B36" s="5" t="s">
        <v>33</v>
      </c>
      <c r="C36" s="6"/>
      <c r="D36" s="6"/>
      <c r="E36" s="6"/>
      <c r="F36" s="6">
        <f>F34+F35</f>
        <v>-3182</v>
      </c>
      <c r="G36" s="6">
        <f t="shared" ref="G36:K36" si="223">G34+G35</f>
        <v>0</v>
      </c>
      <c r="H36" s="6">
        <f t="shared" si="223"/>
        <v>0</v>
      </c>
      <c r="I36" s="6">
        <f t="shared" si="223"/>
        <v>0</v>
      </c>
      <c r="J36" s="6">
        <f t="shared" si="223"/>
        <v>-16729</v>
      </c>
      <c r="K36" s="6">
        <f t="shared" si="223"/>
        <v>26450</v>
      </c>
      <c r="L36" s="6">
        <f t="shared" ref="L36:R36" si="224">+L34+L35</f>
        <v>-13030</v>
      </c>
      <c r="M36" s="6">
        <f t="shared" si="224"/>
        <v>58703</v>
      </c>
      <c r="N36" s="6">
        <f t="shared" si="224"/>
        <v>27802</v>
      </c>
      <c r="O36" s="6">
        <f t="shared" si="224"/>
        <v>40682</v>
      </c>
      <c r="P36" s="6">
        <f t="shared" si="224"/>
        <v>40688</v>
      </c>
      <c r="Q36" s="6">
        <f t="shared" si="224"/>
        <v>40409</v>
      </c>
      <c r="R36" s="6">
        <f t="shared" si="224"/>
        <v>11930</v>
      </c>
      <c r="S36" s="6">
        <f>+S34+S35</f>
        <v>35345</v>
      </c>
      <c r="T36" s="6">
        <f>+T34+T35</f>
        <v>33617</v>
      </c>
      <c r="U36" s="6">
        <f>+U34+U35</f>
        <v>46957</v>
      </c>
      <c r="V36" s="6">
        <f t="shared" ref="V36:Z36" si="225">+V34+V35</f>
        <v>26888</v>
      </c>
      <c r="W36" s="6">
        <f t="shared" si="225"/>
        <v>33168</v>
      </c>
      <c r="X36" s="6">
        <f t="shared" si="225"/>
        <v>27652.183999999994</v>
      </c>
      <c r="Y36" s="6">
        <f t="shared" si="225"/>
        <v>40445.39880000001</v>
      </c>
      <c r="Z36" s="6">
        <f t="shared" si="225"/>
        <v>20819.465799999976</v>
      </c>
      <c r="AA36" s="6"/>
      <c r="AC36" s="6">
        <f t="shared" ref="AC36" si="226">AC34+AC35</f>
        <v>34590</v>
      </c>
      <c r="AD36" s="6">
        <f t="shared" ref="AD36:AE36" si="227">AD34+AD35</f>
        <v>84854</v>
      </c>
      <c r="AE36" s="6">
        <f t="shared" si="227"/>
        <v>65151</v>
      </c>
      <c r="AF36" s="6">
        <f t="shared" ref="AF36:AG36" si="228">AF34+AF35</f>
        <v>108017</v>
      </c>
      <c r="AG36" s="6">
        <f t="shared" si="228"/>
        <v>106948</v>
      </c>
      <c r="AH36" s="6">
        <f t="shared" ref="AH36:AI36" si="229">AH34+AH35</f>
        <v>180609</v>
      </c>
      <c r="AI36" s="6">
        <f t="shared" si="229"/>
        <v>178005</v>
      </c>
      <c r="AJ36" s="6">
        <f t="shared" ref="AJ36:AL36" si="230">AJ34+AJ35</f>
        <v>96338</v>
      </c>
      <c r="AK36" s="6">
        <f t="shared" si="230"/>
        <v>105583</v>
      </c>
      <c r="AL36" s="6">
        <f t="shared" si="230"/>
        <v>133709</v>
      </c>
      <c r="AM36" s="6">
        <f t="shared" ref="AM36" si="231">+AM34+AM35</f>
        <v>142807</v>
      </c>
      <c r="AN36" s="6">
        <f t="shared" ref="AN36" si="232">+AN34+AN35</f>
        <v>122085.04859999986</v>
      </c>
      <c r="AO36" s="6">
        <f t="shared" ref="AO36" si="233">+AO34+AO35</f>
        <v>136412.60858999996</v>
      </c>
      <c r="AP36" s="6">
        <f t="shared" ref="AP36" si="234">+AP34+AP35</f>
        <v>170491.17573366995</v>
      </c>
      <c r="AQ36" s="6">
        <f t="shared" ref="AQ36" si="235">+AQ34+AQ35</f>
        <v>232780.45172105019</v>
      </c>
      <c r="AR36" s="6">
        <f t="shared" ref="AR36" si="236">+AR34+AR35</f>
        <v>282212.58265000448</v>
      </c>
      <c r="AS36" s="6">
        <f t="shared" ref="AS36" si="237">+AS34+AS35</f>
        <v>324461.84263088973</v>
      </c>
      <c r="AT36" s="6">
        <f t="shared" ref="AT36" si="238">+AT34+AT35</f>
        <v>404326.22212027799</v>
      </c>
      <c r="AU36" s="6">
        <f t="shared" ref="AU36" si="239">+AU34+AU35</f>
        <v>502200.8078933201</v>
      </c>
      <c r="AV36" s="6">
        <f t="shared" ref="AV36" si="240">+AV34+AV35</f>
        <v>599157.07671645109</v>
      </c>
      <c r="AW36" s="6">
        <f t="shared" ref="AW36" si="241">+AW34+AW35</f>
        <v>679874.54246545688</v>
      </c>
    </row>
    <row r="37" spans="2:132" x14ac:dyDescent="0.2">
      <c r="B37" s="3" t="s">
        <v>34</v>
      </c>
      <c r="F37" s="4">
        <f>-7049+5992</f>
        <v>-1057</v>
      </c>
      <c r="G37" s="4"/>
      <c r="H37" s="4"/>
      <c r="I37" s="4"/>
      <c r="J37" s="4">
        <f>-2079+3282</f>
        <v>1203</v>
      </c>
      <c r="K37" s="4">
        <v>5399</v>
      </c>
      <c r="L37" s="4">
        <f>2572+4136-2034</f>
        <v>4674</v>
      </c>
      <c r="M37" s="4">
        <f>3820+893-1167</f>
        <v>3546</v>
      </c>
      <c r="N37" s="4">
        <f>3758-446-1648</f>
        <v>1664</v>
      </c>
      <c r="O37" s="4">
        <f>6022+2850</f>
        <v>8872</v>
      </c>
      <c r="P37" s="4">
        <f>5797+5764-1151</f>
        <v>10410</v>
      </c>
      <c r="Q37" s="4">
        <f>4988+1613-3838</f>
        <v>2763</v>
      </c>
      <c r="R37" s="4">
        <f>5722+3208</f>
        <v>8930</v>
      </c>
      <c r="S37" s="4">
        <f>10063-1505</f>
        <v>8558</v>
      </c>
      <c r="T37" s="4">
        <v>7379</v>
      </c>
      <c r="U37" s="4">
        <v>11149</v>
      </c>
      <c r="V37" s="4">
        <v>6854</v>
      </c>
      <c r="W37" s="4">
        <v>8865</v>
      </c>
      <c r="X37" s="4">
        <f>+X36*X42</f>
        <v>7466.0896799999991</v>
      </c>
      <c r="Y37" s="4">
        <f t="shared" ref="Y37:Z37" si="242">+Y36*Y42</f>
        <v>10920.257676000003</v>
      </c>
      <c r="Z37" s="4">
        <f t="shared" si="242"/>
        <v>5621.2557659999939</v>
      </c>
      <c r="AA37" s="4"/>
      <c r="AC37" s="4">
        <f>6416+1590+59</f>
        <v>8065</v>
      </c>
      <c r="AD37" s="4">
        <f>8449+1730-171</f>
        <v>10008</v>
      </c>
      <c r="AE37" s="4">
        <f>13776+5027-2449</f>
        <v>16354</v>
      </c>
      <c r="AF37" s="4">
        <f>18199+20792-2681</f>
        <v>36310</v>
      </c>
      <c r="AG37" s="4">
        <f>16553-566-7652+286</f>
        <v>8621</v>
      </c>
      <c r="AH37" s="4">
        <v>17212</v>
      </c>
      <c r="AI37" s="4">
        <v>29588</v>
      </c>
      <c r="AJ37" s="4">
        <v>26815</v>
      </c>
      <c r="AK37" s="3">
        <f>15549+8063</f>
        <v>23612</v>
      </c>
      <c r="AL37" s="3">
        <f t="shared" ref="AL37" si="243">SUM(O37:R37)</f>
        <v>30975</v>
      </c>
      <c r="AM37" s="3">
        <f>SUM(S37:V37)</f>
        <v>33940</v>
      </c>
      <c r="AN37" s="3">
        <f>+SUM(W37:Z37)</f>
        <v>32872.603121999993</v>
      </c>
      <c r="AO37" s="4">
        <f>+AO36*AO42</f>
        <v>34103.15214749999</v>
      </c>
      <c r="AP37" s="4">
        <f t="shared" ref="AP37:AW37" si="244">+AP36*AP42</f>
        <v>42622.793933417488</v>
      </c>
      <c r="AQ37" s="4">
        <f t="shared" si="244"/>
        <v>58195.112930262549</v>
      </c>
      <c r="AR37" s="4">
        <f t="shared" si="244"/>
        <v>70553.14566250112</v>
      </c>
      <c r="AS37" s="4">
        <f t="shared" si="244"/>
        <v>81115.460657722433</v>
      </c>
      <c r="AT37" s="4">
        <f t="shared" si="244"/>
        <v>101081.5555300695</v>
      </c>
      <c r="AU37" s="4">
        <f t="shared" si="244"/>
        <v>125550.20197333003</v>
      </c>
      <c r="AV37" s="4">
        <f t="shared" si="244"/>
        <v>149789.26917911277</v>
      </c>
      <c r="AW37" s="4">
        <f t="shared" si="244"/>
        <v>169968.63561636422</v>
      </c>
    </row>
    <row r="38" spans="2:132" s="9" customFormat="1" x14ac:dyDescent="0.2">
      <c r="B38" s="5" t="s">
        <v>35</v>
      </c>
      <c r="C38" s="7"/>
      <c r="D38" s="7"/>
      <c r="E38" s="7"/>
      <c r="F38" s="6">
        <f>F36+F37</f>
        <v>-4239</v>
      </c>
      <c r="G38" s="6">
        <f t="shared" ref="G38:J38" si="245">G36+G37</f>
        <v>0</v>
      </c>
      <c r="H38" s="6">
        <f t="shared" si="245"/>
        <v>0</v>
      </c>
      <c r="I38" s="6">
        <f t="shared" si="245"/>
        <v>0</v>
      </c>
      <c r="J38" s="6">
        <f t="shared" si="245"/>
        <v>-15526</v>
      </c>
      <c r="K38" s="6">
        <f t="shared" ref="K38:Z38" si="246">+K36-K37</f>
        <v>21051</v>
      </c>
      <c r="L38" s="6">
        <f t="shared" si="246"/>
        <v>-17704</v>
      </c>
      <c r="M38" s="6">
        <f t="shared" si="246"/>
        <v>55157</v>
      </c>
      <c r="N38" s="6">
        <f t="shared" si="246"/>
        <v>26138</v>
      </c>
      <c r="O38" s="6">
        <f t="shared" si="246"/>
        <v>31810</v>
      </c>
      <c r="P38" s="6">
        <f t="shared" si="246"/>
        <v>30278</v>
      </c>
      <c r="Q38" s="6">
        <f t="shared" si="246"/>
        <v>37646</v>
      </c>
      <c r="R38" s="6">
        <f t="shared" si="246"/>
        <v>3000</v>
      </c>
      <c r="S38" s="6">
        <f t="shared" si="246"/>
        <v>26787</v>
      </c>
      <c r="T38" s="6">
        <f t="shared" si="246"/>
        <v>26238</v>
      </c>
      <c r="U38" s="6">
        <f t="shared" si="246"/>
        <v>35808</v>
      </c>
      <c r="V38" s="6">
        <f t="shared" si="246"/>
        <v>20034</v>
      </c>
      <c r="W38" s="6">
        <f t="shared" si="246"/>
        <v>24303</v>
      </c>
      <c r="X38" s="6">
        <f t="shared" si="246"/>
        <v>20186.094319999997</v>
      </c>
      <c r="Y38" s="6">
        <f t="shared" si="246"/>
        <v>29525.141124000009</v>
      </c>
      <c r="Z38" s="6">
        <f t="shared" si="246"/>
        <v>15198.210033999982</v>
      </c>
      <c r="AA38" s="6"/>
      <c r="AC38" s="6">
        <f t="shared" ref="AC38:AD38" si="247">+AC36-AC37</f>
        <v>26525</v>
      </c>
      <c r="AD38" s="6">
        <f t="shared" si="247"/>
        <v>74846</v>
      </c>
      <c r="AE38" s="6">
        <f t="shared" ref="AE38:AF38" si="248">+AE36-AE37</f>
        <v>48797</v>
      </c>
      <c r="AF38" s="6">
        <f t="shared" si="248"/>
        <v>71707</v>
      </c>
      <c r="AG38" s="6">
        <f t="shared" ref="AG38:AM38" si="249">+AG36-AG37</f>
        <v>98327</v>
      </c>
      <c r="AH38" s="6">
        <f t="shared" si="249"/>
        <v>163397</v>
      </c>
      <c r="AI38" s="6">
        <f t="shared" si="249"/>
        <v>148417</v>
      </c>
      <c r="AJ38" s="6">
        <f t="shared" si="249"/>
        <v>69523</v>
      </c>
      <c r="AK38" s="6">
        <f t="shared" si="249"/>
        <v>81971</v>
      </c>
      <c r="AL38" s="6">
        <f t="shared" si="249"/>
        <v>102734</v>
      </c>
      <c r="AM38" s="6">
        <f t="shared" si="249"/>
        <v>108867</v>
      </c>
      <c r="AN38" s="6">
        <f t="shared" ref="AN38:AW38" si="250">+AN36-AN37</f>
        <v>89212.445477999863</v>
      </c>
      <c r="AO38" s="6">
        <f t="shared" si="250"/>
        <v>102309.45644249997</v>
      </c>
      <c r="AP38" s="6">
        <f t="shared" si="250"/>
        <v>127868.38180025246</v>
      </c>
      <c r="AQ38" s="6">
        <f t="shared" si="250"/>
        <v>174585.33879078765</v>
      </c>
      <c r="AR38" s="6">
        <f t="shared" si="250"/>
        <v>211659.43698750337</v>
      </c>
      <c r="AS38" s="6">
        <f t="shared" si="250"/>
        <v>243346.3819731673</v>
      </c>
      <c r="AT38" s="6">
        <f t="shared" si="250"/>
        <v>303244.66659020848</v>
      </c>
      <c r="AU38" s="6">
        <f t="shared" si="250"/>
        <v>376650.60591999011</v>
      </c>
      <c r="AV38" s="6">
        <f t="shared" si="250"/>
        <v>449367.80753733835</v>
      </c>
      <c r="AW38" s="6">
        <f t="shared" si="250"/>
        <v>509905.90684909269</v>
      </c>
      <c r="AX38" s="9">
        <f>AW38*(1+$AZ$44)</f>
        <v>515004.96591758361</v>
      </c>
      <c r="AY38" s="9">
        <f t="shared" ref="AY38:DJ38" si="251">AX38*(1+$AZ$44)</f>
        <v>520155.01557675947</v>
      </c>
      <c r="AZ38" s="9">
        <f t="shared" si="251"/>
        <v>525356.56573252706</v>
      </c>
      <c r="BA38" s="9">
        <f t="shared" si="251"/>
        <v>530610.13138985238</v>
      </c>
      <c r="BB38" s="9">
        <f t="shared" si="251"/>
        <v>535916.23270375095</v>
      </c>
      <c r="BC38" s="9">
        <f t="shared" si="251"/>
        <v>541275.3950307885</v>
      </c>
      <c r="BD38" s="9">
        <f t="shared" si="251"/>
        <v>546688.14898109634</v>
      </c>
      <c r="BE38" s="9">
        <f t="shared" si="251"/>
        <v>552155.03047090734</v>
      </c>
      <c r="BF38" s="9">
        <f t="shared" si="251"/>
        <v>557676.58077561646</v>
      </c>
      <c r="BG38" s="9">
        <f t="shared" si="251"/>
        <v>563253.34658337268</v>
      </c>
      <c r="BH38" s="9">
        <f t="shared" si="251"/>
        <v>568885.88004920643</v>
      </c>
      <c r="BI38" s="9">
        <f t="shared" si="251"/>
        <v>574574.73884969845</v>
      </c>
      <c r="BJ38" s="9">
        <f t="shared" si="251"/>
        <v>580320.48623819544</v>
      </c>
      <c r="BK38" s="9">
        <f t="shared" si="251"/>
        <v>586123.69110057736</v>
      </c>
      <c r="BL38" s="9">
        <f t="shared" si="251"/>
        <v>591984.92801158316</v>
      </c>
      <c r="BM38" s="9">
        <f t="shared" si="251"/>
        <v>597904.77729169896</v>
      </c>
      <c r="BN38" s="9">
        <f t="shared" si="251"/>
        <v>603883.82506461593</v>
      </c>
      <c r="BO38" s="9">
        <f t="shared" si="251"/>
        <v>609922.66331526206</v>
      </c>
      <c r="BP38" s="9">
        <f t="shared" si="251"/>
        <v>616021.88994841464</v>
      </c>
      <c r="BQ38" s="9">
        <f t="shared" si="251"/>
        <v>622182.10884789878</v>
      </c>
      <c r="BR38" s="9">
        <f t="shared" si="251"/>
        <v>628403.9299363778</v>
      </c>
      <c r="BS38" s="9">
        <f t="shared" si="251"/>
        <v>634687.96923574153</v>
      </c>
      <c r="BT38" s="9">
        <f t="shared" si="251"/>
        <v>641034.84892809892</v>
      </c>
      <c r="BU38" s="9">
        <f t="shared" si="251"/>
        <v>647445.19741737994</v>
      </c>
      <c r="BV38" s="9">
        <f t="shared" si="251"/>
        <v>653919.64939155371</v>
      </c>
      <c r="BW38" s="9">
        <f t="shared" si="251"/>
        <v>660458.84588546923</v>
      </c>
      <c r="BX38" s="9">
        <f t="shared" si="251"/>
        <v>667063.43434432393</v>
      </c>
      <c r="BY38" s="9">
        <f t="shared" si="251"/>
        <v>673734.06868776714</v>
      </c>
      <c r="BZ38" s="9">
        <f t="shared" si="251"/>
        <v>680471.40937464486</v>
      </c>
      <c r="CA38" s="9">
        <f t="shared" si="251"/>
        <v>687276.12346839136</v>
      </c>
      <c r="CB38" s="9">
        <f t="shared" si="251"/>
        <v>694148.88470307528</v>
      </c>
      <c r="CC38" s="9">
        <f t="shared" si="251"/>
        <v>701090.37355010607</v>
      </c>
      <c r="CD38" s="9">
        <f t="shared" si="251"/>
        <v>708101.27728560718</v>
      </c>
      <c r="CE38" s="9">
        <f t="shared" si="251"/>
        <v>715182.29005846323</v>
      </c>
      <c r="CF38" s="9">
        <f t="shared" si="251"/>
        <v>722334.1129590479</v>
      </c>
      <c r="CG38" s="9">
        <f t="shared" si="251"/>
        <v>729557.45408863842</v>
      </c>
      <c r="CH38" s="9">
        <f t="shared" si="251"/>
        <v>736853.02862952487</v>
      </c>
      <c r="CI38" s="9">
        <f t="shared" si="251"/>
        <v>744221.55891582009</v>
      </c>
      <c r="CJ38" s="9">
        <f t="shared" si="251"/>
        <v>751663.77450497833</v>
      </c>
      <c r="CK38" s="9">
        <f t="shared" si="251"/>
        <v>759180.41225002811</v>
      </c>
      <c r="CL38" s="9">
        <f t="shared" si="251"/>
        <v>766772.21637252835</v>
      </c>
      <c r="CM38" s="9">
        <f t="shared" si="251"/>
        <v>774439.93853625364</v>
      </c>
      <c r="CN38" s="9">
        <f t="shared" si="251"/>
        <v>782184.33792161616</v>
      </c>
      <c r="CO38" s="9">
        <f t="shared" si="251"/>
        <v>790006.18130083231</v>
      </c>
      <c r="CP38" s="9">
        <f t="shared" si="251"/>
        <v>797906.24311384058</v>
      </c>
      <c r="CQ38" s="9">
        <f t="shared" si="251"/>
        <v>805885.30554497894</v>
      </c>
      <c r="CR38" s="9">
        <f t="shared" si="251"/>
        <v>813944.15860042872</v>
      </c>
      <c r="CS38" s="9">
        <f t="shared" si="251"/>
        <v>822083.60018643306</v>
      </c>
      <c r="CT38" s="9">
        <f t="shared" si="251"/>
        <v>830304.43618829735</v>
      </c>
      <c r="CU38" s="9">
        <f t="shared" si="251"/>
        <v>838607.48055018031</v>
      </c>
      <c r="CV38" s="9">
        <f t="shared" si="251"/>
        <v>846993.55535568215</v>
      </c>
      <c r="CW38" s="9">
        <f t="shared" si="251"/>
        <v>855463.49090923893</v>
      </c>
      <c r="CX38" s="9">
        <f t="shared" si="251"/>
        <v>864018.12581833138</v>
      </c>
      <c r="CY38" s="9">
        <f t="shared" si="251"/>
        <v>872658.3070765147</v>
      </c>
      <c r="CZ38" s="9">
        <f t="shared" si="251"/>
        <v>881384.89014727983</v>
      </c>
      <c r="DA38" s="9">
        <f t="shared" si="251"/>
        <v>890198.73904875258</v>
      </c>
      <c r="DB38" s="9">
        <f t="shared" si="251"/>
        <v>899100.72643924016</v>
      </c>
      <c r="DC38" s="9">
        <f t="shared" si="251"/>
        <v>908091.73370363261</v>
      </c>
      <c r="DD38" s="9">
        <f t="shared" si="251"/>
        <v>917172.65104066895</v>
      </c>
      <c r="DE38" s="9">
        <f t="shared" si="251"/>
        <v>926344.37755107565</v>
      </c>
      <c r="DF38" s="9">
        <f t="shared" si="251"/>
        <v>935607.82132658642</v>
      </c>
      <c r="DG38" s="9">
        <f t="shared" si="251"/>
        <v>944963.89953985228</v>
      </c>
      <c r="DH38" s="9">
        <f t="shared" si="251"/>
        <v>954413.53853525082</v>
      </c>
      <c r="DI38" s="9">
        <f t="shared" si="251"/>
        <v>963957.67392060335</v>
      </c>
      <c r="DJ38" s="9">
        <f t="shared" si="251"/>
        <v>973597.25065980945</v>
      </c>
      <c r="DK38" s="9">
        <f t="shared" ref="DK38:EB38" si="252">DJ38*(1+$AZ$44)</f>
        <v>983333.22316640755</v>
      </c>
      <c r="DL38" s="9">
        <f t="shared" si="252"/>
        <v>993166.55539807165</v>
      </c>
      <c r="DM38" s="9">
        <f t="shared" si="252"/>
        <v>1003098.2209520524</v>
      </c>
      <c r="DN38" s="9">
        <f t="shared" si="252"/>
        <v>1013129.2031615729</v>
      </c>
      <c r="DO38" s="9">
        <f t="shared" si="252"/>
        <v>1023260.4951931887</v>
      </c>
      <c r="DP38" s="9">
        <f t="shared" si="252"/>
        <v>1033493.1001451205</v>
      </c>
      <c r="DQ38" s="9">
        <f t="shared" si="252"/>
        <v>1043828.0311465717</v>
      </c>
      <c r="DR38" s="9">
        <f t="shared" si="252"/>
        <v>1054266.3114580375</v>
      </c>
      <c r="DS38" s="9">
        <f t="shared" si="252"/>
        <v>1064808.9745726178</v>
      </c>
      <c r="DT38" s="9">
        <f t="shared" si="252"/>
        <v>1075457.064318344</v>
      </c>
      <c r="DU38" s="9">
        <f t="shared" si="252"/>
        <v>1086211.6349615275</v>
      </c>
      <c r="DV38" s="9">
        <f t="shared" si="252"/>
        <v>1097073.7513111429</v>
      </c>
      <c r="DW38" s="9">
        <f t="shared" si="252"/>
        <v>1108044.4888242544</v>
      </c>
      <c r="DX38" s="9">
        <f t="shared" si="252"/>
        <v>1119124.9337124969</v>
      </c>
      <c r="DY38" s="9">
        <f t="shared" si="252"/>
        <v>1130316.1830496218</v>
      </c>
      <c r="DZ38" s="9">
        <f t="shared" si="252"/>
        <v>1141619.344880118</v>
      </c>
      <c r="EA38" s="9">
        <f t="shared" si="252"/>
        <v>1153035.5383289193</v>
      </c>
      <c r="EB38" s="9">
        <f t="shared" si="252"/>
        <v>1164565.8937122086</v>
      </c>
    </row>
    <row r="39" spans="2:132" s="9" customFormat="1" x14ac:dyDescent="0.2">
      <c r="B39" s="5" t="s">
        <v>36</v>
      </c>
      <c r="C39" s="7"/>
      <c r="D39" s="7"/>
      <c r="E39" s="7"/>
      <c r="F39" s="15">
        <f>F38/F40</f>
        <v>-0.19247184889211769</v>
      </c>
      <c r="G39" s="7"/>
      <c r="H39" s="7"/>
      <c r="I39" s="7"/>
      <c r="J39" s="15">
        <f>J38/J40</f>
        <v>-0.72548011775150689</v>
      </c>
      <c r="K39" s="15">
        <f t="shared" ref="K39" si="253">K38/K40</f>
        <v>0.98442760942760943</v>
      </c>
      <c r="L39" s="15">
        <f t="shared" ref="L39:Z39" si="254">+L38/L40</f>
        <v>-0.83651483651483649</v>
      </c>
      <c r="M39" s="15">
        <f t="shared" si="254"/>
        <v>2.6375765110941085</v>
      </c>
      <c r="N39" s="15">
        <f t="shared" si="254"/>
        <v>1.2517000287328799</v>
      </c>
      <c r="O39" s="15">
        <f t="shared" si="254"/>
        <v>1.5435753105590062</v>
      </c>
      <c r="P39" s="15">
        <f t="shared" si="254"/>
        <v>1.4751047452012083</v>
      </c>
      <c r="Q39" s="15">
        <f t="shared" si="254"/>
        <v>1.8525663107130554</v>
      </c>
      <c r="R39" s="15">
        <f t="shared" si="254"/>
        <v>0.15015015015015015</v>
      </c>
      <c r="S39" s="15">
        <f t="shared" si="254"/>
        <v>1.3670324062260781</v>
      </c>
      <c r="T39" s="15">
        <f t="shared" si="254"/>
        <v>1.3579339612876513</v>
      </c>
      <c r="U39" s="15">
        <f t="shared" si="254"/>
        <v>1.865</v>
      </c>
      <c r="V39" s="15">
        <f t="shared" si="254"/>
        <v>1.0459980159766094</v>
      </c>
      <c r="W39" s="15">
        <f t="shared" si="254"/>
        <v>1.2696165499947758</v>
      </c>
      <c r="X39" s="15">
        <f t="shared" si="254"/>
        <v>1.0545446828962488</v>
      </c>
      <c r="Y39" s="15">
        <f t="shared" si="254"/>
        <v>1.5424271823215969</v>
      </c>
      <c r="Z39" s="15">
        <f t="shared" si="254"/>
        <v>0.7939718960401202</v>
      </c>
      <c r="AA39" s="15"/>
      <c r="AC39" s="15">
        <f t="shared" ref="AC39:AD39" si="255">AC38/AC40</f>
        <v>10.61</v>
      </c>
      <c r="AD39" s="15">
        <f t="shared" si="255"/>
        <v>29.213895394223265</v>
      </c>
      <c r="AE39" s="15">
        <f t="shared" ref="AE39:AF39" si="256">AE38/AE40</f>
        <v>18.965021375825884</v>
      </c>
      <c r="AF39" s="15">
        <f t="shared" si="256"/>
        <v>27.473946360153256</v>
      </c>
      <c r="AG39" s="15">
        <f>AG38/AG40</f>
        <v>4.6849151896321706</v>
      </c>
      <c r="AH39" s="15">
        <f>AH38/AH40</f>
        <v>7.65468940316687</v>
      </c>
      <c r="AI39" s="15">
        <f>AI38/AI40</f>
        <v>6.7517514329906287</v>
      </c>
      <c r="AJ39" s="15">
        <f t="shared" ref="AJ39:AL39" si="257">AJ38/AJ40</f>
        <v>3.191031348969569</v>
      </c>
      <c r="AK39" s="15">
        <f t="shared" si="257"/>
        <v>3.8823055792365255</v>
      </c>
      <c r="AL39" s="15">
        <f t="shared" si="257"/>
        <v>5.0461840731872041</v>
      </c>
      <c r="AM39" s="15">
        <f t="shared" ref="AM39" si="258">+AM38/AM40</f>
        <v>5.6356671411932187</v>
      </c>
      <c r="AN39" s="15">
        <f t="shared" ref="AN39:AW39" si="259">+AN38/AN40</f>
        <v>4.6605603112527358</v>
      </c>
      <c r="AO39" s="15">
        <f t="shared" si="259"/>
        <v>5.3447631617647042</v>
      </c>
      <c r="AP39" s="15">
        <f t="shared" si="259"/>
        <v>6.6799906906411275</v>
      </c>
      <c r="AQ39" s="15">
        <f t="shared" si="259"/>
        <v>9.1205380206241582</v>
      </c>
      <c r="AR39" s="15">
        <f t="shared" si="259"/>
        <v>11.057331364930695</v>
      </c>
      <c r="AS39" s="15">
        <f t="shared" si="259"/>
        <v>12.712693656523211</v>
      </c>
      <c r="AT39" s="15">
        <f t="shared" si="259"/>
        <v>15.841848635994593</v>
      </c>
      <c r="AU39" s="15">
        <f t="shared" si="259"/>
        <v>19.67665896562481</v>
      </c>
      <c r="AV39" s="15">
        <f t="shared" si="259"/>
        <v>23.475488848466114</v>
      </c>
      <c r="AW39" s="15">
        <f t="shared" si="259"/>
        <v>26.63806848025769</v>
      </c>
    </row>
    <row r="40" spans="2:132" s="3" customFormat="1" x14ac:dyDescent="0.2">
      <c r="B40" s="3" t="s">
        <v>0</v>
      </c>
      <c r="C40" s="4"/>
      <c r="D40" s="4"/>
      <c r="E40" s="4"/>
      <c r="F40" s="3">
        <v>22024</v>
      </c>
      <c r="G40" s="4"/>
      <c r="H40" s="4"/>
      <c r="I40" s="4"/>
      <c r="J40" s="3">
        <v>21401</v>
      </c>
      <c r="K40" s="3">
        <v>21384</v>
      </c>
      <c r="L40" s="3">
        <v>21164</v>
      </c>
      <c r="M40" s="3">
        <v>20912</v>
      </c>
      <c r="N40" s="3">
        <v>20882</v>
      </c>
      <c r="O40" s="3">
        <v>20608</v>
      </c>
      <c r="P40" s="3">
        <v>20526</v>
      </c>
      <c r="Q40" s="3">
        <v>20321</v>
      </c>
      <c r="R40" s="3">
        <v>19980</v>
      </c>
      <c r="S40" s="3">
        <v>19595</v>
      </c>
      <c r="T40" s="3">
        <v>19322</v>
      </c>
      <c r="U40" s="3">
        <v>19200</v>
      </c>
      <c r="V40" s="3">
        <v>19153</v>
      </c>
      <c r="W40" s="3">
        <v>19142</v>
      </c>
      <c r="X40" s="3">
        <f>+W40</f>
        <v>19142</v>
      </c>
      <c r="Y40" s="3">
        <f t="shared" ref="Y40:Z40" si="260">+X40</f>
        <v>19142</v>
      </c>
      <c r="Z40" s="3">
        <f t="shared" si="260"/>
        <v>19142</v>
      </c>
      <c r="AC40" s="3">
        <v>2500</v>
      </c>
      <c r="AD40" s="3">
        <v>2562</v>
      </c>
      <c r="AE40" s="3">
        <v>2573</v>
      </c>
      <c r="AF40" s="3">
        <v>2610</v>
      </c>
      <c r="AG40" s="3">
        <v>20988</v>
      </c>
      <c r="AH40" s="3">
        <v>21346</v>
      </c>
      <c r="AI40" s="3">
        <v>21982</v>
      </c>
      <c r="AJ40" s="3">
        <v>21787</v>
      </c>
      <c r="AK40" s="3">
        <v>21114</v>
      </c>
      <c r="AL40" s="3">
        <f>AVERAGE(O40:R40)</f>
        <v>20358.75</v>
      </c>
      <c r="AM40" s="3">
        <f>+AVERAGE(S40:V40)</f>
        <v>19317.5</v>
      </c>
      <c r="AN40" s="3">
        <f>+AVERAGE(W40:Z40)</f>
        <v>19142</v>
      </c>
      <c r="AO40" s="3">
        <f>+AN40</f>
        <v>19142</v>
      </c>
      <c r="AP40" s="3">
        <f t="shared" ref="AP40:AW40" si="261">+AO40</f>
        <v>19142</v>
      </c>
      <c r="AQ40" s="3">
        <f t="shared" si="261"/>
        <v>19142</v>
      </c>
      <c r="AR40" s="3">
        <f t="shared" si="261"/>
        <v>19142</v>
      </c>
      <c r="AS40" s="3">
        <f t="shared" si="261"/>
        <v>19142</v>
      </c>
      <c r="AT40" s="3">
        <f t="shared" si="261"/>
        <v>19142</v>
      </c>
      <c r="AU40" s="3">
        <f t="shared" si="261"/>
        <v>19142</v>
      </c>
      <c r="AV40" s="3">
        <f t="shared" si="261"/>
        <v>19142</v>
      </c>
      <c r="AW40" s="3">
        <f t="shared" si="261"/>
        <v>19142</v>
      </c>
    </row>
    <row r="41" spans="2:132" s="3" customFormat="1" x14ac:dyDescent="0.2">
      <c r="C41" s="4"/>
      <c r="D41" s="4"/>
      <c r="E41" s="4"/>
      <c r="G41" s="4"/>
      <c r="H41" s="4"/>
      <c r="I41" s="4"/>
    </row>
    <row r="42" spans="2:132" s="17" customFormat="1" x14ac:dyDescent="0.2">
      <c r="B42" s="17" t="s">
        <v>94</v>
      </c>
      <c r="C42" s="16"/>
      <c r="D42" s="16"/>
      <c r="E42" s="16"/>
      <c r="G42" s="16"/>
      <c r="H42" s="16"/>
      <c r="I42" s="16"/>
      <c r="K42" s="17">
        <f t="shared" ref="K42:W42" si="262">+K37/K36</f>
        <v>0.20412098298676748</v>
      </c>
      <c r="L42" s="17">
        <f>+L37/L36*-1</f>
        <v>0.35871066768994631</v>
      </c>
      <c r="M42" s="17">
        <f t="shared" si="262"/>
        <v>6.0405771425651157E-2</v>
      </c>
      <c r="N42" s="17">
        <f t="shared" si="262"/>
        <v>5.9851809222358103E-2</v>
      </c>
      <c r="O42" s="17">
        <f t="shared" si="262"/>
        <v>0.21808170689739934</v>
      </c>
      <c r="P42" s="17">
        <f t="shared" si="262"/>
        <v>0.25584939048368072</v>
      </c>
      <c r="Q42" s="17">
        <f t="shared" si="262"/>
        <v>6.8375856863569992E-2</v>
      </c>
      <c r="R42" s="17">
        <f t="shared" si="262"/>
        <v>0.74853310980720866</v>
      </c>
      <c r="S42" s="17">
        <f t="shared" si="262"/>
        <v>0.24212759937756401</v>
      </c>
      <c r="T42" s="17">
        <f t="shared" si="262"/>
        <v>0.21950203765951751</v>
      </c>
      <c r="U42" s="17">
        <f t="shared" si="262"/>
        <v>0.23742998913899951</v>
      </c>
      <c r="V42" s="17">
        <f t="shared" si="262"/>
        <v>0.25490925319845287</v>
      </c>
      <c r="W42" s="17">
        <f t="shared" si="262"/>
        <v>0.26727568740955138</v>
      </c>
      <c r="X42" s="17">
        <v>0.27</v>
      </c>
      <c r="Y42" s="17">
        <v>0.27</v>
      </c>
      <c r="Z42" s="17">
        <v>0.27</v>
      </c>
      <c r="AC42" s="17">
        <f t="shared" ref="AC42:AM42" si="263">AC37/AC36</f>
        <v>0.23315987279560565</v>
      </c>
      <c r="AD42" s="17">
        <f t="shared" si="263"/>
        <v>0.11794376222688382</v>
      </c>
      <c r="AE42" s="17">
        <f t="shared" si="263"/>
        <v>0.25101686850547189</v>
      </c>
      <c r="AF42" s="17">
        <f t="shared" si="263"/>
        <v>0.336150791079182</v>
      </c>
      <c r="AG42" s="17">
        <f t="shared" si="263"/>
        <v>8.0609268055503613E-2</v>
      </c>
      <c r="AH42" s="17">
        <f t="shared" si="263"/>
        <v>9.5299791261786518E-2</v>
      </c>
      <c r="AI42" s="17">
        <f t="shared" si="263"/>
        <v>0.16622004999859555</v>
      </c>
      <c r="AJ42" s="17">
        <f t="shared" si="263"/>
        <v>0.27834291764412794</v>
      </c>
      <c r="AK42" s="17">
        <f t="shared" si="263"/>
        <v>0.22363448661242813</v>
      </c>
      <c r="AL42" s="17">
        <f t="shared" si="263"/>
        <v>0.23165979851767646</v>
      </c>
      <c r="AM42" s="17">
        <f t="shared" si="263"/>
        <v>0.23766341986037098</v>
      </c>
      <c r="AN42" s="17">
        <f>AN37/AN36</f>
        <v>0.26925986022829029</v>
      </c>
      <c r="AO42" s="17">
        <v>0.25</v>
      </c>
      <c r="AP42" s="17">
        <f>AO42</f>
        <v>0.25</v>
      </c>
      <c r="AQ42" s="17">
        <f t="shared" ref="AQ42:AW42" si="264">AP42</f>
        <v>0.25</v>
      </c>
      <c r="AR42" s="17">
        <f t="shared" si="264"/>
        <v>0.25</v>
      </c>
      <c r="AS42" s="17">
        <f t="shared" si="264"/>
        <v>0.25</v>
      </c>
      <c r="AT42" s="17">
        <f t="shared" si="264"/>
        <v>0.25</v>
      </c>
      <c r="AU42" s="17">
        <f t="shared" si="264"/>
        <v>0.25</v>
      </c>
      <c r="AV42" s="17">
        <f t="shared" si="264"/>
        <v>0.25</v>
      </c>
      <c r="AW42" s="17">
        <f t="shared" si="264"/>
        <v>0.25</v>
      </c>
    </row>
    <row r="44" spans="2:132" s="9" customFormat="1" x14ac:dyDescent="0.2">
      <c r="B44" s="5" t="s">
        <v>37</v>
      </c>
      <c r="C44" s="7"/>
      <c r="D44" s="7"/>
      <c r="E44" s="7"/>
      <c r="F44" s="7"/>
      <c r="G44" s="7"/>
      <c r="H44" s="7"/>
      <c r="I44" s="7"/>
      <c r="J44" s="8">
        <f>J27/F27-1</f>
        <v>8.8887110114997725E-2</v>
      </c>
      <c r="K44" s="8"/>
      <c r="L44" s="8"/>
      <c r="M44" s="8"/>
      <c r="N44" s="8"/>
      <c r="O44" s="8">
        <f t="shared" ref="O44" si="265">O27/K27-1</f>
        <v>0.13914037605507046</v>
      </c>
      <c r="P44" s="8">
        <f t="shared" ref="P44:V44" si="266">P27/L27-1</f>
        <v>8.5019500328223252E-2</v>
      </c>
      <c r="Q44" s="8">
        <f t="shared" si="266"/>
        <v>5.0824198001259369E-2</v>
      </c>
      <c r="R44" s="8">
        <f t="shared" si="266"/>
        <v>6.567723342939491E-2</v>
      </c>
      <c r="S44" s="8">
        <f t="shared" si="266"/>
        <v>4.2932916517193664E-2</v>
      </c>
      <c r="T44" s="8">
        <f t="shared" si="266"/>
        <v>5.2106410427510186E-2</v>
      </c>
      <c r="U44" s="8">
        <f t="shared" si="266"/>
        <v>7.6075099482231456E-2</v>
      </c>
      <c r="V44" s="8">
        <f t="shared" si="266"/>
        <v>6.5712972227480515E-2</v>
      </c>
      <c r="W44" s="8">
        <f t="shared" ref="W44" si="267">W27/S27-1</f>
        <v>1.4098579495432251E-2</v>
      </c>
      <c r="X44" s="8">
        <f t="shared" ref="X44" si="268">X27/T27-1</f>
        <v>-3.2517135089195515E-2</v>
      </c>
      <c r="Y44" s="8">
        <f t="shared" ref="Y44" si="269">Y27/U27-1</f>
        <v>-1.348979489851998E-2</v>
      </c>
      <c r="Z44" s="8">
        <f t="shared" ref="Z44" si="270">Z27/V27-1</f>
        <v>9.4940242076679837E-4</v>
      </c>
      <c r="AA44" s="8"/>
      <c r="AD44" s="10">
        <f t="shared" ref="AD44:AM44" si="271">AD27/AC27-1</f>
        <v>0.32726628523437085</v>
      </c>
      <c r="AE44" s="10">
        <f t="shared" si="271"/>
        <v>0.56484383496633472</v>
      </c>
      <c r="AF44" s="10">
        <f t="shared" si="271"/>
        <v>0.58122990023566867</v>
      </c>
      <c r="AG44" s="10">
        <f t="shared" si="271"/>
        <v>0.50577385661655994</v>
      </c>
      <c r="AH44" s="10">
        <f t="shared" si="271"/>
        <v>0.35257825519313024</v>
      </c>
      <c r="AI44" s="10">
        <f t="shared" si="271"/>
        <v>0.40724645926809511</v>
      </c>
      <c r="AJ44" s="10">
        <f t="shared" si="271"/>
        <v>0.18928632671071211</v>
      </c>
      <c r="AK44" s="10">
        <f t="shared" si="271"/>
        <v>1.8527375501429022E-2</v>
      </c>
      <c r="AL44" s="10">
        <f t="shared" si="271"/>
        <v>8.3212965850929965E-2</v>
      </c>
      <c r="AM44" s="10">
        <f t="shared" si="271"/>
        <v>5.966203695833272E-2</v>
      </c>
      <c r="AN44" s="10">
        <f t="shared" ref="AN44" si="272">AN27/AM27-1</f>
        <v>-7.8230958970041398E-3</v>
      </c>
      <c r="AO44" s="10">
        <f t="shared" ref="AO44" si="273">AO27/AN27-1</f>
        <v>0.14294702954682403</v>
      </c>
      <c r="AP44" s="10">
        <f t="shared" ref="AP44" si="274">AP27/AO27-1</f>
        <v>0.12845930100556902</v>
      </c>
      <c r="AQ44" s="10">
        <f t="shared" ref="AQ44" si="275">AQ27/AP27-1</f>
        <v>0.13014313734074312</v>
      </c>
      <c r="AR44" s="10">
        <f t="shared" ref="AR44" si="276">AR27/AQ27-1</f>
        <v>0.11516636272196989</v>
      </c>
      <c r="AS44" s="10">
        <f t="shared" ref="AS44" si="277">AS27/AR27-1</f>
        <v>0.10886398030991695</v>
      </c>
      <c r="AT44" s="10">
        <f t="shared" ref="AT44" si="278">AT27/AS27-1</f>
        <v>9.7739564611470708E-2</v>
      </c>
      <c r="AU44" s="10">
        <f t="shared" ref="AU44" si="279">AU27/AT27-1</f>
        <v>9.8902514716684431E-2</v>
      </c>
      <c r="AV44" s="10">
        <f t="shared" ref="AV44" si="280">AV27/AU27-1</f>
        <v>7.8147990992156302E-2</v>
      </c>
      <c r="AW44" s="10">
        <f t="shared" ref="AW44" si="281">AW27/AV27-1</f>
        <v>5.7499661394576407E-2</v>
      </c>
      <c r="AY44" s="9" t="s">
        <v>95</v>
      </c>
      <c r="AZ44" s="10">
        <v>0.01</v>
      </c>
    </row>
    <row r="45" spans="2:132" x14ac:dyDescent="0.2">
      <c r="B45" s="3" t="s">
        <v>26</v>
      </c>
      <c r="J45" s="16">
        <f t="shared" ref="J45:K45" si="282">J29/J27</f>
        <v>0.31907062905533884</v>
      </c>
      <c r="K45" s="16">
        <f t="shared" si="282"/>
        <v>0.36923451144462555</v>
      </c>
      <c r="L45" s="16">
        <f>L29/L27</f>
        <v>0.36667374599374447</v>
      </c>
      <c r="M45" s="16">
        <f t="shared" ref="M45:W45" si="283">M29/M27</f>
        <v>0.39454543986825746</v>
      </c>
      <c r="N45" s="16">
        <f t="shared" si="283"/>
        <v>0.33322286263208456</v>
      </c>
      <c r="O45" s="16">
        <f t="shared" si="283"/>
        <v>0.39208476400348485</v>
      </c>
      <c r="P45" s="16">
        <f t="shared" si="283"/>
        <v>0.37869122291916901</v>
      </c>
      <c r="Q45" s="16">
        <f t="shared" si="283"/>
        <v>0.39998002673344907</v>
      </c>
      <c r="R45" s="16">
        <f t="shared" si="283"/>
        <v>0.33251304794613157</v>
      </c>
      <c r="S45" s="16">
        <f t="shared" si="283"/>
        <v>0.40171738142328905</v>
      </c>
      <c r="T45" s="16">
        <f t="shared" si="283"/>
        <v>0.39100561092248304</v>
      </c>
      <c r="U45" s="16">
        <f t="shared" si="283"/>
        <v>0.41987621094112526</v>
      </c>
      <c r="V45" s="16">
        <f t="shared" si="283"/>
        <v>0.38412545357659417</v>
      </c>
      <c r="W45" s="16">
        <f t="shared" si="283"/>
        <v>0.44911004150986061</v>
      </c>
      <c r="X45" s="16">
        <v>0.44</v>
      </c>
      <c r="Y45" s="16">
        <v>0.46</v>
      </c>
      <c r="Z45" s="16">
        <v>0.42</v>
      </c>
      <c r="AA45" s="16"/>
      <c r="AC45" s="16">
        <f t="shared" ref="AC45:AL45" si="284">AC29/AC27</f>
        <v>0.68723426591779957</v>
      </c>
      <c r="AD45" s="16">
        <f t="shared" si="284"/>
        <v>0.66033240066045107</v>
      </c>
      <c r="AE45" s="16">
        <f t="shared" si="284"/>
        <v>0.62417468551174238</v>
      </c>
      <c r="AF45" s="16">
        <f t="shared" si="284"/>
        <v>0.57227909504287433</v>
      </c>
      <c r="AG45" s="16">
        <f t="shared" si="284"/>
        <v>0.45088949273439405</v>
      </c>
      <c r="AH45" s="16">
        <f t="shared" si="284"/>
        <v>0.44602529668773089</v>
      </c>
      <c r="AI45" s="16">
        <f t="shared" si="284"/>
        <v>0.41278201673244674</v>
      </c>
      <c r="AJ45" s="16">
        <f t="shared" si="284"/>
        <v>0.36763095765606718</v>
      </c>
      <c r="AK45" s="16">
        <f t="shared" si="284"/>
        <v>0.36734275786742965</v>
      </c>
      <c r="AL45" s="16">
        <f t="shared" si="284"/>
        <v>0.37702620573585161</v>
      </c>
      <c r="AM45" s="16">
        <f>AM29/AM27</f>
        <v>0.40010728753058195</v>
      </c>
      <c r="AN45" s="16">
        <f t="shared" ref="AN45" si="285">AN29/AN27</f>
        <v>0.44308235545053865</v>
      </c>
      <c r="AO45" s="16">
        <v>0.45</v>
      </c>
      <c r="AP45" s="16">
        <v>0.47</v>
      </c>
      <c r="AQ45" s="16">
        <v>0.5</v>
      </c>
      <c r="AR45" s="16">
        <v>0.51</v>
      </c>
      <c r="AS45" s="16">
        <v>0.51</v>
      </c>
      <c r="AT45" s="16">
        <v>0.52</v>
      </c>
      <c r="AU45" s="16">
        <v>0.53</v>
      </c>
      <c r="AV45" s="16">
        <v>0.54</v>
      </c>
      <c r="AW45" s="16">
        <v>0.55000000000000004</v>
      </c>
      <c r="AY45" t="s">
        <v>96</v>
      </c>
      <c r="AZ45" s="17">
        <v>0.09</v>
      </c>
    </row>
    <row r="46" spans="2:132" x14ac:dyDescent="0.2">
      <c r="B46" s="3" t="s">
        <v>89</v>
      </c>
      <c r="J46" s="16">
        <f t="shared" ref="J46:K46" si="286">+J34/J27</f>
        <v>9.5799110030776471E-2</v>
      </c>
      <c r="K46" s="16">
        <f t="shared" si="286"/>
        <v>0.1347279316971127</v>
      </c>
      <c r="L46" s="16">
        <f>+L34/L27</f>
        <v>0.134503996601923</v>
      </c>
      <c r="M46" s="16">
        <f t="shared" ref="M46:W46" si="287">+M34/M27</f>
        <v>0.17466781833739647</v>
      </c>
      <c r="N46" s="16">
        <f t="shared" si="287"/>
        <v>8.5177713736791547E-2</v>
      </c>
      <c r="O46" s="16">
        <f t="shared" si="287"/>
        <v>0.20072088693008081</v>
      </c>
      <c r="P46" s="16">
        <f t="shared" si="287"/>
        <v>0.16021620178833579</v>
      </c>
      <c r="Q46" s="16">
        <f t="shared" si="287"/>
        <v>0.17515786562600827</v>
      </c>
      <c r="R46" s="16">
        <f t="shared" si="287"/>
        <v>7.592597600439889E-2</v>
      </c>
      <c r="S46" s="16">
        <f t="shared" si="287"/>
        <v>0.15869194010048771</v>
      </c>
      <c r="T46" s="16">
        <f t="shared" si="287"/>
        <v>0.15240398641877692</v>
      </c>
      <c r="U46" s="16">
        <f t="shared" si="287"/>
        <v>0.17648150659994147</v>
      </c>
      <c r="V46" s="16">
        <f t="shared" si="287"/>
        <v>0.12426941392406134</v>
      </c>
      <c r="W46" s="16">
        <f t="shared" si="287"/>
        <v>0.14393584546056562</v>
      </c>
      <c r="X46" s="16">
        <f t="shared" ref="X46:Z46" si="288">+X34/X27</f>
        <v>0.13145772566720537</v>
      </c>
      <c r="Y46" s="16">
        <f t="shared" si="288"/>
        <v>0.15533399538119941</v>
      </c>
      <c r="Z46" s="16">
        <f t="shared" si="288"/>
        <v>9.8511131281934311E-2</v>
      </c>
      <c r="AA46" s="16"/>
      <c r="AC46" s="16">
        <f t="shared" ref="AC46:AM46" si="289">+AC34/AC27</f>
        <v>0.33330271376830611</v>
      </c>
      <c r="AD46" s="16">
        <f t="shared" si="289"/>
        <v>0.32120858586357931</v>
      </c>
      <c r="AE46" s="16">
        <f t="shared" si="289"/>
        <v>0.33598276395847682</v>
      </c>
      <c r="AF46" s="16">
        <f t="shared" si="289"/>
        <v>0.3073849424212638</v>
      </c>
      <c r="AG46" s="16">
        <f t="shared" si="289"/>
        <v>0.17994448631263865</v>
      </c>
      <c r="AH46" s="16">
        <f t="shared" si="289"/>
        <v>0.2067720728020388</v>
      </c>
      <c r="AI46" s="16">
        <f t="shared" si="289"/>
        <v>0.14234848157437238</v>
      </c>
      <c r="AJ46" s="16">
        <f t="shared" si="289"/>
        <v>0.1247576377801379</v>
      </c>
      <c r="AK46" s="16">
        <f t="shared" si="289"/>
        <v>0.13436924178268941</v>
      </c>
      <c r="AL46" s="16">
        <f t="shared" si="289"/>
        <v>0.15455582850245653</v>
      </c>
      <c r="AM46" s="16">
        <f t="shared" si="289"/>
        <v>0.15403681867404645</v>
      </c>
      <c r="AN46" s="16">
        <f t="shared" ref="AN46:AW46" si="290">+AN34/AN27</f>
        <v>0.13336904021753532</v>
      </c>
      <c r="AO46" s="16">
        <f t="shared" si="290"/>
        <v>0.12892009380915792</v>
      </c>
      <c r="AP46" s="16">
        <f t="shared" si="290"/>
        <v>0.14057851993078732</v>
      </c>
      <c r="AQ46" s="16">
        <f t="shared" si="290"/>
        <v>0.16726684113543464</v>
      </c>
      <c r="AR46" s="16">
        <f t="shared" si="290"/>
        <v>0.18046193146552625</v>
      </c>
      <c r="AS46" s="16">
        <f t="shared" si="290"/>
        <v>0.18620734247213477</v>
      </c>
      <c r="AT46" s="16">
        <f t="shared" si="290"/>
        <v>0.21022385082192835</v>
      </c>
      <c r="AU46" s="16">
        <f t="shared" si="290"/>
        <v>0.23662546278373719</v>
      </c>
      <c r="AV46" s="16">
        <f t="shared" si="290"/>
        <v>0.26112286256742445</v>
      </c>
      <c r="AW46" s="16">
        <f t="shared" si="290"/>
        <v>0.27969620184227678</v>
      </c>
      <c r="AY46" t="s">
        <v>97</v>
      </c>
      <c r="AZ46" s="1">
        <f>+NPV(AZ45,AN38:EB38)+Main!O5-Main!O6</f>
        <v>4518244.5895432774</v>
      </c>
    </row>
    <row r="47" spans="2:132" x14ac:dyDescent="0.2">
      <c r="B47" s="3" t="s">
        <v>90</v>
      </c>
      <c r="J47" s="16">
        <f t="shared" ref="J47:K47" si="291">+J38/J27</f>
        <v>-7.6088448042655799E-2</v>
      </c>
      <c r="K47" s="16">
        <f t="shared" si="291"/>
        <v>0.10241054705553258</v>
      </c>
      <c r="L47" s="16">
        <f>+L38/L27</f>
        <v>-8.5453913580723642E-2</v>
      </c>
      <c r="M47" s="16">
        <f t="shared" ref="M47:W47" si="292">+M38/M27</f>
        <v>0.22262629361145644</v>
      </c>
      <c r="N47" s="16">
        <f t="shared" si="292"/>
        <v>0.12554274735830931</v>
      </c>
      <c r="O47" s="16">
        <f t="shared" si="292"/>
        <v>0.13584960453714617</v>
      </c>
      <c r="P47" s="16">
        <f t="shared" si="292"/>
        <v>0.13469460385248455</v>
      </c>
      <c r="Q47" s="16">
        <f t="shared" si="292"/>
        <v>0.14459876780309433</v>
      </c>
      <c r="R47" s="16">
        <f t="shared" si="292"/>
        <v>1.3521187701127667E-2</v>
      </c>
      <c r="S47" s="16">
        <f t="shared" si="292"/>
        <v>0.1096888321069248</v>
      </c>
      <c r="T47" s="16">
        <f t="shared" si="292"/>
        <v>0.11094151025568386</v>
      </c>
      <c r="U47" s="16">
        <f t="shared" si="292"/>
        <v>0.12781541580702044</v>
      </c>
      <c r="V47" s="16">
        <f t="shared" si="292"/>
        <v>8.4726839046918218E-2</v>
      </c>
      <c r="W47" s="16">
        <f t="shared" si="292"/>
        <v>9.8133671442185003E-2</v>
      </c>
      <c r="X47" s="16">
        <f t="shared" ref="X47:Z47" si="293">+X38/X27</f>
        <v>8.822107838466936E-2</v>
      </c>
      <c r="Y47" s="16">
        <f t="shared" si="293"/>
        <v>0.10683008458297101</v>
      </c>
      <c r="Z47" s="16">
        <f t="shared" si="293"/>
        <v>6.421458086030539E-2</v>
      </c>
      <c r="AA47" s="16"/>
      <c r="AC47" s="16">
        <f t="shared" ref="AC47:AM47" si="294">+AC38/AC27</f>
        <v>0.34807884100572151</v>
      </c>
      <c r="AD47" s="16">
        <f t="shared" si="294"/>
        <v>0.74000177965850333</v>
      </c>
      <c r="AE47" s="16">
        <f t="shared" si="294"/>
        <v>0.30830906092637406</v>
      </c>
      <c r="AF47" s="16">
        <f t="shared" si="294"/>
        <v>0.28652313937969998</v>
      </c>
      <c r="AG47" s="16">
        <f t="shared" si="294"/>
        <v>0.26092229145216589</v>
      </c>
      <c r="AH47" s="16">
        <f t="shared" si="294"/>
        <v>0.32056792966995024</v>
      </c>
      <c r="AI47" s="16">
        <f t="shared" si="294"/>
        <v>0.20691381019365973</v>
      </c>
      <c r="AJ47" s="16">
        <f t="shared" si="294"/>
        <v>8.1498179499262663E-2</v>
      </c>
      <c r="AK47" s="16">
        <f t="shared" si="294"/>
        <v>9.4342402231872083E-2</v>
      </c>
      <c r="AL47" s="16">
        <f t="shared" si="294"/>
        <v>0.10915585740271662</v>
      </c>
      <c r="AM47" s="16">
        <f t="shared" si="294"/>
        <v>0.10915954758753459</v>
      </c>
      <c r="AN47" s="16">
        <f t="shared" ref="AN47:AW47" si="295">+AN38/AN27</f>
        <v>9.0157487987558904E-2</v>
      </c>
      <c r="AO47" s="16">
        <f t="shared" si="295"/>
        <v>9.046196816597829E-2</v>
      </c>
      <c r="AP47" s="16">
        <f t="shared" si="295"/>
        <v>0.1001907260377277</v>
      </c>
      <c r="AQ47" s="16">
        <f t="shared" si="295"/>
        <v>0.12104271948015882</v>
      </c>
      <c r="AR47" s="16">
        <f t="shared" si="295"/>
        <v>0.13159181526118577</v>
      </c>
      <c r="AS47" s="16">
        <f t="shared" si="295"/>
        <v>0.13643878980458157</v>
      </c>
      <c r="AT47" s="16">
        <f t="shared" si="295"/>
        <v>0.15488409376707787</v>
      </c>
      <c r="AU47" s="16">
        <f t="shared" si="295"/>
        <v>0.17506250997340195</v>
      </c>
      <c r="AV47" s="16">
        <f t="shared" si="295"/>
        <v>0.19372160523947107</v>
      </c>
      <c r="AW47" s="16">
        <f t="shared" si="295"/>
        <v>0.20786717242489566</v>
      </c>
      <c r="AY47" t="s">
        <v>98</v>
      </c>
      <c r="AZ47" s="1">
        <f>+AZ46/Main!O3</f>
        <v>236.03827131664806</v>
      </c>
    </row>
    <row r="48" spans="2:132" s="9" customFormat="1" x14ac:dyDescent="0.2">
      <c r="B48" s="5"/>
      <c r="C48" s="7"/>
      <c r="D48" s="7"/>
      <c r="E48" s="7"/>
      <c r="F48" s="7"/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Y48" s="9" t="s">
        <v>99</v>
      </c>
      <c r="AZ48" s="15">
        <f>+Main!O2</f>
        <v>141.59821428571428</v>
      </c>
    </row>
    <row r="49" spans="2:52" s="17" customFormat="1" x14ac:dyDescent="0.2">
      <c r="B49" s="17" t="s">
        <v>27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>
        <f t="shared" ref="O49:O51" si="296">O30/K30-1</f>
        <v>-0.26266469386317204</v>
      </c>
      <c r="P49" s="16">
        <f>P30/L30-1</f>
        <v>-6.1518151815181499E-2</v>
      </c>
      <c r="Q49" s="16">
        <f t="shared" ref="Q49:W49" si="297">Q30/M30-1</f>
        <v>-2.4406478810738985E-3</v>
      </c>
      <c r="R49" s="16">
        <f t="shared" si="297"/>
        <v>1.4769452449567622E-2</v>
      </c>
      <c r="S49" s="16">
        <f t="shared" si="297"/>
        <v>0.27787864309603449</v>
      </c>
      <c r="T49" s="16">
        <f t="shared" si="297"/>
        <v>-2.532001688001162E-3</v>
      </c>
      <c r="U49" s="16">
        <f t="shared" si="297"/>
        <v>8.7040332147093613E-2</v>
      </c>
      <c r="V49" s="16">
        <f t="shared" si="297"/>
        <v>6.0276890308839093E-2</v>
      </c>
      <c r="W49" s="16">
        <f t="shared" si="297"/>
        <v>0.12173782995588134</v>
      </c>
      <c r="X49" s="16">
        <v>0.13</v>
      </c>
      <c r="Y49" s="16">
        <v>0.15</v>
      </c>
      <c r="Z49" s="16">
        <v>0.15</v>
      </c>
      <c r="AA49" s="16"/>
      <c r="AD49" s="17">
        <f t="shared" ref="AD49:AM51" si="298">+AD30/AC30-1</f>
        <v>0.29367611184087061</v>
      </c>
      <c r="AE49" s="17">
        <f t="shared" si="298"/>
        <v>0.23730780388743833</v>
      </c>
      <c r="AF49" s="17">
        <f t="shared" si="298"/>
        <v>0.33376318874560384</v>
      </c>
      <c r="AG49" s="17">
        <f t="shared" si="298"/>
        <v>0.64520523863936008</v>
      </c>
      <c r="AH49" s="17">
        <f t="shared" si="298"/>
        <v>0.15079471083210905</v>
      </c>
      <c r="AI49" s="17">
        <f t="shared" si="298"/>
        <v>0.32859795728876517</v>
      </c>
      <c r="AJ49" s="17">
        <f t="shared" si="298"/>
        <v>-3.0942064434971051E-2</v>
      </c>
      <c r="AK49" s="17">
        <f t="shared" si="298"/>
        <v>2.3059587127016945E-2</v>
      </c>
      <c r="AL49" s="17">
        <f t="shared" si="298"/>
        <v>-7.9092062596926582E-2</v>
      </c>
      <c r="AM49" s="17">
        <f t="shared" si="298"/>
        <v>9.367345376607461E-2</v>
      </c>
      <c r="AN49" s="17">
        <f>+AN30/AM30-1</f>
        <v>0.13842382460499358</v>
      </c>
      <c r="AO49" s="17">
        <v>0.1</v>
      </c>
      <c r="AP49" s="17">
        <v>7.0000000000000007E-2</v>
      </c>
      <c r="AQ49" s="17">
        <v>7.0000000000000007E-2</v>
      </c>
      <c r="AR49" s="17">
        <v>0.06</v>
      </c>
      <c r="AS49" s="17">
        <v>0.06</v>
      </c>
      <c r="AT49" s="17">
        <v>0.06</v>
      </c>
      <c r="AU49" s="17">
        <v>0.05</v>
      </c>
      <c r="AV49" s="17">
        <v>0.05</v>
      </c>
      <c r="AW49" s="17">
        <v>0.05</v>
      </c>
      <c r="AY49" s="17" t="s">
        <v>100</v>
      </c>
      <c r="AZ49" s="23">
        <f>+AZ47/AZ48-1</f>
        <v>0.66695796629450688</v>
      </c>
    </row>
    <row r="50" spans="2:52" s="10" customFormat="1" x14ac:dyDescent="0.2">
      <c r="B50" s="17" t="s">
        <v>28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16">
        <f t="shared" si="296"/>
        <v>5.743216826960662E-2</v>
      </c>
      <c r="P50" s="16">
        <f t="shared" ref="P50:P51" si="299">P31/L31-1</f>
        <v>0.13980947269555877</v>
      </c>
      <c r="Q50" s="16">
        <f t="shared" ref="Q50:Q51" si="300">Q31/M31-1</f>
        <v>0.10301031735666699</v>
      </c>
      <c r="R50" s="16">
        <f t="shared" ref="R50:R51" si="301">R31/N31-1</f>
        <v>0.15623119810677477</v>
      </c>
      <c r="S50" s="16">
        <f t="shared" ref="S50:S51" si="302">S31/O31-1</f>
        <v>0.20885865345509669</v>
      </c>
      <c r="T50" s="16">
        <f t="shared" ref="T50:T51" si="303">T31/P31-1</f>
        <v>0.27412203256817746</v>
      </c>
      <c r="U50" s="16">
        <f t="shared" ref="U50:U51" si="304">U31/Q31-1</f>
        <v>0.26320930645590979</v>
      </c>
      <c r="V50" s="16">
        <f t="shared" ref="V50:V51" si="305">V31/R31-1</f>
        <v>0.25508221744258663</v>
      </c>
      <c r="W50" s="16">
        <f t="shared" ref="W50:W51" si="306">W31/S31-1</f>
        <v>0.62643748470760952</v>
      </c>
      <c r="X50" s="16">
        <v>0.5</v>
      </c>
      <c r="Y50" s="16">
        <v>0.4</v>
      </c>
      <c r="Z50" s="16">
        <v>0.4</v>
      </c>
      <c r="AA50" s="8"/>
      <c r="AD50" s="17">
        <f t="shared" si="298"/>
        <v>0.32820392341125348</v>
      </c>
      <c r="AE50" s="17">
        <f t="shared" si="298"/>
        <v>0.44282302998142753</v>
      </c>
      <c r="AF50" s="17">
        <f t="shared" si="298"/>
        <v>0.67334804462424902</v>
      </c>
      <c r="AG50" s="17">
        <f t="shared" si="298"/>
        <v>0.45719623429429657</v>
      </c>
      <c r="AH50" s="17">
        <f t="shared" si="298"/>
        <v>0.27383107088989433</v>
      </c>
      <c r="AI50" s="17">
        <f t="shared" si="298"/>
        <v>0.60872654076135224</v>
      </c>
      <c r="AJ50" s="17">
        <f t="shared" si="298"/>
        <v>0.46958377801494122</v>
      </c>
      <c r="AK50" s="17">
        <f t="shared" si="298"/>
        <v>-0.13608627784872995</v>
      </c>
      <c r="AL50" s="17">
        <f t="shared" si="298"/>
        <v>0.11251642575558485</v>
      </c>
      <c r="AM50" s="17">
        <f t="shared" si="298"/>
        <v>0.25082290409150509</v>
      </c>
      <c r="AN50" s="17">
        <f t="shared" ref="AN50:AN51" si="307">+AN31/AM31-1</f>
        <v>0.47395240971802721</v>
      </c>
      <c r="AO50" s="17">
        <v>0.25</v>
      </c>
      <c r="AP50" s="17">
        <v>0.2</v>
      </c>
      <c r="AQ50" s="17">
        <v>0.17</v>
      </c>
      <c r="AR50" s="17">
        <v>0.12</v>
      </c>
      <c r="AS50" s="17">
        <v>0.1</v>
      </c>
      <c r="AT50" s="17">
        <v>0.05</v>
      </c>
      <c r="AU50" s="17">
        <v>0.04</v>
      </c>
      <c r="AV50" s="17">
        <v>0.02</v>
      </c>
      <c r="AW50" s="17">
        <v>0.02</v>
      </c>
    </row>
    <row r="51" spans="2:52" s="10" customFormat="1" x14ac:dyDescent="0.2">
      <c r="B51" s="17" t="s">
        <v>29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16">
        <f t="shared" si="296"/>
        <v>-0.13470888177398321</v>
      </c>
      <c r="P51" s="16">
        <f t="shared" si="299"/>
        <v>-0.11169861202908127</v>
      </c>
      <c r="Q51" s="16">
        <f t="shared" si="300"/>
        <v>9.0442529292146689E-2</v>
      </c>
      <c r="R51" s="16">
        <f t="shared" si="301"/>
        <v>9.2503117206982566E-2</v>
      </c>
      <c r="S51" s="16">
        <f t="shared" si="302"/>
        <v>0.8199259969850623</v>
      </c>
      <c r="T51" s="16">
        <f t="shared" si="303"/>
        <v>3.9221938775510168E-2</v>
      </c>
      <c r="U51" s="16">
        <f t="shared" si="304"/>
        <v>-3.6408844685196673E-2</v>
      </c>
      <c r="V51" s="16">
        <f t="shared" si="305"/>
        <v>-0.26307154575932667</v>
      </c>
      <c r="W51" s="16">
        <f t="shared" si="306"/>
        <v>-0.44292168674698795</v>
      </c>
      <c r="X51" s="16">
        <v>-0.4</v>
      </c>
      <c r="Y51" s="16">
        <v>-0.3</v>
      </c>
      <c r="Z51" s="16">
        <v>-0.2</v>
      </c>
      <c r="AA51" s="8"/>
      <c r="AD51" s="17">
        <f t="shared" si="298"/>
        <v>0.18012820512820515</v>
      </c>
      <c r="AE51" s="17">
        <f t="shared" si="298"/>
        <v>0.3296034763715372</v>
      </c>
      <c r="AF51" s="17">
        <f t="shared" si="298"/>
        <v>0.32698749897867474</v>
      </c>
      <c r="AG51" s="17">
        <f t="shared" si="298"/>
        <v>0.53247952712271407</v>
      </c>
      <c r="AH51" s="17">
        <f t="shared" si="298"/>
        <v>0.13291012093696009</v>
      </c>
      <c r="AI51" s="17">
        <f t="shared" si="298"/>
        <v>0.95850622406638997</v>
      </c>
      <c r="AJ51" s="17">
        <f t="shared" si="298"/>
        <v>-0.42195422280168038</v>
      </c>
      <c r="AK51" s="17">
        <f t="shared" si="298"/>
        <v>0.3214397594135705</v>
      </c>
      <c r="AL51" s="17">
        <f t="shared" si="298"/>
        <v>-4.6938340089609509E-3</v>
      </c>
      <c r="AM51" s="17">
        <f t="shared" si="298"/>
        <v>5.3685840181016964E-2</v>
      </c>
      <c r="AN51" s="17">
        <f t="shared" si="307"/>
        <v>-0.34165103189493429</v>
      </c>
      <c r="AO51" s="17">
        <v>-0.1</v>
      </c>
      <c r="AP51" s="17">
        <v>-0.03</v>
      </c>
      <c r="AQ51" s="17">
        <v>0</v>
      </c>
      <c r="AR51" s="17">
        <v>0.02</v>
      </c>
      <c r="AS51" s="17">
        <v>0.02</v>
      </c>
      <c r="AT51" s="17">
        <v>0.02</v>
      </c>
      <c r="AU51" s="17">
        <v>0.02</v>
      </c>
      <c r="AV51" s="17">
        <v>0.02</v>
      </c>
      <c r="AW51" s="17">
        <v>0.02</v>
      </c>
    </row>
    <row r="52" spans="2:52" s="9" customFormat="1" x14ac:dyDescent="0.2">
      <c r="B52" s="5"/>
      <c r="C52" s="7"/>
      <c r="D52" s="7"/>
      <c r="E52" s="7"/>
      <c r="F52" s="7"/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spans="2:52" x14ac:dyDescent="0.2">
      <c r="B53" t="s">
        <v>81</v>
      </c>
      <c r="S53" s="4">
        <f>+S54-S60</f>
        <v>821936</v>
      </c>
    </row>
    <row r="54" spans="2:52" x14ac:dyDescent="0.2">
      <c r="B54" t="s">
        <v>67</v>
      </c>
      <c r="S54" s="4">
        <f>219167+176030+46141+53727+330935+203873</f>
        <v>1029873</v>
      </c>
    </row>
    <row r="55" spans="2:52" x14ac:dyDescent="0.2">
      <c r="B55" t="s">
        <v>68</v>
      </c>
      <c r="S55" s="4">
        <f>158625+117340</f>
        <v>275965</v>
      </c>
    </row>
    <row r="56" spans="2:52" x14ac:dyDescent="0.2">
      <c r="B56" t="s">
        <v>69</v>
      </c>
      <c r="S56" s="4">
        <v>194222</v>
      </c>
    </row>
    <row r="57" spans="2:52" x14ac:dyDescent="0.2">
      <c r="B57" t="s">
        <v>70</v>
      </c>
      <c r="S57" s="4">
        <f>25272+259722</f>
        <v>284994</v>
      </c>
    </row>
    <row r="58" spans="2:52" x14ac:dyDescent="0.2">
      <c r="B58" t="s">
        <v>71</v>
      </c>
      <c r="S58" s="4">
        <f>SUM(S54:S57)</f>
        <v>1785054</v>
      </c>
    </row>
    <row r="60" spans="2:52" x14ac:dyDescent="0.2">
      <c r="B60" t="s">
        <v>72</v>
      </c>
      <c r="S60" s="4">
        <f>13567+55631+86574+35822+16343</f>
        <v>207937</v>
      </c>
    </row>
    <row r="61" spans="2:52" x14ac:dyDescent="0.2">
      <c r="B61" t="s">
        <v>34</v>
      </c>
      <c r="S61" s="4">
        <f>6868+54279</f>
        <v>61147</v>
      </c>
    </row>
    <row r="62" spans="2:52" x14ac:dyDescent="0.2">
      <c r="B62" t="s">
        <v>75</v>
      </c>
      <c r="S62" s="4">
        <v>339279</v>
      </c>
    </row>
    <row r="63" spans="2:52" x14ac:dyDescent="0.2">
      <c r="B63" t="s">
        <v>74</v>
      </c>
      <c r="S63" s="4">
        <v>12449</v>
      </c>
    </row>
    <row r="64" spans="2:52" x14ac:dyDescent="0.2">
      <c r="B64" t="s">
        <v>73</v>
      </c>
      <c r="S64" s="4">
        <f>74384+4313</f>
        <v>78697</v>
      </c>
    </row>
    <row r="65" spans="2:38" x14ac:dyDescent="0.2">
      <c r="B65" t="s">
        <v>78</v>
      </c>
      <c r="S65" s="4">
        <v>32185</v>
      </c>
    </row>
    <row r="66" spans="2:38" x14ac:dyDescent="0.2">
      <c r="B66" t="s">
        <v>77</v>
      </c>
      <c r="S66" s="4">
        <f>1042457+10903</f>
        <v>1053360</v>
      </c>
    </row>
    <row r="67" spans="2:38" x14ac:dyDescent="0.2">
      <c r="B67" t="s">
        <v>76</v>
      </c>
      <c r="S67" s="4">
        <f>SUM(S60:S66)</f>
        <v>1785054</v>
      </c>
    </row>
    <row r="71" spans="2:38" s="3" customFormat="1" x14ac:dyDescent="0.2">
      <c r="B71" s="3" t="s">
        <v>44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>
        <v>45306</v>
      </c>
      <c r="P71" s="4"/>
      <c r="Q71" s="4"/>
      <c r="R71" s="4"/>
      <c r="S71" s="4">
        <v>33636</v>
      </c>
      <c r="T71" s="4"/>
      <c r="U71" s="4"/>
      <c r="V71" s="4"/>
      <c r="W71" s="4"/>
      <c r="X71" s="4"/>
      <c r="Y71" s="4"/>
      <c r="Z71" s="4"/>
      <c r="AA71" s="4"/>
      <c r="AH71" s="3">
        <v>180607</v>
      </c>
      <c r="AI71" s="3">
        <v>231786</v>
      </c>
      <c r="AJ71" s="3">
        <v>142759</v>
      </c>
      <c r="AK71" s="3">
        <v>199752</v>
      </c>
      <c r="AL71" s="3">
        <v>182593</v>
      </c>
    </row>
    <row r="72" spans="2:38" x14ac:dyDescent="0.2">
      <c r="B72" t="s">
        <v>79</v>
      </c>
      <c r="O72" s="4">
        <v>6007</v>
      </c>
      <c r="P72" s="4"/>
      <c r="Q72" s="4"/>
      <c r="R72" s="4"/>
      <c r="S72" s="4">
        <v>11939</v>
      </c>
    </row>
    <row r="73" spans="2:38" x14ac:dyDescent="0.2">
      <c r="B73" t="s">
        <v>80</v>
      </c>
      <c r="O73" s="4">
        <f>+O71-O72</f>
        <v>39299</v>
      </c>
      <c r="S73" s="4">
        <f>+S71-S72</f>
        <v>21697</v>
      </c>
    </row>
    <row r="75" spans="2:38" s="3" customFormat="1" x14ac:dyDescent="0.2">
      <c r="B75" s="3" t="s">
        <v>62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>
        <v>224955</v>
      </c>
      <c r="Q75" s="4">
        <v>219260</v>
      </c>
      <c r="R75" s="4">
        <v>204891</v>
      </c>
      <c r="S75" s="4">
        <v>198162</v>
      </c>
      <c r="T75" s="4">
        <v>197991</v>
      </c>
      <c r="U75" s="4">
        <v>194320</v>
      </c>
      <c r="V75" s="4"/>
      <c r="W75" s="4"/>
      <c r="X75" s="4"/>
      <c r="Y75" s="4"/>
      <c r="Z75" s="4"/>
      <c r="AA75" s="4"/>
    </row>
  </sheetData>
  <hyperlinks>
    <hyperlink ref="A1" location="Main!A1" display="Main" xr:uid="{FAA98B89-DC2B-402A-A0D0-CDB62F656CC1}"/>
  </hyperlinks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93F634520DC4180D4E23B9D79CD75" ma:contentTypeVersion="13" ma:contentTypeDescription="Create a new document." ma:contentTypeScope="" ma:versionID="ee419c43ac6a0afb823cb216a9f79705">
  <xsd:schema xmlns:xsd="http://www.w3.org/2001/XMLSchema" xmlns:xs="http://www.w3.org/2001/XMLSchema" xmlns:p="http://schemas.microsoft.com/office/2006/metadata/properties" xmlns:ns3="3b66ddff-a19c-4073-8965-30dfd87ec86a" xmlns:ns4="1187f29b-ef84-40df-84e8-8be9351e39c1" targetNamespace="http://schemas.microsoft.com/office/2006/metadata/properties" ma:root="true" ma:fieldsID="dbde5a459dadce88d2e4224dc6957a88" ns3:_="" ns4:_="">
    <xsd:import namespace="3b66ddff-a19c-4073-8965-30dfd87ec86a"/>
    <xsd:import namespace="1187f29b-ef84-40df-84e8-8be9351e39c1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6ddff-a19c-4073-8965-30dfd87ec86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7f29b-ef84-40df-84e8-8be9351e39c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66ddff-a19c-4073-8965-30dfd87ec86a" xsi:nil="true"/>
  </documentManagement>
</p:properties>
</file>

<file path=customXml/itemProps1.xml><?xml version="1.0" encoding="utf-8"?>
<ds:datastoreItem xmlns:ds="http://schemas.openxmlformats.org/officeDocument/2006/customXml" ds:itemID="{2DCFE8EE-0E31-4CAB-98FD-ADD70CF3A3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C6165-7684-4DF2-BCB1-9662645933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6ddff-a19c-4073-8965-30dfd87ec86a"/>
    <ds:schemaRef ds:uri="1187f29b-ef84-40df-84e8-8be9351e3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1F2E1E-165B-47C0-8928-4F95B16221B3}">
  <ds:schemaRefs>
    <ds:schemaRef ds:uri="1187f29b-ef84-40df-84e8-8be9351e39c1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3b66ddff-a19c-4073-8965-30dfd87ec86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Model</vt:lpstr>
      <vt:lpstr>RMB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Jonas Bundschuh</cp:lastModifiedBy>
  <dcterms:created xsi:type="dcterms:W3CDTF">2022-07-18T13:42:23Z</dcterms:created>
  <dcterms:modified xsi:type="dcterms:W3CDTF">2025-09-22T19:24:26Z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0x01010027F93F634520DC4180D4E23B9D79CD75</vt:lpwstr>
  </property>
</Properties>
</file>