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c00a81b6780534fd/Documents/Gymnastics/"/>
    </mc:Choice>
  </mc:AlternateContent>
  <xr:revisionPtr revIDLastSave="1722" documentId="11_DEE4E65ACAE96F35E8F30DB4C447A8A2708C99A2" xr6:coauthVersionLast="45" xr6:coauthVersionMax="45" xr10:uidLastSave="{3B9F9D2D-62CD-4C27-B471-6B2CA1D2FAD5}"/>
  <bookViews>
    <workbookView xWindow="-108" yWindow="-108" windowWidth="23256" windowHeight="12576" xr2:uid="{00000000-000D-0000-FFFF-FFFF00000000}"/>
  </bookViews>
  <sheets>
    <sheet name="Summary" sheetId="1" r:id="rId1"/>
    <sheet name="Meals" sheetId="2" r:id="rId2"/>
  </sheets>
  <definedNames>
    <definedName name="DataTable_Sheet1_R2">Summary!$R$2:$X$6</definedName>
    <definedName name="DataTable_Sheet1_T5">Summary!$R$2:$X$6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0" i="1"/>
  <c r="D88" i="2" l="1"/>
  <c r="F88" i="2" s="1"/>
  <c r="D53" i="2"/>
  <c r="F53" i="2" s="1"/>
  <c r="F44" i="1" l="1"/>
  <c r="D71" i="2"/>
  <c r="F71" i="2" s="1"/>
  <c r="D24" i="2"/>
  <c r="F24" i="2" s="1"/>
  <c r="J105" i="2"/>
  <c r="J89" i="2"/>
  <c r="F117" i="2"/>
  <c r="F116" i="2"/>
  <c r="F115" i="2"/>
  <c r="F126" i="2"/>
  <c r="F87" i="2"/>
  <c r="F83" i="2"/>
  <c r="F106" i="2"/>
  <c r="F125" i="2"/>
  <c r="F124" i="2"/>
  <c r="F121" i="2"/>
  <c r="J66" i="2"/>
  <c r="F66" i="2"/>
  <c r="J65" i="2"/>
  <c r="F123" i="2"/>
  <c r="F122" i="2"/>
  <c r="F120" i="2"/>
  <c r="J64" i="2"/>
  <c r="J70" i="2"/>
  <c r="F119" i="2"/>
  <c r="F96" i="2"/>
  <c r="F101" i="2"/>
  <c r="F102" i="2"/>
  <c r="F103" i="2"/>
  <c r="F52" i="2"/>
  <c r="F63" i="2"/>
  <c r="F16" i="2"/>
  <c r="F19" i="2"/>
  <c r="F17" i="2"/>
  <c r="F14" i="2"/>
  <c r="F13" i="2"/>
  <c r="F12" i="2"/>
  <c r="F11" i="2"/>
  <c r="F9" i="2"/>
  <c r="F10" i="2"/>
  <c r="F114" i="2"/>
  <c r="F118" i="2"/>
  <c r="F113" i="2"/>
  <c r="F112" i="2"/>
  <c r="J128" i="2"/>
  <c r="F47" i="2"/>
  <c r="F44" i="2"/>
  <c r="F43" i="2"/>
  <c r="F42" i="2"/>
  <c r="F36" i="2"/>
  <c r="F37" i="2"/>
  <c r="F39" i="2"/>
  <c r="F38" i="2"/>
  <c r="F41" i="2"/>
  <c r="F127" i="2" l="1"/>
  <c r="F128" i="2" s="1"/>
  <c r="J73" i="2"/>
  <c r="J26" i="2"/>
  <c r="F35" i="2"/>
  <c r="F34" i="2"/>
  <c r="F33" i="2"/>
  <c r="J108" i="2"/>
  <c r="J55" i="2"/>
  <c r="D10" i="1"/>
  <c r="F10" i="1" s="1"/>
  <c r="D30" i="1"/>
  <c r="F30" i="1" s="1"/>
  <c r="J55" i="1"/>
  <c r="F55" i="1"/>
  <c r="J54" i="1"/>
  <c r="F54" i="1"/>
  <c r="J53" i="1"/>
  <c r="D53" i="1"/>
  <c r="F53" i="1" s="1"/>
  <c r="J52" i="1"/>
  <c r="D52" i="1"/>
  <c r="F52" i="1" s="1"/>
  <c r="J51" i="1"/>
  <c r="D51" i="1"/>
  <c r="F51" i="1" s="1"/>
  <c r="J50" i="1"/>
  <c r="J56" i="1" s="1"/>
  <c r="J45" i="1"/>
  <c r="J43" i="1"/>
  <c r="D43" i="1"/>
  <c r="F43" i="1" s="1"/>
  <c r="J9" i="1"/>
  <c r="D9" i="1"/>
  <c r="F9" i="1" s="1"/>
  <c r="J38" i="1"/>
  <c r="J37" i="1"/>
  <c r="F37" i="1"/>
  <c r="J36" i="1"/>
  <c r="D36" i="1"/>
  <c r="F36" i="1" s="1"/>
  <c r="J31" i="1"/>
  <c r="F31" i="1"/>
  <c r="J30" i="1"/>
  <c r="J29" i="1"/>
  <c r="J32" i="1" s="1"/>
  <c r="J20" i="1"/>
  <c r="J24" i="1" s="1"/>
  <c r="J15" i="1"/>
  <c r="P10" i="1"/>
  <c r="J8" i="1"/>
  <c r="F8" i="1"/>
  <c r="J4" i="1"/>
  <c r="F15" i="1" l="1"/>
  <c r="F16" i="1" s="1"/>
  <c r="D82" i="2"/>
  <c r="F82" i="2" s="1"/>
  <c r="D84" i="2"/>
  <c r="D105" i="2"/>
  <c r="D94" i="2"/>
  <c r="F94" i="2" s="1"/>
  <c r="D80" i="2"/>
  <c r="F80" i="2" s="1"/>
  <c r="D81" i="2"/>
  <c r="F81" i="2" s="1"/>
  <c r="D77" i="2"/>
  <c r="F77" i="2" s="1"/>
  <c r="D32" i="2"/>
  <c r="F32" i="2" s="1"/>
  <c r="D78" i="2"/>
  <c r="F78" i="2" s="1"/>
  <c r="D79" i="2"/>
  <c r="F79" i="2" s="1"/>
  <c r="D65" i="2"/>
  <c r="F65" i="2" s="1"/>
  <c r="D86" i="2"/>
  <c r="F86" i="2" s="1"/>
  <c r="D85" i="2"/>
  <c r="F85" i="2" s="1"/>
  <c r="D18" i="2"/>
  <c r="F18" i="2" s="1"/>
  <c r="D15" i="2"/>
  <c r="D23" i="2"/>
  <c r="D22" i="2"/>
  <c r="D20" i="2"/>
  <c r="F20" i="2" s="1"/>
  <c r="D21" i="2"/>
  <c r="D104" i="2"/>
  <c r="F104" i="2" s="1"/>
  <c r="D93" i="2"/>
  <c r="F93" i="2" s="1"/>
  <c r="D99" i="2"/>
  <c r="F99" i="2" s="1"/>
  <c r="D100" i="2"/>
  <c r="F100" i="2" s="1"/>
  <c r="D8" i="2"/>
  <c r="D6" i="2"/>
  <c r="D5" i="2"/>
  <c r="D7" i="2"/>
  <c r="D49" i="2"/>
  <c r="F49" i="2" s="1"/>
  <c r="D48" i="2"/>
  <c r="F48" i="2" s="1"/>
  <c r="D46" i="2"/>
  <c r="F46" i="2" s="1"/>
  <c r="D50" i="2"/>
  <c r="F50" i="2" s="1"/>
  <c r="D51" i="2"/>
  <c r="F51" i="2" s="1"/>
  <c r="D95" i="2"/>
  <c r="F95" i="2" s="1"/>
  <c r="J39" i="1"/>
  <c r="J16" i="1"/>
  <c r="F11" i="1"/>
  <c r="J11" i="1"/>
  <c r="D45" i="1"/>
  <c r="F45" i="1" s="1"/>
  <c r="F46" i="1" s="1"/>
  <c r="D29" i="1"/>
  <c r="F29" i="1" s="1"/>
  <c r="F32" i="1" s="1"/>
  <c r="D38" i="1"/>
  <c r="F38" i="1" s="1"/>
  <c r="F39" i="1" s="1"/>
  <c r="D50" i="1"/>
  <c r="F50" i="1" s="1"/>
  <c r="F56" i="1" s="1"/>
  <c r="J46" i="1" l="1"/>
  <c r="F84" i="2"/>
  <c r="F89" i="2" s="1"/>
  <c r="F15" i="2"/>
  <c r="D64" i="2"/>
  <c r="F64" i="2" s="1"/>
  <c r="F8" i="2"/>
  <c r="D62" i="2"/>
  <c r="F62" i="2" s="1"/>
  <c r="F5" i="2"/>
  <c r="D59" i="2"/>
  <c r="F59" i="2" s="1"/>
  <c r="F6" i="2"/>
  <c r="D60" i="2"/>
  <c r="F60" i="2" s="1"/>
  <c r="F7" i="2"/>
  <c r="D61" i="2"/>
  <c r="F61" i="2" s="1"/>
  <c r="F23" i="2"/>
  <c r="D70" i="2"/>
  <c r="F70" i="2" s="1"/>
  <c r="F21" i="2"/>
  <c r="D68" i="2"/>
  <c r="F68" i="2" s="1"/>
  <c r="F22" i="2"/>
  <c r="D69" i="2"/>
  <c r="D67" i="2"/>
  <c r="F67" i="2" s="1"/>
  <c r="D45" i="2"/>
  <c r="F45" i="2" s="1"/>
  <c r="D40" i="2"/>
  <c r="F40" i="2" s="1"/>
  <c r="F23" i="1" l="1"/>
  <c r="F69" i="2"/>
  <c r="F72" i="2" s="1"/>
  <c r="F105" i="2"/>
  <c r="F108" i="2" s="1"/>
  <c r="H89" i="2"/>
  <c r="F25" i="2"/>
  <c r="F26" i="2" s="1"/>
  <c r="F54" i="2"/>
  <c r="F55" i="2" s="1"/>
  <c r="F21" i="1" l="1"/>
  <c r="F73" i="2"/>
  <c r="F107" i="2"/>
  <c r="H108" i="2"/>
  <c r="H73" i="2" l="1"/>
  <c r="F22" i="1"/>
  <c r="C136" i="2"/>
  <c r="C137" i="2" s="1"/>
  <c r="C138" i="2" s="1"/>
  <c r="C130" i="2"/>
  <c r="C131" i="2" s="1"/>
  <c r="H26" i="2"/>
  <c r="F20" i="1"/>
  <c r="H55" i="2"/>
  <c r="F24" i="1" l="1"/>
  <c r="C132" i="2"/>
  <c r="I4" i="1" l="1"/>
  <c r="P9" i="1" s="1"/>
  <c r="P13" i="1" s="1"/>
  <c r="R2" i="1" s="1"/>
</calcChain>
</file>

<file path=xl/sharedStrings.xml><?xml version="1.0" encoding="utf-8"?>
<sst xmlns="http://schemas.openxmlformats.org/spreadsheetml/2006/main" count="606" uniqueCount="245">
  <si>
    <t>Event Budget for 2021 MGYM Summer Camp</t>
  </si>
  <si>
    <t>Notes</t>
  </si>
  <si>
    <t>Input</t>
  </si>
  <si>
    <t>Total Expenses</t>
  </si>
  <si>
    <t>Estimated</t>
  </si>
  <si>
    <t>Actual</t>
  </si>
  <si>
    <t>Length (days)</t>
  </si>
  <si>
    <t>Length (hours/day)</t>
  </si>
  <si>
    <t>Campers</t>
  </si>
  <si>
    <t>Gym</t>
  </si>
  <si>
    <t>Price</t>
  </si>
  <si>
    <t>Costs</t>
  </si>
  <si>
    <t>Quantity</t>
  </si>
  <si>
    <t>Units</t>
  </si>
  <si>
    <t>Total</t>
  </si>
  <si>
    <t>Rent</t>
  </si>
  <si>
    <t>Hours</t>
  </si>
  <si>
    <t>Calculations</t>
  </si>
  <si>
    <t>Breakeven price</t>
  </si>
  <si>
    <t>Coaches</t>
  </si>
  <si>
    <t>Transportation</t>
  </si>
  <si>
    <t>Output</t>
  </si>
  <si>
    <t>Profit</t>
  </si>
  <si>
    <t xml:space="preserve"> </t>
  </si>
  <si>
    <t>Meals</t>
  </si>
  <si>
    <t>Estimate from 2020 invoices</t>
  </si>
  <si>
    <t>Staff</t>
  </si>
  <si>
    <t>Student coaches</t>
  </si>
  <si>
    <t>W&amp;M coaches</t>
  </si>
  <si>
    <t>Athletic trainer</t>
  </si>
  <si>
    <t>Operational</t>
  </si>
  <si>
    <t>Insurance</t>
  </si>
  <si>
    <t>Kids*Days</t>
  </si>
  <si>
    <t>Website</t>
  </si>
  <si>
    <t>Coach Certifications</t>
  </si>
  <si>
    <t>Miscellaneous</t>
  </si>
  <si>
    <t>Chalk</t>
  </si>
  <si>
    <t>Boxes</t>
  </si>
  <si>
    <t>Tickets</t>
  </si>
  <si>
    <t>Other Costs</t>
  </si>
  <si>
    <t>Busch Gardens</t>
  </si>
  <si>
    <t>Check out Cindy's connection, this is the initial estimate given by the busch gardens rep for groups of 15+</t>
  </si>
  <si>
    <t>Dorm room (student)</t>
  </si>
  <si>
    <t>Nights*cmprs</t>
  </si>
  <si>
    <t>Dorm room (RA)</t>
  </si>
  <si>
    <t>Nights*RAs</t>
  </si>
  <si>
    <t>Hotel room</t>
  </si>
  <si>
    <t>Nights/cmpr</t>
  </si>
  <si>
    <t>Check-in staff member</t>
  </si>
  <si>
    <t>Estimate from invoices</t>
  </si>
  <si>
    <t>Bank Charges</t>
  </si>
  <si>
    <t>Gift bags</t>
  </si>
  <si>
    <t>Ghost tour</t>
  </si>
  <si>
    <t>Try to get a bulk deal on rooms</t>
  </si>
  <si>
    <t>Tape</t>
  </si>
  <si>
    <t>Rolls</t>
  </si>
  <si>
    <t>Day 1 Lunch</t>
  </si>
  <si>
    <t>Day 1 Dinner</t>
  </si>
  <si>
    <t>Day 2 Lunch</t>
  </si>
  <si>
    <t>Day 2 Dinner</t>
  </si>
  <si>
    <t>Day 3 Cookout</t>
  </si>
  <si>
    <t>Ground Beef</t>
  </si>
  <si>
    <t>Hotdogs</t>
  </si>
  <si>
    <t>Buns</t>
  </si>
  <si>
    <t>Cheese</t>
  </si>
  <si>
    <t>Onions</t>
  </si>
  <si>
    <t>Lettuce</t>
  </si>
  <si>
    <t>Tomatoes</t>
  </si>
  <si>
    <t>Ketchup</t>
  </si>
  <si>
    <t>Mustard</t>
  </si>
  <si>
    <t>Source</t>
  </si>
  <si>
    <t>Sam's Club</t>
  </si>
  <si>
    <t>Lbs</t>
  </si>
  <si>
    <t>24 Packs</t>
  </si>
  <si>
    <t>Hot dogs</t>
  </si>
  <si>
    <t>Cheeseburgers</t>
  </si>
  <si>
    <t>Use leftover cheese from lunches?</t>
  </si>
  <si>
    <t>Meat Lasagna</t>
  </si>
  <si>
    <t>Onion</t>
  </si>
  <si>
    <t>Bag of Onions</t>
  </si>
  <si>
    <t>Garlic</t>
  </si>
  <si>
    <t>Minced Garlic</t>
  </si>
  <si>
    <t>Use leftover for cookout</t>
  </si>
  <si>
    <t>Use leftover for 2nd camp</t>
  </si>
  <si>
    <t>Estimated Tax</t>
  </si>
  <si>
    <t>Tomato Sauce</t>
  </si>
  <si>
    <t>Can</t>
  </si>
  <si>
    <t>Will serve up to 50</t>
  </si>
  <si>
    <t>Tomato Paste</t>
  </si>
  <si>
    <t>6 Cans</t>
  </si>
  <si>
    <t>Should have leftover for 2nd camp</t>
  </si>
  <si>
    <t>Black Pepper</t>
  </si>
  <si>
    <t>Container</t>
  </si>
  <si>
    <t>Walmart</t>
  </si>
  <si>
    <t>Let kids season with it when serving</t>
  </si>
  <si>
    <t>Oregano</t>
  </si>
  <si>
    <t>Basil</t>
  </si>
  <si>
    <t>More than enough for 2 camps</t>
  </si>
  <si>
    <t>Lasagna Noodles</t>
  </si>
  <si>
    <t>Rounded up serving for everyone, including veggie lasagna</t>
  </si>
  <si>
    <t>Salt</t>
  </si>
  <si>
    <t>Vegetable Oil</t>
  </si>
  <si>
    <t>Mozzarella</t>
  </si>
  <si>
    <t>5 lb pack</t>
  </si>
  <si>
    <t>Too much, but cheaper than walmart with &gt;40 campers</t>
  </si>
  <si>
    <t>Ricotta Cheese</t>
  </si>
  <si>
    <t>2 lb container</t>
  </si>
  <si>
    <t>Grated Parmesan</t>
  </si>
  <si>
    <t>16 oz container</t>
  </si>
  <si>
    <t>Zucchini</t>
  </si>
  <si>
    <t>Carrots</t>
  </si>
  <si>
    <t>Good for snacks - buy more and serve with lunches?</t>
  </si>
  <si>
    <t>Bell Pepper</t>
  </si>
  <si>
    <t>Piece</t>
  </si>
  <si>
    <t>Spinach</t>
  </si>
  <si>
    <t>10 oz Bag</t>
  </si>
  <si>
    <t>Salad</t>
  </si>
  <si>
    <t>1 Lb mix</t>
  </si>
  <si>
    <t>Caesar salad</t>
  </si>
  <si>
    <t>Vegetable tray</t>
  </si>
  <si>
    <t>Trays</t>
  </si>
  <si>
    <t>Side</t>
  </si>
  <si>
    <t>Bread Sticks</t>
  </si>
  <si>
    <t>6-count</t>
  </si>
  <si>
    <t>Alternative - bulk dinner rolls from Sam's club</t>
  </si>
  <si>
    <t>Assuming 1.5 oz/person</t>
  </si>
  <si>
    <t>White bread</t>
  </si>
  <si>
    <t>Wheat bread</t>
  </si>
  <si>
    <t>Ham</t>
  </si>
  <si>
    <t>Turkey</t>
  </si>
  <si>
    <t>Cheddar</t>
  </si>
  <si>
    <t>Pepper jack</t>
  </si>
  <si>
    <t>Swiss</t>
  </si>
  <si>
    <t>Muenster</t>
  </si>
  <si>
    <t>Mayonnaise</t>
  </si>
  <si>
    <t>If not enough, buy smaller extras if necessary (no good sam's club option)</t>
  </si>
  <si>
    <t>Loaf</t>
  </si>
  <si>
    <t>Aldi</t>
  </si>
  <si>
    <t>Catering Dish</t>
  </si>
  <si>
    <t>Dishes</t>
  </si>
  <si>
    <t>18 pk</t>
  </si>
  <si>
    <t>Should have leftovers for 2nd camp</t>
  </si>
  <si>
    <t>One-time purchase</t>
  </si>
  <si>
    <t>2-hr heater</t>
  </si>
  <si>
    <t xml:space="preserve">18 pk </t>
  </si>
  <si>
    <t>40-slice pack</t>
  </si>
  <si>
    <t>Peanut Butter</t>
  </si>
  <si>
    <t>Jelly</t>
  </si>
  <si>
    <t>Containers</t>
  </si>
  <si>
    <t>2 bottles pack</t>
  </si>
  <si>
    <t>Chips</t>
  </si>
  <si>
    <t>36 pack</t>
  </si>
  <si>
    <t>30 oz Container</t>
  </si>
  <si>
    <t>Brownies</t>
  </si>
  <si>
    <t>Box of 80</t>
  </si>
  <si>
    <t>Not necessary but brownies tho &gt;.&lt;</t>
  </si>
  <si>
    <t>A lot</t>
  </si>
  <si>
    <t>Use leftover onions from lasagna</t>
  </si>
  <si>
    <t>Use leftover lettuce from sandwiches</t>
  </si>
  <si>
    <t>Got to be enough - how many pickles does anyone really need</t>
  </si>
  <si>
    <t>Leftovers from lunch</t>
  </si>
  <si>
    <t>Serving tray</t>
  </si>
  <si>
    <t>4 pk</t>
  </si>
  <si>
    <t>Fun Pops</t>
  </si>
  <si>
    <t>Purchase as necessary given leftovers from day 1</t>
  </si>
  <si>
    <t>At 4 sandwiches/person, will certainly have leftovers for 2nd day</t>
  </si>
  <si>
    <t>48 oz jar</t>
  </si>
  <si>
    <t>2 heads</t>
  </si>
  <si>
    <t>50 pack</t>
  </si>
  <si>
    <t>64 oz jar</t>
  </si>
  <si>
    <t>Dessert</t>
  </si>
  <si>
    <t>Plastic knives</t>
  </si>
  <si>
    <t>600 pk</t>
  </si>
  <si>
    <t>Lunch paper plates</t>
  </si>
  <si>
    <t>1000 pk</t>
  </si>
  <si>
    <t>Too flimsy for dinner - will have plenty for 2nd camp</t>
  </si>
  <si>
    <t>Dinner paper plates</t>
  </si>
  <si>
    <t>50 pk</t>
  </si>
  <si>
    <t>Small, but its for kids so should be fine. Get extra</t>
  </si>
  <si>
    <t>For serving lunch/cookout - will have plenty for 2nd camp</t>
  </si>
  <si>
    <t>Bananas</t>
  </si>
  <si>
    <t>Banana</t>
  </si>
  <si>
    <t>Apples</t>
  </si>
  <si>
    <t>Apple</t>
  </si>
  <si>
    <t>Clementines</t>
  </si>
  <si>
    <t>3 lb bags</t>
  </si>
  <si>
    <t>Relish</t>
  </si>
  <si>
    <t>2x26 fl oz</t>
  </si>
  <si>
    <t>114 oz jug</t>
  </si>
  <si>
    <t>Plastic forks</t>
  </si>
  <si>
    <t>For dinner - will have tons of leftover</t>
  </si>
  <si>
    <t>For serving lunch/cookout</t>
  </si>
  <si>
    <t>Plastic wrap</t>
  </si>
  <si>
    <t>3000ft roll</t>
  </si>
  <si>
    <t>Plenty of leftover</t>
  </si>
  <si>
    <t>Hamburger patties</t>
  </si>
  <si>
    <t>40 pk</t>
  </si>
  <si>
    <t>Linked</t>
  </si>
  <si>
    <t>Linked Elsewhere</t>
  </si>
  <si>
    <t>Estimated tax</t>
  </si>
  <si>
    <t>Plastic cups</t>
  </si>
  <si>
    <t>300 ct</t>
  </si>
  <si>
    <t>Soda</t>
  </si>
  <si>
    <t>2l bottle</t>
  </si>
  <si>
    <t>2 bottle pack</t>
  </si>
  <si>
    <t>Per kid:</t>
  </si>
  <si>
    <t>Total:</t>
  </si>
  <si>
    <t>Penne</t>
  </si>
  <si>
    <t>6-1lb bags</t>
  </si>
  <si>
    <t>Use leftover for meatballs</t>
  </si>
  <si>
    <t>Macaroni</t>
  </si>
  <si>
    <t>Spaghetti</t>
  </si>
  <si>
    <t>Napkins</t>
  </si>
  <si>
    <t>1200 ct</t>
  </si>
  <si>
    <t>Single-use trays (full)</t>
  </si>
  <si>
    <t>Single-use lids (full)</t>
  </si>
  <si>
    <t>Single-use trays (half)</t>
  </si>
  <si>
    <t>Single-use lids (half)</t>
  </si>
  <si>
    <t>Single-use trays (1/3)</t>
  </si>
  <si>
    <t>30 pk</t>
  </si>
  <si>
    <t>36 pk</t>
  </si>
  <si>
    <t>3-32 oz jars</t>
  </si>
  <si>
    <t>Pesto</t>
  </si>
  <si>
    <t>22 oz jar</t>
  </si>
  <si>
    <t>Alfredo Sauce</t>
  </si>
  <si>
    <t>3-15 oz jars</t>
  </si>
  <si>
    <t>Meatballs</t>
  </si>
  <si>
    <t>6 lb bag</t>
  </si>
  <si>
    <t>Gatorade</t>
  </si>
  <si>
    <t>28 pack</t>
  </si>
  <si>
    <t>Per meal:</t>
  </si>
  <si>
    <t>Without Cookout</t>
  </si>
  <si>
    <t>Milk</t>
  </si>
  <si>
    <t>Gallons</t>
  </si>
  <si>
    <t>BYO Sandwiches</t>
  </si>
  <si>
    <t>Sides</t>
  </si>
  <si>
    <t>Drink</t>
  </si>
  <si>
    <t>BYO Pasta Bar</t>
  </si>
  <si>
    <t>Oleta?</t>
  </si>
  <si>
    <t>Veggie Alt.</t>
  </si>
  <si>
    <t>Source Colors</t>
  </si>
  <si>
    <t>Lysol Cans</t>
  </si>
  <si>
    <t>Catered?</t>
  </si>
  <si>
    <t>Trips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</si>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</sst>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Profits: Price vs Campers&quot;"/>
    <numFmt numFmtId="165" formatCode="&quot;$&quot;#,##0.00"/>
  </numFmts>
  <fonts count="2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22"/>
      <color rgb="FF115740"/>
      <name val="Arial"/>
      <family val="2"/>
    </font>
    <font>
      <sz val="10"/>
      <name val="Arial"/>
      <family val="2"/>
    </font>
    <font>
      <b/>
      <sz val="12"/>
      <color rgb="FF115740"/>
      <name val="Arial"/>
      <family val="2"/>
    </font>
    <font>
      <b/>
      <sz val="10"/>
      <color rgb="FF115740"/>
      <name val="Arial"/>
      <family val="2"/>
    </font>
    <font>
      <sz val="10"/>
      <color rgb="FF115740"/>
      <name val="Arial"/>
      <family val="2"/>
    </font>
    <font>
      <b/>
      <sz val="14"/>
      <color rgb="FFF0B323"/>
      <name val="Arial"/>
      <family val="2"/>
    </font>
    <font>
      <b/>
      <sz val="10"/>
      <color rgb="FFF0B323"/>
      <name val="Arial"/>
      <family val="2"/>
    </font>
    <font>
      <sz val="10"/>
      <color rgb="FF9C0006"/>
      <name val="Arial"/>
      <family val="2"/>
    </font>
    <font>
      <sz val="10"/>
      <color rgb="FFF0B323"/>
      <name val="Arial"/>
      <family val="2"/>
    </font>
    <font>
      <sz val="10"/>
      <color rgb="FF9C57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</font>
    <font>
      <u/>
      <sz val="11"/>
      <color rgb="FF006100"/>
      <name val="Arial"/>
      <family val="2"/>
      <scheme val="minor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0D3D4"/>
        <bgColor rgb="FFD0D3D4"/>
      </patternFill>
    </fill>
    <fill>
      <patternFill patternType="solid">
        <fgColor rgb="FF115740"/>
        <bgColor rgb="FF115740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0D3D4"/>
      </bottom>
      <diagonal/>
    </border>
    <border>
      <left/>
      <right style="thin">
        <color rgb="FFD0D3D4"/>
      </right>
      <top/>
      <bottom style="thin">
        <color rgb="FFD0D3D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0D3D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12" fillId="6" borderId="6" applyNumberFormat="0" applyFont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0" applyNumberFormat="0" applyAlignment="0" applyProtection="0"/>
    <xf numFmtId="0" fontId="18" fillId="11" borderId="11" applyNumberFormat="0" applyAlignment="0" applyProtection="0"/>
  </cellStyleXfs>
  <cellXfs count="9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0" fillId="3" borderId="3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165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9" fillId="4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5" fontId="6" fillId="2" borderId="0" xfId="0" applyNumberFormat="1" applyFont="1" applyFill="1" applyAlignment="1">
      <alignment horizontal="center"/>
    </xf>
    <xf numFmtId="0" fontId="1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3" xfId="0" applyFont="1" applyBorder="1" applyAlignment="1"/>
    <xf numFmtId="0" fontId="5" fillId="0" borderId="3" xfId="0" applyFont="1" applyBorder="1" applyAlignment="1">
      <alignment horizontal="left"/>
    </xf>
    <xf numFmtId="0" fontId="0" fillId="0" borderId="0" xfId="0" applyFont="1" applyAlignment="1"/>
    <xf numFmtId="0" fontId="12" fillId="0" borderId="0" xfId="0" applyFont="1" applyAlignment="1"/>
    <xf numFmtId="165" fontId="0" fillId="0" borderId="0" xfId="0" applyNumberFormat="1" applyFont="1" applyAlignment="1">
      <alignment horizontal="center"/>
    </xf>
    <xf numFmtId="8" fontId="0" fillId="0" borderId="0" xfId="0" applyNumberFormat="1" applyFont="1" applyAlignment="1">
      <alignment horizontal="center"/>
    </xf>
    <xf numFmtId="0" fontId="12" fillId="6" borderId="6" xfId="1" applyFont="1" applyAlignment="1"/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6" borderId="6" xfId="1" applyFont="1" applyAlignment="1"/>
    <xf numFmtId="0" fontId="16" fillId="9" borderId="3" xfId="5" applyBorder="1" applyAlignment="1">
      <alignment horizontal="left"/>
    </xf>
    <xf numFmtId="0" fontId="18" fillId="11" borderId="11" xfId="7" applyAlignment="1"/>
    <xf numFmtId="0" fontId="14" fillId="7" borderId="0" xfId="3" applyAlignment="1"/>
    <xf numFmtId="0" fontId="15" fillId="8" borderId="0" xfId="4" applyAlignment="1"/>
    <xf numFmtId="0" fontId="15" fillId="8" borderId="3" xfId="4" applyBorder="1" applyAlignment="1">
      <alignment horizontal="left"/>
    </xf>
    <xf numFmtId="165" fontId="1" fillId="2" borderId="3" xfId="0" applyNumberFormat="1" applyFont="1" applyFill="1" applyBorder="1" applyAlignment="1">
      <alignment horizontal="right"/>
    </xf>
    <xf numFmtId="165" fontId="17" fillId="10" borderId="10" xfId="6" applyNumberFormat="1" applyAlignment="1">
      <alignment horizontal="left"/>
    </xf>
    <xf numFmtId="165" fontId="17" fillId="10" borderId="10" xfId="6" applyNumberFormat="1" applyAlignment="1">
      <alignment horizontal="right"/>
    </xf>
    <xf numFmtId="165" fontId="17" fillId="10" borderId="10" xfId="6" applyNumberFormat="1" applyAlignment="1">
      <alignment horizontal="center"/>
    </xf>
    <xf numFmtId="0" fontId="17" fillId="10" borderId="10" xfId="6" applyAlignment="1">
      <alignment horizontal="right"/>
    </xf>
    <xf numFmtId="0" fontId="20" fillId="7" borderId="3" xfId="3" applyFont="1" applyBorder="1" applyAlignment="1">
      <alignment horizontal="left"/>
    </xf>
    <xf numFmtId="0" fontId="20" fillId="7" borderId="0" xfId="3" applyFont="1" applyAlignment="1"/>
    <xf numFmtId="165" fontId="1" fillId="0" borderId="3" xfId="0" applyNumberFormat="1" applyFont="1" applyFill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3" xfId="0" applyFont="1" applyBorder="1" applyAlignment="1">
      <alignment horizontal="left" textRotation="45"/>
    </xf>
    <xf numFmtId="0" fontId="0" fillId="0" borderId="3" xfId="0" applyBorder="1"/>
    <xf numFmtId="0" fontId="16" fillId="9" borderId="3" xfId="5" applyFont="1" applyBorder="1" applyAlignment="1">
      <alignment horizontal="left"/>
    </xf>
    <xf numFmtId="0" fontId="21" fillId="6" borderId="6" xfId="1" applyFont="1" applyAlignment="1"/>
    <xf numFmtId="0" fontId="7" fillId="3" borderId="2" xfId="0" applyFont="1" applyFill="1" applyBorder="1" applyAlignment="1">
      <alignment horizontal="center"/>
    </xf>
    <xf numFmtId="0" fontId="3" fillId="0" borderId="3" xfId="0" applyFont="1" applyBorder="1"/>
    <xf numFmtId="0" fontId="8" fillId="3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3" fillId="0" borderId="2" xfId="0" applyFont="1" applyBorder="1"/>
    <xf numFmtId="0" fontId="12" fillId="0" borderId="7" xfId="0" applyFont="1" applyBorder="1" applyAlignment="1">
      <alignment horizontal="center" textRotation="45"/>
    </xf>
    <xf numFmtId="0" fontId="12" fillId="0" borderId="8" xfId="0" applyFont="1" applyBorder="1" applyAlignment="1">
      <alignment horizontal="center" textRotation="45"/>
    </xf>
    <xf numFmtId="0" fontId="12" fillId="0" borderId="9" xfId="0" applyFont="1" applyBorder="1" applyAlignment="1">
      <alignment horizontal="center" textRotation="45"/>
    </xf>
    <xf numFmtId="0" fontId="12" fillId="0" borderId="7" xfId="0" applyFont="1" applyBorder="1" applyAlignment="1">
      <alignment horizontal="left" textRotation="45"/>
    </xf>
    <xf numFmtId="0" fontId="12" fillId="0" borderId="8" xfId="0" applyFont="1" applyBorder="1" applyAlignment="1">
      <alignment horizontal="left" textRotation="45"/>
    </xf>
    <xf numFmtId="0" fontId="12" fillId="0" borderId="9" xfId="0" applyFont="1" applyBorder="1" applyAlignment="1">
      <alignment horizontal="left" textRotation="45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7" xfId="2" applyBorder="1" applyAlignment="1">
      <alignment horizontal="left" textRotation="45"/>
    </xf>
    <xf numFmtId="0" fontId="13" fillId="0" borderId="8" xfId="2" applyBorder="1" applyAlignment="1">
      <alignment horizontal="left" textRotation="45"/>
    </xf>
    <xf numFmtId="0" fontId="13" fillId="0" borderId="9" xfId="2" applyBorder="1" applyAlignment="1">
      <alignment horizontal="left" textRotation="45"/>
    </xf>
    <xf numFmtId="0" fontId="17" fillId="10" borderId="10" xfId="6" applyAlignment="1">
      <alignment horizontal="center"/>
    </xf>
  </cellXfs>
  <cellStyles count="8">
    <cellStyle name="Bad" xfId="4" builtinId="27"/>
    <cellStyle name="Calculation" xfId="6" builtinId="22"/>
    <cellStyle name="Check Cell" xfId="7" builtinId="23"/>
    <cellStyle name="Good" xfId="3" builtinId="26"/>
    <cellStyle name="Hyperlink" xfId="2" builtinId="8"/>
    <cellStyle name="Neutral" xfId="5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msclub.com/p/full-steamtable-lid-18-ct/prod20994196?xid=plp_product_1_1" TargetMode="External"/><Relationship Id="rId21" Type="http://schemas.openxmlformats.org/officeDocument/2006/relationships/hyperlink" Target="https://www.walmart.com/ip/Marketside-Fresh-Spinach-10-oz/13893738" TargetMode="External"/><Relationship Id="rId42" Type="http://schemas.openxmlformats.org/officeDocument/2006/relationships/hyperlink" Target="https://www.samsclub.com/p/mm-mild-cheddar-twin-pack-2lb-sliced/prod20414244?xid=plp_product_5" TargetMode="External"/><Relationship Id="rId47" Type="http://schemas.openxmlformats.org/officeDocument/2006/relationships/hyperlink" Target="https://www.samsclub.com/p/classic-variety-pk-50ct/prod14220234?xid=plp_product_2" TargetMode="External"/><Relationship Id="rId63" Type="http://schemas.openxmlformats.org/officeDocument/2006/relationships/hyperlink" Target="https://www.samsclub.com/p/mid-length-heavyweight-white-fork-600-ct/174705?xid=plp_product_1" TargetMode="External"/><Relationship Id="rId68" Type="http://schemas.openxmlformats.org/officeDocument/2006/relationships/hyperlink" Target="https://www.samsclub.com/p/daily-chef-elbow-macaroni-pantry-pack-6-1-lb/prod4370100?xid=plp_product_5" TargetMode="External"/><Relationship Id="rId84" Type="http://schemas.openxmlformats.org/officeDocument/2006/relationships/hyperlink" Target="https://www.walmart.com/ip/Fun-Pops-Fruit-Flavored-Freezer-Pops-2-5-oz-36-count/51259152" TargetMode="External"/><Relationship Id="rId89" Type="http://schemas.openxmlformats.org/officeDocument/2006/relationships/printerSettings" Target="../printerSettings/printerSettings2.bin"/><Relationship Id="rId16" Type="http://schemas.openxmlformats.org/officeDocument/2006/relationships/hyperlink" Target="https://www.walmart.com/ip/Great-Value-Original-Ricotta-Cheese-32-oz/47370609" TargetMode="External"/><Relationship Id="rId11" Type="http://schemas.openxmlformats.org/officeDocument/2006/relationships/hyperlink" Target="https://www.walmart.com/ip/Great-Value-Basil-Leaves-0-80-oz/330313658" TargetMode="External"/><Relationship Id="rId32" Type="http://schemas.openxmlformats.org/officeDocument/2006/relationships/hyperlink" Target="https://www.samsclub.com/p/members-mark-oven-roasted-turkey-breast-sliced/prod17610121?xid=plp_product_1" TargetMode="External"/><Relationship Id="rId37" Type="http://schemas.openxmlformats.org/officeDocument/2006/relationships/hyperlink" Target="https://www.walmart.com/ip/Great-Value-Hamburger-Dill-Chip-Pickles-32-fl-oz/378941019" TargetMode="External"/><Relationship Id="rId53" Type="http://schemas.openxmlformats.org/officeDocument/2006/relationships/hyperlink" Target="https://www.walmart.com/ip/Great-Value-Concord-Grape-Jelly-30-oz/364924551" TargetMode="External"/><Relationship Id="rId58" Type="http://schemas.openxmlformats.org/officeDocument/2006/relationships/hyperlink" Target="https://www.walmart.com/ip/Gala-Apples-each/44390953" TargetMode="External"/><Relationship Id="rId74" Type="http://schemas.openxmlformats.org/officeDocument/2006/relationships/hyperlink" Target="https://www.samsclub.com/p/members-mark-caesar-salad-serves-4/prod24482059?xid=plp_product_3" TargetMode="External"/><Relationship Id="rId79" Type="http://schemas.openxmlformats.org/officeDocument/2006/relationships/hyperlink" Target="https://www.samsclub.com/p/half-steamtable-pan-36-ct/prod20994197?xid=plp_product_1" TargetMode="External"/><Relationship Id="rId5" Type="http://schemas.openxmlformats.org/officeDocument/2006/relationships/hyperlink" Target="https://www.samsclub.com/p/mm-tomato-sauce-106-oz-can/prod21400246?xid=plp_product_3" TargetMode="External"/><Relationship Id="rId14" Type="http://schemas.openxmlformats.org/officeDocument/2006/relationships/hyperlink" Target="https://www.walmart.com/ip/Great-Value-Vegetable-Oil-48-fl-oz/10451002?selected=true" TargetMode="External"/><Relationship Id="rId22" Type="http://schemas.openxmlformats.org/officeDocument/2006/relationships/hyperlink" Target="https://www.walmart.com/ip/Great-Value-Garlic-Bread-Sticks-10-5-Oz-6-Ct-Frozen/46695581" TargetMode="External"/><Relationship Id="rId27" Type="http://schemas.openxmlformats.org/officeDocument/2006/relationships/hyperlink" Target="https://www.samsclub.com/p/safe-heat-2-chafing-fuel-w-power-pad-18-ct/prod4860315?xid=plp_product_1" TargetMode="External"/><Relationship Id="rId30" Type="http://schemas.openxmlformats.org/officeDocument/2006/relationships/hyperlink" Target="https://www.samsclub.com/p/mm-mild-cheddar-twin-pack-2lb-sliced/prod20414244?xid=plp_product_5" TargetMode="External"/><Relationship Id="rId35" Type="http://schemas.openxmlformats.org/officeDocument/2006/relationships/hyperlink" Target="https://www.samsclub.com/p/gourmet-vegetable-tray-4-lbs/199433?xid=plp_product_1" TargetMode="External"/><Relationship Id="rId43" Type="http://schemas.openxmlformats.org/officeDocument/2006/relationships/hyperlink" Target="https://www.samsclub.com/p/members-mark-oven-roasted-turkey-breast-sliced/prod17610121?xid=plp_product_1" TargetMode="External"/><Relationship Id="rId48" Type="http://schemas.openxmlformats.org/officeDocument/2006/relationships/hyperlink" Target="https://www.walmart.com/ip/Fun-Pops-Fruit-Flavored-Freezer-Pops-2-5-oz-36-count/51259152" TargetMode="External"/><Relationship Id="rId56" Type="http://schemas.openxmlformats.org/officeDocument/2006/relationships/hyperlink" Target="https://www.samsclub.com/p/gourmet-vegetable-tray-4-lbs/199433?xid=plp_product_1" TargetMode="External"/><Relationship Id="rId64" Type="http://schemas.openxmlformats.org/officeDocument/2006/relationships/hyperlink" Target="https://www.samsclub.com/p/bakers-chefs-foodservice-film-12-x-3-000/176300?xid=plp_product_2" TargetMode="External"/><Relationship Id="rId69" Type="http://schemas.openxmlformats.org/officeDocument/2006/relationships/hyperlink" Target="https://www.samsclub.com/p/daily-chef-spaghetti-pantry-pack-6-1-lb/prod4370103?xid=plp_product_6" TargetMode="External"/><Relationship Id="rId77" Type="http://schemas.openxmlformats.org/officeDocument/2006/relationships/hyperlink" Target="https://www.samsclub.com/p/mm-1200ct-napkin-6-pack-1200-count/prod12550253?xid=plp_product_1" TargetMode="External"/><Relationship Id="rId8" Type="http://schemas.openxmlformats.org/officeDocument/2006/relationships/hyperlink" Target="https://www.keyingredient.com/recipes/28417849/lasagna-for-50/" TargetMode="External"/><Relationship Id="rId51" Type="http://schemas.openxmlformats.org/officeDocument/2006/relationships/hyperlink" Target="https://www.samsclub.com/p/white-paper-plates-6-1000-ct/prod861287?xid=plp_product_12" TargetMode="External"/><Relationship Id="rId72" Type="http://schemas.openxmlformats.org/officeDocument/2006/relationships/hyperlink" Target="https://www.walmart.com/ip/Great-Value-Grated-Parmesan-Cheese-16-oz/19400150" TargetMode="External"/><Relationship Id="rId80" Type="http://schemas.openxmlformats.org/officeDocument/2006/relationships/hyperlink" Target="https://www.samsclub.com/p/1-2-steamtable-lid-36-ct/prod20994230?xid=plp_product_1_15" TargetMode="External"/><Relationship Id="rId85" Type="http://schemas.openxmlformats.org/officeDocument/2006/relationships/hyperlink" Target="https://www.samsclub.com/p/gatorade-fp-ll-or-28-12-oz/prod11580745?xid=plp_product_5" TargetMode="External"/><Relationship Id="rId3" Type="http://schemas.openxmlformats.org/officeDocument/2006/relationships/hyperlink" Target="https://www.samsclub.com/p/yellow-onion-10lb-10-lb/prod24451041?xid=plp_product_1" TargetMode="External"/><Relationship Id="rId12" Type="http://schemas.openxmlformats.org/officeDocument/2006/relationships/hyperlink" Target="https://www.walmart.com/ip/Great-Value-Lasagna-Pasta-16-oz/10534110" TargetMode="External"/><Relationship Id="rId17" Type="http://schemas.openxmlformats.org/officeDocument/2006/relationships/hyperlink" Target="https://www.walmart.com/ip/Great-Value-Grated-Parmesan-Cheese-16-oz/19400150" TargetMode="External"/><Relationship Id="rId25" Type="http://schemas.openxmlformats.org/officeDocument/2006/relationships/hyperlink" Target="https://www.samsclub.com/p/full-steamtable-pan-18-ct/prod20994195?xid=plp_product_2" TargetMode="External"/><Relationship Id="rId33" Type="http://schemas.openxmlformats.org/officeDocument/2006/relationships/hyperlink" Target="https://www.samsclub.com/p/members-mark-uncured-black-forest-ham-sliced/prod19544796?xid=plp_product_1" TargetMode="External"/><Relationship Id="rId38" Type="http://schemas.openxmlformats.org/officeDocument/2006/relationships/hyperlink" Target="https://www.samsclub.com/p/hdb-24ct-40oz-member-s-mark/prod21264019" TargetMode="External"/><Relationship Id="rId46" Type="http://schemas.openxmlformats.org/officeDocument/2006/relationships/hyperlink" Target="https://www.samsclub.com/p/iceberg-lettuce-2-heads/133615?xid=plp_product_1" TargetMode="External"/><Relationship Id="rId59" Type="http://schemas.openxmlformats.org/officeDocument/2006/relationships/hyperlink" Target="https://www.walmart.com/ip/Bananas-each/44390948" TargetMode="External"/><Relationship Id="rId67" Type="http://schemas.openxmlformats.org/officeDocument/2006/relationships/hyperlink" Target="https://www.walmart.com/search/?query=2l%20soda" TargetMode="External"/><Relationship Id="rId20" Type="http://schemas.openxmlformats.org/officeDocument/2006/relationships/hyperlink" Target="https://www.walmart.com/ip/Red-Bell-Pepper-Each/44391581" TargetMode="External"/><Relationship Id="rId41" Type="http://schemas.openxmlformats.org/officeDocument/2006/relationships/hyperlink" Target="https://www.walmart.com/ip/Fun-Pops-Fruit-Flavored-Freezer-Pops-2-5-oz-36-count/51259152" TargetMode="External"/><Relationship Id="rId54" Type="http://schemas.openxmlformats.org/officeDocument/2006/relationships/hyperlink" Target="https://www.walmart.com/ip/Great-Value-Creamy-Peanut-Butter-64-oz/47375932" TargetMode="External"/><Relationship Id="rId62" Type="http://schemas.openxmlformats.org/officeDocument/2006/relationships/hyperlink" Target="https://www.walmart.com/ip/Bananas-each/44390948" TargetMode="External"/><Relationship Id="rId70" Type="http://schemas.openxmlformats.org/officeDocument/2006/relationships/hyperlink" Target="https://www.samsclub.com/p/mm-import-penne-6-pk-1-lb/prod21223551?xid=plp_product_2" TargetMode="External"/><Relationship Id="rId75" Type="http://schemas.openxmlformats.org/officeDocument/2006/relationships/hyperlink" Target="https://www.samsclub.com/p/gourmet-brownie-platter-case-sale/prod23190155?xid=plp_product_15" TargetMode="External"/><Relationship Id="rId83" Type="http://schemas.openxmlformats.org/officeDocument/2006/relationships/hyperlink" Target="https://www.samsclub.com/p/members-mark-basil-pesto-22-oz/prod20100271?xid=plp_product_5" TargetMode="External"/><Relationship Id="rId88" Type="http://schemas.openxmlformats.org/officeDocument/2006/relationships/hyperlink" Target="https://www.samsclub.com/p/mm-2-milk-1-gallon/prod21222494?xid=plp_product_9" TargetMode="External"/><Relationship Id="rId1" Type="http://schemas.openxmlformats.org/officeDocument/2006/relationships/hyperlink" Target="https://www.samsclub.com/p/hmb-24ct-40oz-member-s-mark/prod21264020?xid=plp_product_5" TargetMode="External"/><Relationship Id="rId6" Type="http://schemas.openxmlformats.org/officeDocument/2006/relationships/hyperlink" Target="https://www.samsclub.com/p/members-mark-tomato-paste-6oz-cans-12pk/prod22452342?xid=plp_product_26" TargetMode="External"/><Relationship Id="rId15" Type="http://schemas.openxmlformats.org/officeDocument/2006/relationships/hyperlink" Target="https://www.samsclub.com/p/members-mark-whole-milk-low-moisture-shredded-mozzarella-cheese-5lbs/prod21265204?xid=plp_product_2" TargetMode="External"/><Relationship Id="rId23" Type="http://schemas.openxmlformats.org/officeDocument/2006/relationships/hyperlink" Target="https://www.samsclub.com/p/members-mark-caesar-salad-serves-4/prod24482059?xid=plp_product_3" TargetMode="External"/><Relationship Id="rId28" Type="http://schemas.openxmlformats.org/officeDocument/2006/relationships/hyperlink" Target="https://www.samsclub.com/p/members-mark-baby-swiss-cheese-slices/prod20294667?xid=plp_product_12" TargetMode="External"/><Relationship Id="rId36" Type="http://schemas.openxmlformats.org/officeDocument/2006/relationships/hyperlink" Target="https://www.samsclub.com/p/gourmet-brownie-platter-case-sale/prod23190155?xid=plp_product_15" TargetMode="External"/><Relationship Id="rId49" Type="http://schemas.openxmlformats.org/officeDocument/2006/relationships/hyperlink" Target="https://www.samsclub.com/p/iceberg-lettuce-2-heads/133615?xid=plp_product_1" TargetMode="External"/><Relationship Id="rId57" Type="http://schemas.openxmlformats.org/officeDocument/2006/relationships/hyperlink" Target="https://www.walmart.com/ip/Clementines-3lb-bag/11025598" TargetMode="External"/><Relationship Id="rId10" Type="http://schemas.openxmlformats.org/officeDocument/2006/relationships/hyperlink" Target="https://www.walmart.com/ip/Great-Value-Oregano-Leaves-0-87-oz/631368530" TargetMode="External"/><Relationship Id="rId31" Type="http://schemas.openxmlformats.org/officeDocument/2006/relationships/hyperlink" Target="https://www.samsclub.com/p/pepperjack-slices-2-lbs-sap/prod20296248?xid=plp_product_9" TargetMode="External"/><Relationship Id="rId44" Type="http://schemas.openxmlformats.org/officeDocument/2006/relationships/hyperlink" Target="https://www.samsclub.com/p/members-mark-uncured-black-forest-ham-sliced/prod19544796?xid=plp_product_1" TargetMode="External"/><Relationship Id="rId52" Type="http://schemas.openxmlformats.org/officeDocument/2006/relationships/hyperlink" Target="https://www.walmart.com/ip/Great-Value-Everyday-Paper-Plates-8-3-8-50-Count/333434271" TargetMode="External"/><Relationship Id="rId60" Type="http://schemas.openxmlformats.org/officeDocument/2006/relationships/hyperlink" Target="https://www.walmart.com/ip/Clementines-3lb-bag/11025598" TargetMode="External"/><Relationship Id="rId65" Type="http://schemas.openxmlformats.org/officeDocument/2006/relationships/hyperlink" Target="Sam's%20Club" TargetMode="External"/><Relationship Id="rId73" Type="http://schemas.openxmlformats.org/officeDocument/2006/relationships/hyperlink" Target="https://www.walmart.com/ip/Great-Value-Garlic-Bread-Sticks-10-5-Oz-6-Ct-Frozen/46695581" TargetMode="External"/><Relationship Id="rId78" Type="http://schemas.openxmlformats.org/officeDocument/2006/relationships/hyperlink" Target="https://www.samsclub.com/p/members-mark-translucent-plastic-cups/prod24200300?xid=plp_product_2" TargetMode="External"/><Relationship Id="rId81" Type="http://schemas.openxmlformats.org/officeDocument/2006/relationships/hyperlink" Target="https://www.samsclub.com/p/mm-third-steam-pan-t-30-count/prod21031203?xid=plp_product_5" TargetMode="External"/><Relationship Id="rId86" Type="http://schemas.openxmlformats.org/officeDocument/2006/relationships/hyperlink" Target="https://www.samsclub.com/p/gatorade-fp-ll-or-28-12-oz/prod11580745?xid=plp_product_5" TargetMode="External"/><Relationship Id="rId4" Type="http://schemas.openxmlformats.org/officeDocument/2006/relationships/hyperlink" Target="https://www.samsclub.com/p/mm-minced-garlic-48-oz/prod20612256?xid=plp_product_1" TargetMode="External"/><Relationship Id="rId9" Type="http://schemas.openxmlformats.org/officeDocument/2006/relationships/hyperlink" Target="https://www.walmart.com/ip/Great-Value-Pure-Ground-Black-Pepper-3-oz/44662573" TargetMode="External"/><Relationship Id="rId13" Type="http://schemas.openxmlformats.org/officeDocument/2006/relationships/hyperlink" Target="https://www.walmart.com/ip/Great-Value-Iodized-Salt-26-oz/10448316?selected=true" TargetMode="External"/><Relationship Id="rId18" Type="http://schemas.openxmlformats.org/officeDocument/2006/relationships/hyperlink" Target="https://www.walmart.com/ip/Zucchini-1-Each/44390947" TargetMode="External"/><Relationship Id="rId39" Type="http://schemas.openxmlformats.org/officeDocument/2006/relationships/hyperlink" Target="https://www.samsclub.com/p/members-mark-fancy-ketchup-114-oz/161771?xid=plp_product_6" TargetMode="External"/><Relationship Id="rId34" Type="http://schemas.openxmlformats.org/officeDocument/2006/relationships/hyperlink" Target="https://www.samsclub.com/p/french-s-classic-yellow-mustard-2-30-oz/155017?xid=plp_product_1" TargetMode="External"/><Relationship Id="rId50" Type="http://schemas.openxmlformats.org/officeDocument/2006/relationships/hyperlink" Target="https://www.samsclub.com/p/bakers-chefs-white-plastic-knives-600-ct/181232?xid=plp_product_1" TargetMode="External"/><Relationship Id="rId55" Type="http://schemas.openxmlformats.org/officeDocument/2006/relationships/hyperlink" Target="https://www.samsclub.com/p/classic-variety-pk-50ct/prod14220234?xid=plp_product_2" TargetMode="External"/><Relationship Id="rId76" Type="http://schemas.openxmlformats.org/officeDocument/2006/relationships/hyperlink" Target="https://www.samsclub.com/p/mm-minced-garlic-48-oz/prod20612256?xid=plp_product_1" TargetMode="External"/><Relationship Id="rId7" Type="http://schemas.openxmlformats.org/officeDocument/2006/relationships/hyperlink" Target="https://www.samsclub.com/p/90-percent-lean-ground-beef-chub/prod4790002?xid=plp_product_2" TargetMode="External"/><Relationship Id="rId71" Type="http://schemas.openxmlformats.org/officeDocument/2006/relationships/hyperlink" Target="https://www.samsclub.com/p/members-mark-italian-style-beef-meatballs-6lbs/prod24810305?xid=plp_product_2" TargetMode="External"/><Relationship Id="rId2" Type="http://schemas.openxmlformats.org/officeDocument/2006/relationships/hyperlink" Target="https://www.samsclub.com/p/members-mark-beef-hot-dogs-bulk-120ct/prod17640201?xid=plp_product_3" TargetMode="External"/><Relationship Id="rId29" Type="http://schemas.openxmlformats.org/officeDocument/2006/relationships/hyperlink" Target="https://www.samsclub.com/p/mm-muenster-slice-2-lbs-cheese/prod20414246?xid=plp_product_7" TargetMode="External"/><Relationship Id="rId24" Type="http://schemas.openxmlformats.org/officeDocument/2006/relationships/hyperlink" Target="https://www.samsclub.com/p/fodling-chafer-8-qt-capacity/prod19381656?xid=plp_product_7" TargetMode="External"/><Relationship Id="rId40" Type="http://schemas.openxmlformats.org/officeDocument/2006/relationships/hyperlink" Target="https://www.walmart.com/ip/Plastic-Serving-Trays-Wave-Designed-Serving-Platters-Rectangle-6-X-14-Disposable-Party-Dish-White-Silver-Extra-Heavy-Duty-Loaf-Tray-Pack-of-4/903758105" TargetMode="External"/><Relationship Id="rId45" Type="http://schemas.openxmlformats.org/officeDocument/2006/relationships/hyperlink" Target="https://www.walmart.com/ip/Great-Value-Mayonnaise-48-fl-oz/110764877" TargetMode="External"/><Relationship Id="rId66" Type="http://schemas.openxmlformats.org/officeDocument/2006/relationships/hyperlink" Target="https://www.walmart.com/ip/Slicer-Tomato-Each/172985977" TargetMode="External"/><Relationship Id="rId87" Type="http://schemas.openxmlformats.org/officeDocument/2006/relationships/hyperlink" Target="https://www.samsclub.com/p/mm-2-milk-1-gallon/prod21222494?xid=plp_product_9" TargetMode="External"/><Relationship Id="rId61" Type="http://schemas.openxmlformats.org/officeDocument/2006/relationships/hyperlink" Target="https://www.walmart.com/ip/Gala-Apples-each/44390953" TargetMode="External"/><Relationship Id="rId82" Type="http://schemas.openxmlformats.org/officeDocument/2006/relationships/hyperlink" Target="https://www.samsclub.com/p/bertolli-alfredo-sauce-3-15-oz/106228?xid=plp_product_4" TargetMode="External"/><Relationship Id="rId19" Type="http://schemas.openxmlformats.org/officeDocument/2006/relationships/hyperlink" Target="https://www.walmart.com/ip/Whole-Carrots-1lb-bag/44391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showGridLines="0" tabSelected="1" workbookViewId="0">
      <selection activeCell="Q22" sqref="Q22"/>
    </sheetView>
  </sheetViews>
  <sheetFormatPr defaultColWidth="14.44140625" defaultRowHeight="15.75" customHeight="1" x14ac:dyDescent="0.25"/>
  <cols>
    <col min="1" max="1" width="4.33203125" customWidth="1"/>
    <col min="2" max="2" width="21.109375" customWidth="1"/>
    <col min="3" max="3" width="10" customWidth="1"/>
    <col min="4" max="4" width="8.6640625" customWidth="1"/>
    <col min="5" max="5" width="13.44140625" customWidth="1"/>
    <col min="6" max="6" width="10.5546875" customWidth="1"/>
    <col min="7" max="7" width="9.109375" bestFit="1" customWidth="1"/>
    <col min="8" max="8" width="8.6640625" customWidth="1"/>
    <col min="9" max="9" width="10" customWidth="1"/>
    <col min="10" max="10" width="6.88671875" customWidth="1"/>
    <col min="11" max="11" width="15.5546875" customWidth="1"/>
    <col min="12" max="12" width="10" customWidth="1"/>
    <col min="14" max="14" width="6.109375" customWidth="1"/>
    <col min="15" max="16" width="18" customWidth="1"/>
    <col min="17" max="17" width="9.6640625" customWidth="1"/>
    <col min="18" max="18" width="26.109375" customWidth="1"/>
    <col min="19" max="20" width="10.33203125" customWidth="1"/>
    <col min="21" max="21" width="10.5546875" customWidth="1"/>
    <col min="22" max="24" width="10.44140625" customWidth="1"/>
    <col min="25" max="27" width="11.6640625" customWidth="1"/>
  </cols>
  <sheetData>
    <row r="1" spans="1:27" ht="14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.2" x14ac:dyDescent="0.5">
      <c r="A2" s="3"/>
      <c r="B2" s="81" t="s">
        <v>0</v>
      </c>
      <c r="C2" s="82"/>
      <c r="D2" s="82"/>
      <c r="E2" s="82"/>
      <c r="F2" s="82"/>
      <c r="G2" s="82"/>
      <c r="H2" s="82"/>
      <c r="I2" s="82"/>
      <c r="J2" s="71"/>
      <c r="K2" s="24"/>
      <c r="L2" s="2"/>
      <c r="M2" s="2"/>
      <c r="N2" s="1"/>
      <c r="O2" s="83" t="s">
        <v>2</v>
      </c>
      <c r="P2" s="82"/>
      <c r="Q2" s="2"/>
      <c r="R2" s="4">
        <f>P13</f>
        <v>13820.2</v>
      </c>
      <c r="S2" s="5">
        <v>30</v>
      </c>
      <c r="T2" s="5">
        <v>40</v>
      </c>
      <c r="U2" s="5">
        <v>50</v>
      </c>
      <c r="V2" s="5">
        <v>60</v>
      </c>
      <c r="W2" s="5">
        <v>70</v>
      </c>
      <c r="X2" s="6">
        <v>75</v>
      </c>
      <c r="Y2" s="1"/>
      <c r="Z2" s="1"/>
      <c r="AA2" s="1"/>
    </row>
    <row r="3" spans="1:27" ht="13.2" x14ac:dyDescent="0.25">
      <c r="A3" s="3"/>
      <c r="B3" s="84" t="s">
        <v>3</v>
      </c>
      <c r="C3" s="80"/>
      <c r="D3" s="80"/>
      <c r="E3" s="80"/>
      <c r="F3" s="80"/>
      <c r="G3" s="80"/>
      <c r="H3" s="85"/>
      <c r="I3" s="7" t="s">
        <v>4</v>
      </c>
      <c r="J3" s="7" t="s">
        <v>5</v>
      </c>
      <c r="K3" s="24"/>
      <c r="L3" s="2"/>
      <c r="M3" s="2"/>
      <c r="N3" s="3"/>
      <c r="O3" s="8" t="s">
        <v>6</v>
      </c>
      <c r="P3" s="9">
        <v>3</v>
      </c>
      <c r="R3" s="10">
        <v>395</v>
      </c>
      <c r="S3" s="11">
        <f t="dataTable" ref="S3:X6" dt2D="1" dtr="1" r1="P5" r2="P6"/>
        <v>4857</v>
      </c>
      <c r="T3" s="11">
        <v>7704</v>
      </c>
      <c r="U3" s="11">
        <v>10178</v>
      </c>
      <c r="V3" s="11">
        <v>12620.2</v>
      </c>
      <c r="W3" s="11">
        <v>15421.9</v>
      </c>
      <c r="X3" s="11">
        <v>16636.25</v>
      </c>
      <c r="AA3" s="1"/>
    </row>
    <row r="4" spans="1:27" ht="13.5" customHeight="1" x14ac:dyDescent="0.25">
      <c r="A4" s="3"/>
      <c r="B4" s="82"/>
      <c r="C4" s="82"/>
      <c r="D4" s="82"/>
      <c r="E4" s="82"/>
      <c r="F4" s="82"/>
      <c r="G4" s="82"/>
      <c r="H4" s="71"/>
      <c r="I4" s="12">
        <f>SUM(F11,F16,F24,F32,F39,F46)</f>
        <v>11079.8</v>
      </c>
      <c r="J4" s="12">
        <f>SUM(G11,G16,G24,G32)</f>
        <v>0</v>
      </c>
      <c r="K4" s="24"/>
      <c r="L4" s="2"/>
      <c r="M4" s="2"/>
      <c r="N4" s="3"/>
      <c r="O4" s="8" t="s">
        <v>7</v>
      </c>
      <c r="P4" s="9">
        <v>12</v>
      </c>
      <c r="R4" s="10">
        <v>400</v>
      </c>
      <c r="S4" s="11">
        <v>5007</v>
      </c>
      <c r="T4" s="11">
        <v>7904</v>
      </c>
      <c r="U4" s="11">
        <v>10428</v>
      </c>
      <c r="V4" s="11">
        <v>12920.2</v>
      </c>
      <c r="W4" s="11">
        <v>15771.9</v>
      </c>
      <c r="X4" s="11">
        <v>17011.25</v>
      </c>
      <c r="AA4" s="1"/>
    </row>
    <row r="5" spans="1:27" ht="13.2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4"/>
      <c r="L5" s="2"/>
      <c r="M5" s="2"/>
      <c r="N5" s="1"/>
      <c r="O5" s="8" t="s">
        <v>8</v>
      </c>
      <c r="P5" s="13">
        <v>60</v>
      </c>
      <c r="Q5" s="1"/>
      <c r="R5" s="10">
        <v>415</v>
      </c>
      <c r="S5" s="11">
        <v>5457</v>
      </c>
      <c r="T5" s="11">
        <v>8504</v>
      </c>
      <c r="U5" s="11">
        <v>11178</v>
      </c>
      <c r="V5" s="11">
        <v>13820.2</v>
      </c>
      <c r="W5" s="11">
        <v>16821.899999999998</v>
      </c>
      <c r="X5" s="11">
        <v>18136.25</v>
      </c>
      <c r="AA5" s="1"/>
    </row>
    <row r="6" spans="1:27" ht="13.2" x14ac:dyDescent="0.25">
      <c r="A6" s="3"/>
      <c r="B6" s="70" t="s">
        <v>9</v>
      </c>
      <c r="C6" s="72" t="s">
        <v>4</v>
      </c>
      <c r="D6" s="73"/>
      <c r="E6" s="73"/>
      <c r="F6" s="74"/>
      <c r="G6" s="72" t="s">
        <v>5</v>
      </c>
      <c r="H6" s="73"/>
      <c r="I6" s="73"/>
      <c r="J6" s="74"/>
      <c r="K6" s="24"/>
      <c r="L6" s="1"/>
      <c r="M6" s="1"/>
      <c r="N6" s="1"/>
      <c r="O6" s="14" t="s">
        <v>10</v>
      </c>
      <c r="P6" s="15">
        <v>415</v>
      </c>
      <c r="R6" s="10">
        <v>425</v>
      </c>
      <c r="S6" s="11">
        <v>5757</v>
      </c>
      <c r="T6" s="11">
        <v>8904</v>
      </c>
      <c r="U6" s="11">
        <v>11678</v>
      </c>
      <c r="V6" s="11">
        <v>14420.2</v>
      </c>
      <c r="W6" s="11">
        <v>17521.899999999998</v>
      </c>
      <c r="X6" s="11">
        <v>18886.25</v>
      </c>
      <c r="AA6" s="1"/>
    </row>
    <row r="7" spans="1:27" ht="13.2" x14ac:dyDescent="0.25">
      <c r="A7" s="3"/>
      <c r="B7" s="71"/>
      <c r="C7" s="7" t="s">
        <v>11</v>
      </c>
      <c r="D7" s="7" t="s">
        <v>12</v>
      </c>
      <c r="E7" s="7" t="s">
        <v>13</v>
      </c>
      <c r="F7" s="7" t="s">
        <v>14</v>
      </c>
      <c r="G7" s="7" t="s">
        <v>11</v>
      </c>
      <c r="H7" s="7" t="s">
        <v>12</v>
      </c>
      <c r="I7" s="7" t="s">
        <v>13</v>
      </c>
      <c r="J7" s="7" t="s">
        <v>14</v>
      </c>
      <c r="K7" s="24"/>
      <c r="L7" s="16"/>
      <c r="M7" s="1"/>
      <c r="N7" s="1"/>
      <c r="AA7" s="1"/>
    </row>
    <row r="8" spans="1:27" ht="15.6" x14ac:dyDescent="0.3">
      <c r="A8" s="1"/>
      <c r="B8" s="17" t="s">
        <v>15</v>
      </c>
      <c r="C8" s="18">
        <v>100</v>
      </c>
      <c r="D8" s="1">
        <v>15</v>
      </c>
      <c r="E8" s="19" t="s">
        <v>16</v>
      </c>
      <c r="F8" s="20">
        <f t="shared" ref="F8" si="0">D8*C8</f>
        <v>1500</v>
      </c>
      <c r="G8" s="20"/>
      <c r="H8" s="1"/>
      <c r="I8" s="1"/>
      <c r="J8" s="21">
        <f t="shared" ref="J8" si="1">H8*G8</f>
        <v>0</v>
      </c>
      <c r="K8" s="24"/>
      <c r="L8" s="23"/>
      <c r="M8" s="3"/>
      <c r="N8" s="1"/>
      <c r="O8" s="79" t="s">
        <v>17</v>
      </c>
      <c r="P8" s="80"/>
      <c r="Q8" s="1"/>
      <c r="R8" s="24"/>
      <c r="S8" s="1"/>
      <c r="T8" s="1"/>
      <c r="U8" s="1"/>
      <c r="V8" s="1"/>
      <c r="W8" s="1"/>
      <c r="X8" s="1"/>
      <c r="AA8" s="1"/>
    </row>
    <row r="9" spans="1:27" ht="13.2" x14ac:dyDescent="0.25">
      <c r="A9" s="1"/>
      <c r="B9" s="17" t="s">
        <v>36</v>
      </c>
      <c r="C9" s="20">
        <v>8.5</v>
      </c>
      <c r="D9" s="1">
        <f>P5*0.25</f>
        <v>15</v>
      </c>
      <c r="E9" s="1" t="s">
        <v>37</v>
      </c>
      <c r="F9" s="20">
        <f>D9*C9</f>
        <v>127.5</v>
      </c>
      <c r="G9" s="20"/>
      <c r="H9" s="1"/>
      <c r="I9" s="1"/>
      <c r="J9" s="21">
        <f>H9*G9</f>
        <v>0</v>
      </c>
      <c r="K9" s="24"/>
      <c r="L9" s="23"/>
      <c r="M9" s="3"/>
      <c r="N9" s="3"/>
      <c r="O9" s="14" t="s">
        <v>18</v>
      </c>
      <c r="P9" s="15">
        <f>I4/P5</f>
        <v>184.66333333333333</v>
      </c>
      <c r="Q9" s="1"/>
      <c r="R9" s="24"/>
      <c r="S9" s="1"/>
      <c r="T9" s="1"/>
      <c r="U9" s="1"/>
      <c r="V9" s="1"/>
      <c r="W9" s="1"/>
      <c r="X9" s="1"/>
      <c r="AA9" s="1"/>
    </row>
    <row r="10" spans="1:27" ht="13.2" x14ac:dyDescent="0.25">
      <c r="A10" s="3"/>
      <c r="B10" s="17" t="s">
        <v>54</v>
      </c>
      <c r="C10" s="20">
        <v>2</v>
      </c>
      <c r="D10" s="39">
        <f>P5</f>
        <v>60</v>
      </c>
      <c r="E10" s="39" t="s">
        <v>55</v>
      </c>
      <c r="F10" s="20">
        <f>D10*C10</f>
        <v>120</v>
      </c>
      <c r="G10" s="20"/>
      <c r="H10" s="39"/>
      <c r="I10" s="39"/>
      <c r="J10" s="26"/>
      <c r="K10" s="24"/>
      <c r="L10" s="16"/>
      <c r="M10" s="1"/>
      <c r="N10" s="1"/>
      <c r="O10" s="8" t="s">
        <v>19</v>
      </c>
      <c r="P10" s="9">
        <f>ROUNDDOWN(P5/6,0)</f>
        <v>10</v>
      </c>
      <c r="Q10" s="1"/>
      <c r="S10" s="1"/>
      <c r="AA10" s="1"/>
    </row>
    <row r="11" spans="1:27" ht="13.2" x14ac:dyDescent="0.25">
      <c r="A11" s="1"/>
      <c r="B11" s="27" t="s">
        <v>14</v>
      </c>
      <c r="C11" s="28"/>
      <c r="D11" s="29"/>
      <c r="E11" s="29"/>
      <c r="F11" s="28">
        <f>SUM(F8:F8)</f>
        <v>1500</v>
      </c>
      <c r="G11" s="28"/>
      <c r="H11" s="29"/>
      <c r="I11" s="29"/>
      <c r="J11" s="28">
        <f>SUM(J8:J8)</f>
        <v>0</v>
      </c>
      <c r="K11" s="24"/>
      <c r="L11" s="16"/>
      <c r="M11" s="1"/>
      <c r="N11" s="1"/>
      <c r="Q11" s="1"/>
      <c r="S11" s="1"/>
      <c r="AA11" s="1"/>
    </row>
    <row r="12" spans="1:27" ht="15.6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4"/>
      <c r="L12" s="16"/>
      <c r="M12" s="1"/>
      <c r="N12" s="1"/>
      <c r="O12" s="79" t="s">
        <v>21</v>
      </c>
      <c r="P12" s="8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3"/>
      <c r="B13" s="70" t="s">
        <v>20</v>
      </c>
      <c r="C13" s="72" t="s">
        <v>4</v>
      </c>
      <c r="D13" s="73"/>
      <c r="E13" s="73"/>
      <c r="F13" s="74"/>
      <c r="G13" s="72" t="s">
        <v>5</v>
      </c>
      <c r="H13" s="73"/>
      <c r="I13" s="73"/>
      <c r="J13" s="74"/>
      <c r="K13" s="24"/>
      <c r="L13" s="16"/>
      <c r="M13" s="1"/>
      <c r="N13" s="1"/>
      <c r="O13" s="14" t="s">
        <v>22</v>
      </c>
      <c r="P13" s="31">
        <f>(P5*(P6-P9))</f>
        <v>13820.2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1"/>
      <c r="B14" s="71"/>
      <c r="C14" s="7" t="s">
        <v>11</v>
      </c>
      <c r="D14" s="7" t="s">
        <v>12</v>
      </c>
      <c r="E14" s="7" t="s">
        <v>13</v>
      </c>
      <c r="F14" s="7" t="s">
        <v>14</v>
      </c>
      <c r="G14" s="7" t="s">
        <v>11</v>
      </c>
      <c r="H14" s="7" t="s">
        <v>12</v>
      </c>
      <c r="I14" s="7" t="s">
        <v>13</v>
      </c>
      <c r="J14" s="7" t="s">
        <v>14</v>
      </c>
      <c r="K14" s="24"/>
      <c r="L14" s="3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17" t="s">
        <v>238</v>
      </c>
      <c r="C15" s="20">
        <v>650</v>
      </c>
      <c r="D15" s="1">
        <v>1</v>
      </c>
      <c r="E15" s="1" t="s">
        <v>243</v>
      </c>
      <c r="F15" s="20">
        <f>C15*D15</f>
        <v>650</v>
      </c>
      <c r="G15" s="20"/>
      <c r="H15" s="1"/>
      <c r="I15" s="1"/>
      <c r="J15" s="21">
        <f t="shared" ref="J15" si="2">H15*G15</f>
        <v>0</v>
      </c>
      <c r="K15" s="24"/>
      <c r="L15" s="67"/>
      <c r="M15" s="3"/>
      <c r="N15" s="35" t="s">
        <v>23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"/>
      <c r="AA15" s="1"/>
    </row>
    <row r="16" spans="1:27" ht="13.2" x14ac:dyDescent="0.25">
      <c r="A16" s="1"/>
      <c r="B16" s="27" t="s">
        <v>14</v>
      </c>
      <c r="C16" s="28"/>
      <c r="D16" s="29"/>
      <c r="E16" s="29"/>
      <c r="F16" s="28">
        <f>F15</f>
        <v>650</v>
      </c>
      <c r="G16" s="28"/>
      <c r="H16" s="29"/>
      <c r="I16" s="29"/>
      <c r="J16" s="28">
        <f>SUM(J15:J15)</f>
        <v>0</v>
      </c>
      <c r="K16" s="24"/>
      <c r="L16" s="1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16"/>
      <c r="L17" s="1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customHeight="1" x14ac:dyDescent="0.25">
      <c r="A18" s="3"/>
      <c r="B18" s="70" t="s">
        <v>24</v>
      </c>
      <c r="C18" s="77" t="s">
        <v>242</v>
      </c>
      <c r="D18" s="72" t="s">
        <v>4</v>
      </c>
      <c r="E18" s="72"/>
      <c r="F18" s="78"/>
      <c r="G18" s="75" t="s">
        <v>5</v>
      </c>
      <c r="H18" s="76"/>
      <c r="I18" s="76"/>
      <c r="J18" s="76"/>
      <c r="K18" s="24"/>
      <c r="L18" s="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70"/>
      <c r="C19" s="77"/>
      <c r="D19" s="7" t="s">
        <v>11</v>
      </c>
      <c r="E19" s="7" t="s">
        <v>12</v>
      </c>
      <c r="F19" s="7" t="s">
        <v>14</v>
      </c>
      <c r="G19" s="7" t="s">
        <v>11</v>
      </c>
      <c r="H19" s="7" t="s">
        <v>12</v>
      </c>
      <c r="I19" s="7" t="s">
        <v>13</v>
      </c>
      <c r="J19" s="7" t="s">
        <v>14</v>
      </c>
      <c r="K19" s="30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3.2" x14ac:dyDescent="0.25">
      <c r="A20" s="39"/>
      <c r="B20" s="17" t="s">
        <v>56</v>
      </c>
      <c r="C20" s="44" t="s">
        <v>244</v>
      </c>
      <c r="D20" s="20">
        <f>$P$5*10</f>
        <v>600</v>
      </c>
      <c r="E20" s="1">
        <v>1</v>
      </c>
      <c r="F20" s="20">
        <f t="shared" ref="F20:F23" si="3">E20*D20</f>
        <v>600</v>
      </c>
      <c r="G20" s="20"/>
      <c r="H20" s="1"/>
      <c r="I20" s="1"/>
      <c r="J20" s="21">
        <f t="shared" ref="J20" si="4">H20*G20</f>
        <v>0</v>
      </c>
      <c r="K20" s="30"/>
      <c r="L20" s="36"/>
      <c r="M20" s="36"/>
      <c r="N20" s="36"/>
      <c r="O20" s="36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7" ht="13.2" x14ac:dyDescent="0.25">
      <c r="A21" s="39"/>
      <c r="B21" s="17" t="s">
        <v>57</v>
      </c>
      <c r="C21" s="44" t="s">
        <v>244</v>
      </c>
      <c r="D21" s="20">
        <f t="shared" ref="D21:D23" si="5">$P$5*10</f>
        <v>600</v>
      </c>
      <c r="E21" s="39">
        <v>1</v>
      </c>
      <c r="F21" s="20">
        <f t="shared" si="3"/>
        <v>600</v>
      </c>
      <c r="G21" s="20"/>
      <c r="H21" s="39"/>
      <c r="I21" s="39"/>
      <c r="J21" s="26"/>
      <c r="K21" s="30"/>
      <c r="L21" s="36"/>
      <c r="M21" s="36"/>
      <c r="N21" s="36"/>
      <c r="O21" s="36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7" ht="13.2" x14ac:dyDescent="0.25">
      <c r="A22" s="39"/>
      <c r="B22" s="17" t="s">
        <v>58</v>
      </c>
      <c r="C22" s="44" t="s">
        <v>244</v>
      </c>
      <c r="D22" s="20">
        <f t="shared" si="5"/>
        <v>600</v>
      </c>
      <c r="E22" s="39">
        <v>1</v>
      </c>
      <c r="F22" s="20">
        <f t="shared" si="3"/>
        <v>600</v>
      </c>
      <c r="G22" s="20"/>
      <c r="H22" s="39"/>
      <c r="I22" s="39"/>
      <c r="J22" s="26"/>
      <c r="K22" s="30"/>
      <c r="L22" s="36"/>
      <c r="M22" s="36"/>
      <c r="N22" s="36"/>
      <c r="O22" s="36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7" ht="13.2" x14ac:dyDescent="0.25">
      <c r="A23" s="39"/>
      <c r="B23" s="17" t="s">
        <v>59</v>
      </c>
      <c r="C23" s="44" t="s">
        <v>244</v>
      </c>
      <c r="D23" s="20">
        <f t="shared" si="5"/>
        <v>600</v>
      </c>
      <c r="E23" s="39">
        <v>1</v>
      </c>
      <c r="F23" s="20">
        <f t="shared" si="3"/>
        <v>600</v>
      </c>
      <c r="G23" s="20"/>
      <c r="H23" s="39"/>
      <c r="I23" s="39"/>
      <c r="J23" s="26"/>
      <c r="K23" s="30"/>
      <c r="L23" s="36"/>
      <c r="M23" s="36"/>
      <c r="N23" s="36"/>
      <c r="O23" s="36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7" ht="13.2" x14ac:dyDescent="0.25">
      <c r="A24" s="3"/>
      <c r="B24" s="27" t="s">
        <v>14</v>
      </c>
      <c r="C24" s="28"/>
      <c r="D24" s="28"/>
      <c r="E24" s="29"/>
      <c r="F24" s="28">
        <f>SUM(F20:F23)</f>
        <v>2400</v>
      </c>
      <c r="G24" s="28"/>
      <c r="H24" s="29"/>
      <c r="I24" s="29"/>
      <c r="J24" s="28">
        <f>SUM(J20:J23)</f>
        <v>0</v>
      </c>
      <c r="K24" s="3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3.2" x14ac:dyDescent="0.25">
      <c r="A25" s="1"/>
      <c r="K25" s="30"/>
      <c r="L25" s="1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3"/>
      <c r="B26" s="2"/>
      <c r="C26" s="2"/>
      <c r="D26" s="2"/>
      <c r="E26" s="2"/>
      <c r="F26" s="2"/>
      <c r="G26" s="2"/>
      <c r="H26" s="2"/>
      <c r="I26" s="2"/>
      <c r="J26" s="2"/>
      <c r="K26" s="16"/>
      <c r="L26" s="1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3"/>
      <c r="B27" s="70" t="s">
        <v>26</v>
      </c>
      <c r="C27" s="72" t="s">
        <v>4</v>
      </c>
      <c r="D27" s="73"/>
      <c r="E27" s="73"/>
      <c r="F27" s="74"/>
      <c r="G27" s="72" t="s">
        <v>5</v>
      </c>
      <c r="H27" s="73"/>
      <c r="I27" s="73"/>
      <c r="J27" s="74"/>
      <c r="L27" s="1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71"/>
      <c r="C28" s="7" t="s">
        <v>11</v>
      </c>
      <c r="D28" s="7" t="s">
        <v>12</v>
      </c>
      <c r="E28" s="7" t="s">
        <v>13</v>
      </c>
      <c r="F28" s="7" t="s">
        <v>14</v>
      </c>
      <c r="G28" s="7" t="s">
        <v>11</v>
      </c>
      <c r="H28" s="7" t="s">
        <v>12</v>
      </c>
      <c r="I28" s="7" t="s">
        <v>13</v>
      </c>
      <c r="J28" s="7" t="s">
        <v>14</v>
      </c>
      <c r="K28" s="30"/>
      <c r="L28" s="2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7" t="s">
        <v>27</v>
      </c>
      <c r="C29" s="20">
        <v>10</v>
      </c>
      <c r="D29" s="1">
        <f>$P$3*$P$4*(P10-2)</f>
        <v>288</v>
      </c>
      <c r="E29" s="1" t="s">
        <v>16</v>
      </c>
      <c r="F29" s="20">
        <f t="shared" ref="F29:F31" si="6">D29*C29</f>
        <v>2880</v>
      </c>
      <c r="G29" s="20"/>
      <c r="H29" s="1"/>
      <c r="I29" s="1"/>
      <c r="J29" s="21">
        <f t="shared" ref="J29:J31" si="7">H29*G29</f>
        <v>0</v>
      </c>
      <c r="K29" s="30"/>
      <c r="L29" s="2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7" t="s">
        <v>28</v>
      </c>
      <c r="C30" s="18">
        <v>10</v>
      </c>
      <c r="D30" s="1">
        <f>$P$3*$P$4*2</f>
        <v>72</v>
      </c>
      <c r="E30" s="1" t="s">
        <v>16</v>
      </c>
      <c r="F30" s="20">
        <f t="shared" si="6"/>
        <v>720</v>
      </c>
      <c r="G30" s="20"/>
      <c r="H30" s="1"/>
      <c r="I30" s="1"/>
      <c r="J30" s="21">
        <f t="shared" si="7"/>
        <v>0</v>
      </c>
      <c r="K30" s="30"/>
      <c r="L30" s="2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3"/>
      <c r="B31" s="33" t="s">
        <v>29</v>
      </c>
      <c r="C31" s="25">
        <v>25</v>
      </c>
      <c r="D31" s="37">
        <v>20</v>
      </c>
      <c r="E31" s="2" t="s">
        <v>16</v>
      </c>
      <c r="F31" s="25">
        <f t="shared" si="6"/>
        <v>500</v>
      </c>
      <c r="G31" s="2"/>
      <c r="H31" s="2"/>
      <c r="I31" s="2"/>
      <c r="J31" s="26">
        <f t="shared" si="7"/>
        <v>0</v>
      </c>
      <c r="K31" s="30"/>
      <c r="L31" s="1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27" t="s">
        <v>14</v>
      </c>
      <c r="C32" s="28"/>
      <c r="D32" s="29"/>
      <c r="E32" s="29"/>
      <c r="F32" s="28">
        <f>SUM(F29:F31)</f>
        <v>4100</v>
      </c>
      <c r="G32" s="28"/>
      <c r="H32" s="29"/>
      <c r="I32" s="29"/>
      <c r="J32" s="28">
        <f>SUM(J29:J30)</f>
        <v>0</v>
      </c>
      <c r="K32" s="16"/>
      <c r="L32" s="1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16"/>
      <c r="L33" s="1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3"/>
      <c r="B34" s="70" t="s">
        <v>30</v>
      </c>
      <c r="C34" s="72" t="s">
        <v>4</v>
      </c>
      <c r="D34" s="73"/>
      <c r="E34" s="73"/>
      <c r="F34" s="74"/>
      <c r="G34" s="72" t="s">
        <v>5</v>
      </c>
      <c r="H34" s="73"/>
      <c r="I34" s="73"/>
      <c r="J34" s="74"/>
      <c r="K34" s="16"/>
      <c r="L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71"/>
      <c r="C35" s="7" t="s">
        <v>11</v>
      </c>
      <c r="D35" s="7" t="s">
        <v>12</v>
      </c>
      <c r="E35" s="7" t="s">
        <v>13</v>
      </c>
      <c r="F35" s="7" t="s">
        <v>14</v>
      </c>
      <c r="G35" s="7" t="s">
        <v>11</v>
      </c>
      <c r="H35" s="7" t="s">
        <v>12</v>
      </c>
      <c r="I35" s="7" t="s">
        <v>13</v>
      </c>
      <c r="J35" s="7" t="s">
        <v>14</v>
      </c>
      <c r="K35" s="30"/>
      <c r="L35" s="2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7" t="s">
        <v>31</v>
      </c>
      <c r="C36" s="20">
        <v>1.51</v>
      </c>
      <c r="D36" s="1">
        <f>$P$3*$P$5</f>
        <v>180</v>
      </c>
      <c r="E36" s="19" t="s">
        <v>32</v>
      </c>
      <c r="F36" s="20">
        <f>IF(D36*C36&gt;240,D36*C36,240)</f>
        <v>271.8</v>
      </c>
      <c r="G36" s="20"/>
      <c r="H36" s="1"/>
      <c r="I36" s="1"/>
      <c r="J36" s="21">
        <f t="shared" ref="J36:J38" si="8">H36*G36</f>
        <v>0</v>
      </c>
      <c r="K36" s="30"/>
      <c r="L36" s="3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7" t="s">
        <v>33</v>
      </c>
      <c r="C37" s="20"/>
      <c r="D37" s="1"/>
      <c r="E37" s="1"/>
      <c r="F37" s="20">
        <f t="shared" ref="F37:F38" si="9">D37*C37</f>
        <v>0</v>
      </c>
      <c r="G37" s="1"/>
      <c r="H37" s="1"/>
      <c r="I37" s="1"/>
      <c r="J37" s="20">
        <f t="shared" si="8"/>
        <v>0</v>
      </c>
      <c r="K37" s="30"/>
      <c r="L37" s="2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3"/>
      <c r="B38" s="33" t="s">
        <v>34</v>
      </c>
      <c r="C38" s="25">
        <v>0</v>
      </c>
      <c r="D38" s="2">
        <f>P10</f>
        <v>10</v>
      </c>
      <c r="E38" s="2" t="s">
        <v>19</v>
      </c>
      <c r="F38" s="25">
        <f t="shared" si="9"/>
        <v>0</v>
      </c>
      <c r="G38" s="2"/>
      <c r="H38" s="2"/>
      <c r="I38" s="2"/>
      <c r="J38" s="26">
        <f t="shared" si="8"/>
        <v>0</v>
      </c>
      <c r="K38" s="30"/>
      <c r="L38" s="1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27" t="s">
        <v>14</v>
      </c>
      <c r="C39" s="28"/>
      <c r="D39" s="29"/>
      <c r="E39" s="29"/>
      <c r="F39" s="28">
        <f>SUM(F36:F38)</f>
        <v>271.8</v>
      </c>
      <c r="G39" s="28"/>
      <c r="H39" s="29"/>
      <c r="I39" s="29"/>
      <c r="J39" s="28">
        <f>SUM(J36:J38)</f>
        <v>0</v>
      </c>
      <c r="K39" s="16"/>
      <c r="L39" s="1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3"/>
      <c r="B40" s="2"/>
      <c r="C40" s="2"/>
      <c r="D40" s="2"/>
      <c r="E40" s="2"/>
      <c r="F40" s="2"/>
      <c r="G40" s="2"/>
      <c r="H40" s="2"/>
      <c r="I40" s="2"/>
      <c r="J40" s="2"/>
      <c r="K40" s="16"/>
      <c r="L40" s="1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3"/>
      <c r="B41" s="70" t="s">
        <v>35</v>
      </c>
      <c r="C41" s="72" t="s">
        <v>4</v>
      </c>
      <c r="D41" s="73"/>
      <c r="E41" s="73"/>
      <c r="F41" s="74"/>
      <c r="G41" s="72" t="s">
        <v>5</v>
      </c>
      <c r="H41" s="73"/>
      <c r="I41" s="73"/>
      <c r="J41" s="74"/>
      <c r="K41" s="16"/>
      <c r="L41" s="1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71"/>
      <c r="C42" s="7" t="s">
        <v>11</v>
      </c>
      <c r="D42" s="7" t="s">
        <v>12</v>
      </c>
      <c r="E42" s="7" t="s">
        <v>13</v>
      </c>
      <c r="F42" s="7" t="s">
        <v>14</v>
      </c>
      <c r="G42" s="7" t="s">
        <v>11</v>
      </c>
      <c r="H42" s="7" t="s">
        <v>12</v>
      </c>
      <c r="I42" s="7" t="s">
        <v>13</v>
      </c>
      <c r="J42" s="7" t="s">
        <v>14</v>
      </c>
      <c r="K42" s="30"/>
      <c r="L42" s="1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39"/>
      <c r="B43" s="17" t="s">
        <v>51</v>
      </c>
      <c r="C43" s="20">
        <v>20</v>
      </c>
      <c r="D43" s="1">
        <f>P5</f>
        <v>60</v>
      </c>
      <c r="E43" s="19" t="s">
        <v>8</v>
      </c>
      <c r="F43" s="20">
        <f t="shared" ref="F43:F45" si="10">D43*C43</f>
        <v>1200</v>
      </c>
      <c r="G43" s="1"/>
      <c r="H43" s="1"/>
      <c r="I43" s="1"/>
      <c r="J43" s="21">
        <f>H43*G43</f>
        <v>0</v>
      </c>
      <c r="K43" s="30"/>
      <c r="L43" s="24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spans="1:27" ht="13.2" x14ac:dyDescent="0.25">
      <c r="A44" s="1"/>
      <c r="B44" s="17" t="s">
        <v>241</v>
      </c>
      <c r="C44" s="20">
        <v>4</v>
      </c>
      <c r="D44" s="39">
        <v>12</v>
      </c>
      <c r="E44" s="39"/>
      <c r="F44" s="20">
        <f t="shared" si="10"/>
        <v>48</v>
      </c>
      <c r="G44" s="39"/>
      <c r="H44" s="39"/>
      <c r="I44" s="39"/>
      <c r="J44" s="26"/>
      <c r="K44" s="30"/>
      <c r="L44" s="23"/>
      <c r="M44" s="3"/>
      <c r="N44" s="3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39"/>
      <c r="B45" s="33" t="s">
        <v>52</v>
      </c>
      <c r="C45" s="25">
        <v>13</v>
      </c>
      <c r="D45" s="2">
        <f>$P$5+$P$10</f>
        <v>70</v>
      </c>
      <c r="E45" s="37" t="s">
        <v>38</v>
      </c>
      <c r="F45" s="25">
        <f t="shared" si="10"/>
        <v>910</v>
      </c>
      <c r="G45" s="2"/>
      <c r="H45" s="2"/>
      <c r="I45" s="2"/>
      <c r="J45" s="26">
        <f t="shared" ref="J45" si="11">H45*G45</f>
        <v>0</v>
      </c>
      <c r="K45" s="30"/>
      <c r="L45" s="32"/>
      <c r="M45" s="36"/>
      <c r="N45" s="36"/>
      <c r="O45" s="36"/>
      <c r="P45" s="36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spans="1:27" ht="13.2" x14ac:dyDescent="0.25">
      <c r="A46" s="1"/>
      <c r="B46" s="27" t="s">
        <v>14</v>
      </c>
      <c r="C46" s="28"/>
      <c r="D46" s="29"/>
      <c r="E46" s="29"/>
      <c r="F46" s="28">
        <f>SUM(F43:F45)</f>
        <v>2158</v>
      </c>
      <c r="G46" s="28"/>
      <c r="H46" s="29"/>
      <c r="I46" s="29"/>
      <c r="J46" s="28">
        <f>SUM(J9:J45)</f>
        <v>0</v>
      </c>
      <c r="K46" s="30"/>
      <c r="L46" s="23"/>
      <c r="M46" s="3"/>
      <c r="N46" s="3"/>
      <c r="O46" s="3"/>
      <c r="P46" s="3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3"/>
      <c r="B47" s="2"/>
      <c r="C47" s="2"/>
      <c r="D47" s="2"/>
      <c r="E47" s="2"/>
      <c r="F47" s="2"/>
      <c r="G47" s="2"/>
      <c r="H47" s="2"/>
      <c r="I47" s="2"/>
      <c r="J47" s="2"/>
      <c r="K47" s="16"/>
      <c r="L47" s="1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70" t="s">
        <v>39</v>
      </c>
      <c r="C48" s="72" t="s">
        <v>4</v>
      </c>
      <c r="D48" s="73"/>
      <c r="E48" s="73"/>
      <c r="F48" s="74"/>
      <c r="G48" s="72" t="s">
        <v>5</v>
      </c>
      <c r="H48" s="73"/>
      <c r="I48" s="73"/>
      <c r="J48" s="74"/>
      <c r="K48" s="16"/>
      <c r="L48" s="1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3"/>
      <c r="B49" s="71"/>
      <c r="C49" s="7" t="s">
        <v>11</v>
      </c>
      <c r="D49" s="7" t="s">
        <v>12</v>
      </c>
      <c r="E49" s="7" t="s">
        <v>13</v>
      </c>
      <c r="F49" s="7" t="s">
        <v>14</v>
      </c>
      <c r="G49" s="7" t="s">
        <v>11</v>
      </c>
      <c r="H49" s="7" t="s">
        <v>12</v>
      </c>
      <c r="I49" s="7" t="s">
        <v>13</v>
      </c>
      <c r="J49" s="7" t="s">
        <v>14</v>
      </c>
      <c r="K49" s="30"/>
      <c r="L49" s="1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3"/>
      <c r="B50" s="17" t="s">
        <v>40</v>
      </c>
      <c r="C50" s="20">
        <v>35</v>
      </c>
      <c r="D50" s="1">
        <f>$P$5+$P$10</f>
        <v>70</v>
      </c>
      <c r="E50" s="19" t="s">
        <v>38</v>
      </c>
      <c r="F50" s="20">
        <f t="shared" ref="F50:F55" si="12">D50*C50</f>
        <v>2450</v>
      </c>
      <c r="G50" s="20"/>
      <c r="H50" s="1"/>
      <c r="I50" s="1"/>
      <c r="J50" s="21">
        <f t="shared" ref="J50:J55" si="13">H50*G50</f>
        <v>0</v>
      </c>
      <c r="K50" s="34" t="s">
        <v>41</v>
      </c>
      <c r="L50" s="1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7" t="s">
        <v>42</v>
      </c>
      <c r="C51" s="20">
        <v>36</v>
      </c>
      <c r="D51" s="1">
        <f>($P$3-1)*$P$5</f>
        <v>120</v>
      </c>
      <c r="E51" s="1" t="s">
        <v>43</v>
      </c>
      <c r="F51" s="20">
        <f t="shared" si="12"/>
        <v>4320</v>
      </c>
      <c r="G51" s="20"/>
      <c r="H51" s="1"/>
      <c r="I51" s="1"/>
      <c r="J51" s="21">
        <f t="shared" si="13"/>
        <v>0</v>
      </c>
      <c r="K51" s="34" t="s">
        <v>25</v>
      </c>
      <c r="L51" s="23"/>
      <c r="M51" s="3"/>
      <c r="N51" s="3"/>
      <c r="O51" s="3"/>
      <c r="P51" s="3"/>
      <c r="Q51" s="3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7" t="s">
        <v>44</v>
      </c>
      <c r="C52" s="20">
        <v>50</v>
      </c>
      <c r="D52" s="1">
        <f>($P$3-1)*3</f>
        <v>6</v>
      </c>
      <c r="E52" s="1" t="s">
        <v>45</v>
      </c>
      <c r="F52" s="20">
        <f t="shared" si="12"/>
        <v>300</v>
      </c>
      <c r="G52" s="20"/>
      <c r="H52" s="1"/>
      <c r="I52" s="1"/>
      <c r="J52" s="21">
        <f t="shared" si="13"/>
        <v>0</v>
      </c>
      <c r="K52" s="34" t="s">
        <v>25</v>
      </c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7" t="s">
        <v>46</v>
      </c>
      <c r="C53" s="20">
        <v>60</v>
      </c>
      <c r="D53" s="1">
        <f>($P$3-1)</f>
        <v>2</v>
      </c>
      <c r="E53" s="1" t="s">
        <v>47</v>
      </c>
      <c r="F53" s="20">
        <f t="shared" si="12"/>
        <v>120</v>
      </c>
      <c r="G53" s="20"/>
      <c r="H53" s="1"/>
      <c r="I53" s="1"/>
      <c r="J53" s="21">
        <f t="shared" si="13"/>
        <v>0</v>
      </c>
      <c r="K53" s="22" t="s">
        <v>53</v>
      </c>
      <c r="L53" s="2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7" t="s">
        <v>48</v>
      </c>
      <c r="C54" s="20">
        <v>28</v>
      </c>
      <c r="D54" s="1">
        <v>4</v>
      </c>
      <c r="E54" s="1" t="s">
        <v>16</v>
      </c>
      <c r="F54" s="20">
        <f t="shared" si="12"/>
        <v>112</v>
      </c>
      <c r="G54" s="20"/>
      <c r="H54" s="1"/>
      <c r="I54" s="1"/>
      <c r="J54" s="21">
        <f t="shared" si="13"/>
        <v>0</v>
      </c>
      <c r="K54" s="34" t="s">
        <v>49</v>
      </c>
      <c r="L54" s="23"/>
      <c r="M54" s="3"/>
      <c r="N54" s="3"/>
      <c r="O54" s="3"/>
      <c r="P54" s="3"/>
      <c r="Q54" s="3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33" t="s">
        <v>50</v>
      </c>
      <c r="C55" s="25"/>
      <c r="D55" s="2"/>
      <c r="E55" s="2"/>
      <c r="F55" s="25">
        <f t="shared" si="12"/>
        <v>0</v>
      </c>
      <c r="G55" s="25"/>
      <c r="H55" s="2"/>
      <c r="I55" s="2"/>
      <c r="J55" s="26">
        <f t="shared" si="13"/>
        <v>0</v>
      </c>
      <c r="K55" s="24"/>
      <c r="L55" s="2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27" t="s">
        <v>14</v>
      </c>
      <c r="C56" s="28"/>
      <c r="D56" s="29"/>
      <c r="E56" s="29"/>
      <c r="F56" s="28">
        <f>SUM(F50:F54)</f>
        <v>7302</v>
      </c>
      <c r="G56" s="28"/>
      <c r="H56" s="29"/>
      <c r="I56" s="29"/>
      <c r="J56" s="28">
        <f>SUM(J50)</f>
        <v>0</v>
      </c>
      <c r="K56" s="16"/>
      <c r="L56" s="1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6"/>
      <c r="L57" s="16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6"/>
      <c r="L58" s="16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6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6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6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6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6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6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6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6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spans="1:27" ht="13.2" x14ac:dyDescent="0.2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</row>
    <row r="985" spans="1:27" ht="13.2" x14ac:dyDescent="0.2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</row>
    <row r="986" spans="1:27" ht="13.2" x14ac:dyDescent="0.2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</row>
    <row r="987" spans="1:27" ht="13.2" x14ac:dyDescent="0.2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</row>
    <row r="988" spans="1:27" ht="13.2" x14ac:dyDescent="0.2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spans="1:27" ht="13.2" x14ac:dyDescent="0.2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</row>
    <row r="990" spans="1:27" ht="13.2" x14ac:dyDescent="0.2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</row>
    <row r="991" spans="1:27" ht="13.2" x14ac:dyDescent="0.2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</row>
    <row r="992" spans="1:27" ht="13.2" x14ac:dyDescent="0.2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</row>
    <row r="993" spans="1:27" ht="13.2" x14ac:dyDescent="0.2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</row>
    <row r="994" spans="1:27" ht="13.2" x14ac:dyDescent="0.2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spans="1:27" ht="13.2" x14ac:dyDescent="0.2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</row>
    <row r="996" spans="1:27" ht="13.2" x14ac:dyDescent="0.2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</row>
    <row r="997" spans="1:27" ht="13.2" x14ac:dyDescent="0.25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</row>
    <row r="998" spans="1:27" ht="13.2" x14ac:dyDescent="0.25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</row>
    <row r="999" spans="1:27" ht="13.2" x14ac:dyDescent="0.25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spans="1:27" ht="13.2" x14ac:dyDescent="0.25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spans="1:27" ht="13.2" x14ac:dyDescent="0.25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spans="1:27" ht="13.2" x14ac:dyDescent="0.25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spans="1:27" ht="13.2" x14ac:dyDescent="0.25">
      <c r="A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</row>
  </sheetData>
  <mergeCells count="27">
    <mergeCell ref="B2:J2"/>
    <mergeCell ref="O2:P2"/>
    <mergeCell ref="B3:H4"/>
    <mergeCell ref="B6:B7"/>
    <mergeCell ref="C6:F6"/>
    <mergeCell ref="G6:J6"/>
    <mergeCell ref="O8:P8"/>
    <mergeCell ref="B13:B14"/>
    <mergeCell ref="C13:F13"/>
    <mergeCell ref="G13:J13"/>
    <mergeCell ref="O12:P12"/>
    <mergeCell ref="B18:B19"/>
    <mergeCell ref="G18:J18"/>
    <mergeCell ref="C41:F41"/>
    <mergeCell ref="G41:J41"/>
    <mergeCell ref="C18:C19"/>
    <mergeCell ref="D18:F18"/>
    <mergeCell ref="B48:B49"/>
    <mergeCell ref="C48:F48"/>
    <mergeCell ref="G48:J48"/>
    <mergeCell ref="B27:B28"/>
    <mergeCell ref="C27:F27"/>
    <mergeCell ref="G27:J27"/>
    <mergeCell ref="B34:B35"/>
    <mergeCell ref="C34:F34"/>
    <mergeCell ref="G34:J34"/>
    <mergeCell ref="B41:B42"/>
  </mergeCells>
  <conditionalFormatting sqref="S3:X6">
    <cfRule type="colorScale" priority="1">
      <colorScale>
        <cfvo type="min"/>
        <cfvo type="percentile" val="50"/>
        <cfvo type="max"/>
        <color rgb="FFD9EAD3"/>
        <color rgb="FF93C47D"/>
        <color rgb="FF38761D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E893-FFAB-499C-B4A0-DC0973F1EC8E}">
  <dimension ref="A2:N138"/>
  <sheetViews>
    <sheetView showGridLines="0" workbookViewId="0">
      <selection activeCell="J23" sqref="J23"/>
    </sheetView>
  </sheetViews>
  <sheetFormatPr defaultRowHeight="13.2" x14ac:dyDescent="0.25"/>
  <cols>
    <col min="1" max="1" width="13.109375" style="65" bestFit="1" customWidth="1"/>
    <col min="2" max="2" width="19.33203125" bestFit="1" customWidth="1"/>
    <col min="3" max="3" width="9.88671875" bestFit="1" customWidth="1"/>
    <col min="4" max="4" width="8.88671875" style="48"/>
    <col min="5" max="5" width="13.5546875" bestFit="1" customWidth="1"/>
    <col min="6" max="6" width="9.109375" bestFit="1" customWidth="1"/>
    <col min="10" max="10" width="9.109375" bestFit="1" customWidth="1"/>
    <col min="11" max="11" width="11.88671875" customWidth="1"/>
    <col min="12" max="12" width="62.109375" bestFit="1" customWidth="1"/>
    <col min="14" max="14" width="17.21875" bestFit="1" customWidth="1"/>
  </cols>
  <sheetData>
    <row r="2" spans="1:14" x14ac:dyDescent="0.25">
      <c r="J2" s="41"/>
      <c r="L2" s="41"/>
    </row>
    <row r="3" spans="1:14" ht="13.8" thickBot="1" x14ac:dyDescent="0.3">
      <c r="B3" s="70" t="s">
        <v>56</v>
      </c>
      <c r="C3" s="72" t="s">
        <v>4</v>
      </c>
      <c r="D3" s="73"/>
      <c r="E3" s="73"/>
      <c r="F3" s="74"/>
      <c r="G3" s="72" t="s">
        <v>5</v>
      </c>
      <c r="H3" s="73"/>
      <c r="I3" s="73"/>
      <c r="J3" s="73"/>
    </row>
    <row r="4" spans="1:14" ht="15" thickTop="1" thickBot="1" x14ac:dyDescent="0.3">
      <c r="B4" s="71"/>
      <c r="C4" s="7" t="s">
        <v>11</v>
      </c>
      <c r="D4" s="7" t="s">
        <v>12</v>
      </c>
      <c r="E4" s="7" t="s">
        <v>13</v>
      </c>
      <c r="F4" s="7" t="s">
        <v>14</v>
      </c>
      <c r="G4" s="7" t="s">
        <v>11</v>
      </c>
      <c r="H4" s="7" t="s">
        <v>12</v>
      </c>
      <c r="I4" s="7" t="s">
        <v>13</v>
      </c>
      <c r="J4" s="7" t="s">
        <v>14</v>
      </c>
      <c r="K4" s="52" t="s">
        <v>70</v>
      </c>
      <c r="L4" s="69" t="s">
        <v>1</v>
      </c>
      <c r="N4" s="52" t="s">
        <v>240</v>
      </c>
    </row>
    <row r="5" spans="1:14" s="40" customFormat="1" ht="13.8" customHeight="1" thickTop="1" x14ac:dyDescent="0.25">
      <c r="A5" s="89" t="s">
        <v>234</v>
      </c>
      <c r="B5" s="17" t="s">
        <v>126</v>
      </c>
      <c r="C5" s="20">
        <v>1</v>
      </c>
      <c r="D5" s="39">
        <f>ROUNDUP((Summary!$P$5+Summary!$P$10)/9*2, 0)</f>
        <v>16</v>
      </c>
      <c r="E5" s="39" t="s">
        <v>136</v>
      </c>
      <c r="F5" s="20">
        <f t="shared" ref="F5" si="0">D5*C5</f>
        <v>16</v>
      </c>
      <c r="G5" s="20"/>
      <c r="H5" s="39"/>
      <c r="I5" s="39"/>
      <c r="J5" s="26"/>
      <c r="K5" s="55" t="s">
        <v>137</v>
      </c>
      <c r="L5" s="47" t="s">
        <v>165</v>
      </c>
      <c r="N5" s="53" t="s">
        <v>197</v>
      </c>
    </row>
    <row r="6" spans="1:14" s="40" customFormat="1" ht="13.8" x14ac:dyDescent="0.25">
      <c r="A6" s="90"/>
      <c r="B6" s="17" t="s">
        <v>127</v>
      </c>
      <c r="C6" s="20">
        <v>1</v>
      </c>
      <c r="D6" s="39">
        <f>ROUNDUP((Summary!$P$5+Summary!$P$10)/9*2, 0)</f>
        <v>16</v>
      </c>
      <c r="E6" s="39" t="s">
        <v>136</v>
      </c>
      <c r="F6" s="20">
        <f t="shared" ref="F6:F7" si="1">D6*C6</f>
        <v>16</v>
      </c>
      <c r="G6" s="20"/>
      <c r="H6" s="39"/>
      <c r="I6" s="39"/>
      <c r="J6" s="26"/>
      <c r="K6" s="55" t="s">
        <v>137</v>
      </c>
      <c r="L6" s="50"/>
      <c r="N6" s="51" t="s">
        <v>198</v>
      </c>
    </row>
    <row r="7" spans="1:14" s="40" customFormat="1" ht="13.8" x14ac:dyDescent="0.25">
      <c r="A7" s="90"/>
      <c r="B7" s="17" t="s">
        <v>128</v>
      </c>
      <c r="C7" s="20">
        <v>6.68</v>
      </c>
      <c r="D7" s="39">
        <f>ROUNDUP((Summary!$P$5+Summary!$P$10)/10*2, 0)</f>
        <v>14</v>
      </c>
      <c r="E7" s="39" t="s">
        <v>148</v>
      </c>
      <c r="F7" s="20">
        <f t="shared" si="1"/>
        <v>93.52</v>
      </c>
      <c r="G7" s="20"/>
      <c r="H7" s="39"/>
      <c r="I7" s="39"/>
      <c r="J7" s="26"/>
      <c r="K7" s="61" t="s">
        <v>71</v>
      </c>
      <c r="L7" s="50"/>
      <c r="N7" s="54" t="s">
        <v>4</v>
      </c>
    </row>
    <row r="8" spans="1:14" s="40" customFormat="1" ht="13.8" x14ac:dyDescent="0.25">
      <c r="A8" s="90"/>
      <c r="B8" s="17" t="s">
        <v>129</v>
      </c>
      <c r="C8" s="20">
        <v>5.98</v>
      </c>
      <c r="D8" s="39">
        <f>ROUNDUP((Summary!$P$5+Summary!$P$10)/10*2, 0)</f>
        <v>14</v>
      </c>
      <c r="E8" s="39" t="s">
        <v>148</v>
      </c>
      <c r="F8" s="20">
        <f>D8*C8</f>
        <v>83.72</v>
      </c>
      <c r="G8" s="20"/>
      <c r="H8" s="39"/>
      <c r="I8" s="39"/>
      <c r="J8" s="26"/>
      <c r="K8" s="61" t="s">
        <v>71</v>
      </c>
      <c r="L8" s="50"/>
    </row>
    <row r="9" spans="1:14" s="40" customFormat="1" ht="13.8" x14ac:dyDescent="0.25">
      <c r="A9" s="90"/>
      <c r="B9" s="17" t="s">
        <v>130</v>
      </c>
      <c r="C9" s="20">
        <v>7.28</v>
      </c>
      <c r="D9" s="39">
        <v>2</v>
      </c>
      <c r="E9" s="39" t="s">
        <v>145</v>
      </c>
      <c r="F9" s="20">
        <f t="shared" ref="F9:F10" si="2">D9*C9</f>
        <v>14.56</v>
      </c>
      <c r="G9" s="20"/>
      <c r="H9" s="39"/>
      <c r="I9" s="39"/>
      <c r="J9" s="26"/>
      <c r="K9" s="61" t="s">
        <v>71</v>
      </c>
      <c r="L9" s="50"/>
    </row>
    <row r="10" spans="1:14" s="40" customFormat="1" ht="13.8" x14ac:dyDescent="0.25">
      <c r="A10" s="90"/>
      <c r="B10" s="17" t="s">
        <v>131</v>
      </c>
      <c r="C10" s="20">
        <v>7.28</v>
      </c>
      <c r="D10" s="39">
        <v>1</v>
      </c>
      <c r="E10" s="39" t="s">
        <v>145</v>
      </c>
      <c r="F10" s="20">
        <f t="shared" si="2"/>
        <v>7.28</v>
      </c>
      <c r="G10" s="20"/>
      <c r="H10" s="39"/>
      <c r="I10" s="39"/>
      <c r="J10" s="26"/>
      <c r="K10" s="61" t="s">
        <v>71</v>
      </c>
      <c r="L10" s="50"/>
    </row>
    <row r="11" spans="1:14" ht="13.8" x14ac:dyDescent="0.25">
      <c r="A11" s="90"/>
      <c r="B11" s="17" t="s">
        <v>132</v>
      </c>
      <c r="C11" s="20">
        <v>7.28</v>
      </c>
      <c r="D11" s="39">
        <v>1</v>
      </c>
      <c r="E11" s="39" t="s">
        <v>145</v>
      </c>
      <c r="F11" s="20">
        <f>D11*C11</f>
        <v>7.28</v>
      </c>
      <c r="G11" s="20"/>
      <c r="H11" s="39"/>
      <c r="I11" s="39"/>
      <c r="J11" s="26"/>
      <c r="K11" s="61" t="s">
        <v>71</v>
      </c>
      <c r="L11" s="50"/>
    </row>
    <row r="12" spans="1:14" ht="13.8" x14ac:dyDescent="0.25">
      <c r="A12" s="90"/>
      <c r="B12" s="17" t="s">
        <v>133</v>
      </c>
      <c r="C12" s="20">
        <v>7.28</v>
      </c>
      <c r="D12" s="39">
        <v>1</v>
      </c>
      <c r="E12" s="39" t="s">
        <v>145</v>
      </c>
      <c r="F12" s="20">
        <f>D12*C12</f>
        <v>7.28</v>
      </c>
      <c r="G12" s="20"/>
      <c r="H12" s="39"/>
      <c r="I12" s="39"/>
      <c r="J12" s="26"/>
      <c r="K12" s="61" t="s">
        <v>71</v>
      </c>
      <c r="L12" s="50"/>
    </row>
    <row r="13" spans="1:14" ht="13.8" x14ac:dyDescent="0.25">
      <c r="A13" s="90"/>
      <c r="B13" s="17" t="s">
        <v>69</v>
      </c>
      <c r="C13" s="20">
        <v>4.4800000000000004</v>
      </c>
      <c r="D13" s="39">
        <v>1</v>
      </c>
      <c r="E13" s="39" t="s">
        <v>149</v>
      </c>
      <c r="F13" s="20">
        <f t="shared" ref="F13:F22" si="3">D13*C13</f>
        <v>4.4800000000000004</v>
      </c>
      <c r="G13" s="20"/>
      <c r="I13" s="39"/>
      <c r="J13" s="26"/>
      <c r="K13" s="61" t="s">
        <v>71</v>
      </c>
      <c r="L13" s="50" t="s">
        <v>90</v>
      </c>
    </row>
    <row r="14" spans="1:14" ht="13.8" x14ac:dyDescent="0.25">
      <c r="A14" s="90"/>
      <c r="B14" s="17" t="s">
        <v>134</v>
      </c>
      <c r="C14" s="20">
        <v>3.88</v>
      </c>
      <c r="D14" s="39">
        <v>1</v>
      </c>
      <c r="E14" s="39" t="s">
        <v>166</v>
      </c>
      <c r="F14" s="20">
        <f t="shared" si="3"/>
        <v>3.88</v>
      </c>
      <c r="G14" s="20"/>
      <c r="H14" s="39"/>
      <c r="I14" s="39"/>
      <c r="J14" s="26"/>
      <c r="K14" s="61" t="s">
        <v>93</v>
      </c>
      <c r="L14" s="50" t="s">
        <v>90</v>
      </c>
    </row>
    <row r="15" spans="1:14" s="40" customFormat="1" ht="13.8" x14ac:dyDescent="0.25">
      <c r="A15" s="90"/>
      <c r="B15" s="17" t="s">
        <v>66</v>
      </c>
      <c r="C15" s="20">
        <v>2.48</v>
      </c>
      <c r="D15" s="39">
        <f>ROUNDUP((Summary!$P$5+Summary!$P$10)/20, 0)</f>
        <v>4</v>
      </c>
      <c r="E15" s="39" t="s">
        <v>167</v>
      </c>
      <c r="F15" s="20">
        <f t="shared" si="3"/>
        <v>9.92</v>
      </c>
      <c r="G15" s="20"/>
      <c r="H15" s="39"/>
      <c r="I15" s="39"/>
      <c r="J15" s="26"/>
      <c r="K15" s="61" t="s">
        <v>71</v>
      </c>
      <c r="L15" s="50"/>
    </row>
    <row r="16" spans="1:14" s="40" customFormat="1" ht="13.8" x14ac:dyDescent="0.25">
      <c r="A16" s="90"/>
      <c r="B16" s="17" t="s">
        <v>146</v>
      </c>
      <c r="C16" s="20">
        <v>4.34</v>
      </c>
      <c r="D16" s="39">
        <v>1</v>
      </c>
      <c r="E16" s="39" t="s">
        <v>169</v>
      </c>
      <c r="F16" s="20">
        <f t="shared" si="3"/>
        <v>4.34</v>
      </c>
      <c r="G16" s="20"/>
      <c r="H16" s="39"/>
      <c r="I16" s="39"/>
      <c r="J16" s="26"/>
      <c r="K16" s="61" t="s">
        <v>93</v>
      </c>
      <c r="L16" s="50" t="s">
        <v>90</v>
      </c>
    </row>
    <row r="17" spans="1:12" s="40" customFormat="1" ht="14.4" thickBot="1" x14ac:dyDescent="0.3">
      <c r="A17" s="91"/>
      <c r="B17" s="17" t="s">
        <v>147</v>
      </c>
      <c r="C17" s="20">
        <v>1.33</v>
      </c>
      <c r="D17" s="39">
        <v>1</v>
      </c>
      <c r="E17" s="39" t="s">
        <v>152</v>
      </c>
      <c r="F17" s="20">
        <f t="shared" si="3"/>
        <v>1.33</v>
      </c>
      <c r="G17" s="20"/>
      <c r="H17" s="39"/>
      <c r="I17" s="39"/>
      <c r="J17" s="26"/>
      <c r="K17" s="61" t="s">
        <v>93</v>
      </c>
      <c r="L17" s="50" t="s">
        <v>90</v>
      </c>
    </row>
    <row r="18" spans="1:12" s="40" customFormat="1" ht="13.8" x14ac:dyDescent="0.25">
      <c r="A18" s="92" t="s">
        <v>235</v>
      </c>
      <c r="B18" s="17" t="s">
        <v>150</v>
      </c>
      <c r="C18" s="20">
        <v>12.98</v>
      </c>
      <c r="D18" s="39">
        <f>ROUNDUP((Summary!$P$5+Summary!$P$10)/50, 0)</f>
        <v>2</v>
      </c>
      <c r="E18" s="39" t="s">
        <v>168</v>
      </c>
      <c r="F18" s="20">
        <f>D18*C18</f>
        <v>25.96</v>
      </c>
      <c r="G18" s="20"/>
      <c r="H18" s="39"/>
      <c r="I18" s="39"/>
      <c r="J18" s="26"/>
      <c r="K18" s="61" t="s">
        <v>71</v>
      </c>
      <c r="L18" s="50"/>
    </row>
    <row r="19" spans="1:12" s="40" customFormat="1" ht="13.8" x14ac:dyDescent="0.25">
      <c r="A19" s="93"/>
      <c r="B19" s="17" t="s">
        <v>119</v>
      </c>
      <c r="C19" s="20">
        <v>9.98</v>
      </c>
      <c r="D19" s="39">
        <v>2</v>
      </c>
      <c r="E19" s="39" t="s">
        <v>120</v>
      </c>
      <c r="F19" s="20">
        <f t="shared" si="3"/>
        <v>19.96</v>
      </c>
      <c r="G19" s="20"/>
      <c r="H19" s="39"/>
      <c r="I19" s="39"/>
      <c r="J19" s="26"/>
      <c r="K19" s="61" t="s">
        <v>71</v>
      </c>
      <c r="L19" s="50"/>
    </row>
    <row r="20" spans="1:12" s="40" customFormat="1" ht="13.8" x14ac:dyDescent="0.25">
      <c r="A20" s="93"/>
      <c r="B20" s="17" t="s">
        <v>180</v>
      </c>
      <c r="C20" s="20">
        <v>0.18</v>
      </c>
      <c r="D20" s="39">
        <f>Summary!$P$5+Summary!$P$10</f>
        <v>70</v>
      </c>
      <c r="E20" s="39" t="s">
        <v>181</v>
      </c>
      <c r="F20" s="20">
        <f t="shared" si="3"/>
        <v>12.6</v>
      </c>
      <c r="G20" s="20"/>
      <c r="H20" s="39"/>
      <c r="I20" s="39"/>
      <c r="J20" s="26"/>
      <c r="K20" s="61" t="s">
        <v>93</v>
      </c>
      <c r="L20" s="50"/>
    </row>
    <row r="21" spans="1:12" s="40" customFormat="1" ht="13.8" x14ac:dyDescent="0.25">
      <c r="A21" s="93"/>
      <c r="B21" s="17" t="s">
        <v>182</v>
      </c>
      <c r="C21" s="20">
        <v>0.5</v>
      </c>
      <c r="D21" s="39">
        <f>Summary!$P$5+Summary!$P$10</f>
        <v>70</v>
      </c>
      <c r="E21" s="39" t="s">
        <v>183</v>
      </c>
      <c r="F21" s="20">
        <f t="shared" si="3"/>
        <v>35</v>
      </c>
      <c r="G21" s="20"/>
      <c r="H21" s="39"/>
      <c r="I21" s="39"/>
      <c r="J21" s="26"/>
      <c r="K21" s="61" t="s">
        <v>93</v>
      </c>
      <c r="L21" s="50"/>
    </row>
    <row r="22" spans="1:12" s="40" customFormat="1" ht="14.4" thickBot="1" x14ac:dyDescent="0.3">
      <c r="A22" s="94"/>
      <c r="B22" s="17" t="s">
        <v>184</v>
      </c>
      <c r="C22" s="20">
        <v>3.47</v>
      </c>
      <c r="D22" s="39">
        <f>ROUNDUP((Summary!$P$5+Summary!$P$10)/20,0)</f>
        <v>4</v>
      </c>
      <c r="E22" s="39" t="s">
        <v>185</v>
      </c>
      <c r="F22" s="20">
        <f t="shared" si="3"/>
        <v>13.88</v>
      </c>
      <c r="G22" s="20"/>
      <c r="H22" s="39"/>
      <c r="I22" s="39"/>
      <c r="J22" s="26"/>
      <c r="K22" s="61" t="s">
        <v>93</v>
      </c>
      <c r="L22" s="50"/>
    </row>
    <row r="23" spans="1:12" s="40" customFormat="1" ht="14.4" thickBot="1" x14ac:dyDescent="0.3">
      <c r="A23" s="64" t="s">
        <v>170</v>
      </c>
      <c r="B23" s="17" t="s">
        <v>163</v>
      </c>
      <c r="C23" s="46">
        <v>2.68</v>
      </c>
      <c r="D23" s="39">
        <f>ROUNDUP((Summary!$P$5+Summary!$P$10)/18,0)</f>
        <v>4</v>
      </c>
      <c r="E23" s="39" t="s">
        <v>151</v>
      </c>
      <c r="F23" s="20">
        <f>D23*C23</f>
        <v>10.72</v>
      </c>
      <c r="J23" s="26"/>
      <c r="K23" s="61" t="s">
        <v>93</v>
      </c>
      <c r="L23" s="50"/>
    </row>
    <row r="24" spans="1:12" s="40" customFormat="1" ht="14.4" thickBot="1" x14ac:dyDescent="0.3">
      <c r="A24" s="64" t="s">
        <v>236</v>
      </c>
      <c r="B24" s="17" t="s">
        <v>228</v>
      </c>
      <c r="C24" s="46">
        <v>12.78</v>
      </c>
      <c r="D24" s="39">
        <f>ROUNDUP((Summary!$P$5)/28,0)</f>
        <v>3</v>
      </c>
      <c r="E24" s="39" t="s">
        <v>229</v>
      </c>
      <c r="F24" s="20">
        <f>D24*C24</f>
        <v>38.339999999999996</v>
      </c>
      <c r="J24" s="26"/>
      <c r="K24" s="61" t="s">
        <v>71</v>
      </c>
      <c r="L24" s="50"/>
    </row>
    <row r="25" spans="1:12" s="40" customFormat="1" x14ac:dyDescent="0.25">
      <c r="A25" s="65"/>
      <c r="B25" s="42" t="s">
        <v>84</v>
      </c>
      <c r="C25" s="26"/>
      <c r="D25" s="36"/>
      <c r="E25" s="36"/>
      <c r="F25" s="26">
        <f>SUM(F5:F23)*0.025</f>
        <v>9.6927500000000002</v>
      </c>
      <c r="H25" s="36"/>
      <c r="I25" s="36"/>
      <c r="J25" s="36"/>
      <c r="K25" s="32"/>
      <c r="L25" s="41"/>
    </row>
    <row r="26" spans="1:12" x14ac:dyDescent="0.25">
      <c r="B26" s="27" t="s">
        <v>14</v>
      </c>
      <c r="C26" s="28"/>
      <c r="D26" s="29"/>
      <c r="E26" s="29"/>
      <c r="F26" s="28">
        <f>SUM(F5:F25)</f>
        <v>435.74274999999994</v>
      </c>
      <c r="G26" s="56" t="s">
        <v>205</v>
      </c>
      <c r="H26" s="28">
        <f>F26/Summary!$P$5</f>
        <v>7.2623791666666655</v>
      </c>
      <c r="I26" s="29"/>
      <c r="J26" s="28">
        <f>SUM(J5:J25)</f>
        <v>0</v>
      </c>
      <c r="K26" s="32"/>
      <c r="L26" s="41"/>
    </row>
    <row r="29" spans="1:12" x14ac:dyDescent="0.25">
      <c r="J29" s="41"/>
      <c r="K29" s="32"/>
      <c r="L29" s="41"/>
    </row>
    <row r="30" spans="1:12" x14ac:dyDescent="0.25">
      <c r="B30" s="70" t="s">
        <v>57</v>
      </c>
      <c r="C30" s="72" t="s">
        <v>4</v>
      </c>
      <c r="D30" s="73"/>
      <c r="E30" s="73"/>
      <c r="F30" s="74"/>
      <c r="G30" s="72" t="s">
        <v>5</v>
      </c>
      <c r="H30" s="73"/>
      <c r="I30" s="73"/>
      <c r="J30" s="73"/>
      <c r="K30" s="32"/>
      <c r="L30" s="41"/>
    </row>
    <row r="31" spans="1:12" ht="13.8" thickBot="1" x14ac:dyDescent="0.3">
      <c r="B31" s="71"/>
      <c r="C31" s="7" t="s">
        <v>11</v>
      </c>
      <c r="D31" s="7" t="s">
        <v>12</v>
      </c>
      <c r="E31" s="7" t="s">
        <v>13</v>
      </c>
      <c r="F31" s="7" t="s">
        <v>14</v>
      </c>
      <c r="G31" s="7" t="s">
        <v>11</v>
      </c>
      <c r="H31" s="7" t="s">
        <v>12</v>
      </c>
      <c r="I31" s="7" t="s">
        <v>13</v>
      </c>
      <c r="J31" s="7" t="s">
        <v>14</v>
      </c>
      <c r="K31" s="32"/>
      <c r="L31" s="41"/>
    </row>
    <row r="32" spans="1:12" ht="13.8" x14ac:dyDescent="0.25">
      <c r="A32" s="95" t="s">
        <v>77</v>
      </c>
      <c r="B32" s="17" t="s">
        <v>61</v>
      </c>
      <c r="C32" s="20">
        <v>3.04</v>
      </c>
      <c r="D32" s="39">
        <f>ROUNDUP((Summary!$P$5+Summary!$P$10)*0.08, 0)</f>
        <v>6</v>
      </c>
      <c r="E32" s="39" t="s">
        <v>72</v>
      </c>
      <c r="F32" s="20">
        <f>D32*C32</f>
        <v>18.240000000000002</v>
      </c>
      <c r="G32" s="20"/>
      <c r="H32" s="39"/>
      <c r="I32" s="39"/>
      <c r="J32" s="26"/>
      <c r="K32" s="61" t="s">
        <v>71</v>
      </c>
      <c r="L32" s="47" t="s">
        <v>209</v>
      </c>
    </row>
    <row r="33" spans="1:12" ht="13.8" x14ac:dyDescent="0.25">
      <c r="A33" s="96"/>
      <c r="B33" s="17" t="s">
        <v>78</v>
      </c>
      <c r="C33" s="20">
        <v>5.98</v>
      </c>
      <c r="D33" s="39">
        <v>1</v>
      </c>
      <c r="E33" s="39" t="s">
        <v>79</v>
      </c>
      <c r="F33" s="20">
        <f>C33*D33</f>
        <v>5.98</v>
      </c>
      <c r="G33" s="20"/>
      <c r="H33" s="39"/>
      <c r="I33" s="39"/>
      <c r="J33" s="26"/>
      <c r="K33" s="61" t="s">
        <v>71</v>
      </c>
      <c r="L33" s="50" t="s">
        <v>82</v>
      </c>
    </row>
    <row r="34" spans="1:12" ht="13.8" x14ac:dyDescent="0.25">
      <c r="A34" s="96"/>
      <c r="B34" s="17" t="s">
        <v>80</v>
      </c>
      <c r="C34" s="20">
        <v>3.98</v>
      </c>
      <c r="D34" s="39">
        <v>1</v>
      </c>
      <c r="E34" s="39" t="s">
        <v>81</v>
      </c>
      <c r="F34" s="20">
        <f>C34*D34</f>
        <v>3.98</v>
      </c>
      <c r="G34" s="20"/>
      <c r="H34" s="39"/>
      <c r="I34" s="39"/>
      <c r="J34" s="26"/>
      <c r="K34" s="61" t="s">
        <v>71</v>
      </c>
      <c r="L34" s="50" t="s">
        <v>83</v>
      </c>
    </row>
    <row r="35" spans="1:12" ht="13.8" x14ac:dyDescent="0.25">
      <c r="A35" s="96"/>
      <c r="B35" s="17" t="s">
        <v>85</v>
      </c>
      <c r="C35" s="20">
        <v>3.44</v>
      </c>
      <c r="D35" s="39">
        <v>1</v>
      </c>
      <c r="E35" s="39" t="s">
        <v>86</v>
      </c>
      <c r="F35" s="20">
        <f>C35*D35</f>
        <v>3.44</v>
      </c>
      <c r="G35" s="20"/>
      <c r="H35" s="39"/>
      <c r="I35" s="39"/>
      <c r="J35" s="26"/>
      <c r="K35" s="61" t="s">
        <v>71</v>
      </c>
      <c r="L35" s="50" t="s">
        <v>87</v>
      </c>
    </row>
    <row r="36" spans="1:12" ht="13.8" x14ac:dyDescent="0.25">
      <c r="A36" s="96"/>
      <c r="B36" s="17" t="s">
        <v>88</v>
      </c>
      <c r="C36" s="20">
        <v>4.9800000000000004</v>
      </c>
      <c r="D36" s="39">
        <v>1</v>
      </c>
      <c r="E36" s="39" t="s">
        <v>89</v>
      </c>
      <c r="F36" s="20">
        <f t="shared" ref="F36:F43" si="4">C36*D36</f>
        <v>4.9800000000000004</v>
      </c>
      <c r="G36" s="20"/>
      <c r="H36" s="39"/>
      <c r="I36" s="39"/>
      <c r="J36" s="26"/>
      <c r="K36" s="61" t="s">
        <v>71</v>
      </c>
      <c r="L36" s="47" t="s">
        <v>90</v>
      </c>
    </row>
    <row r="37" spans="1:12" ht="13.8" x14ac:dyDescent="0.25">
      <c r="A37" s="96"/>
      <c r="B37" s="17" t="s">
        <v>91</v>
      </c>
      <c r="C37" s="20">
        <v>2.68</v>
      </c>
      <c r="D37" s="39">
        <v>1</v>
      </c>
      <c r="E37" s="39" t="s">
        <v>92</v>
      </c>
      <c r="F37" s="20">
        <f t="shared" si="4"/>
        <v>2.68</v>
      </c>
      <c r="G37" s="20"/>
      <c r="H37" s="39"/>
      <c r="I37" s="39"/>
      <c r="J37" s="26"/>
      <c r="K37" s="61" t="s">
        <v>93</v>
      </c>
      <c r="L37" s="47" t="s">
        <v>94</v>
      </c>
    </row>
    <row r="38" spans="1:12" ht="13.8" x14ac:dyDescent="0.25">
      <c r="A38" s="96"/>
      <c r="B38" s="17" t="s">
        <v>96</v>
      </c>
      <c r="C38" s="20">
        <v>0.98</v>
      </c>
      <c r="D38" s="39">
        <v>1</v>
      </c>
      <c r="E38" s="39" t="s">
        <v>92</v>
      </c>
      <c r="F38" s="20">
        <f>C38*D38</f>
        <v>0.98</v>
      </c>
      <c r="G38" s="20"/>
      <c r="H38" s="39"/>
      <c r="I38" s="39"/>
      <c r="J38" s="26"/>
      <c r="K38" s="61" t="s">
        <v>93</v>
      </c>
      <c r="L38" s="47" t="s">
        <v>97</v>
      </c>
    </row>
    <row r="39" spans="1:12" ht="13.8" x14ac:dyDescent="0.25">
      <c r="A39" s="96"/>
      <c r="B39" s="17" t="s">
        <v>95</v>
      </c>
      <c r="C39" s="20">
        <v>0.98</v>
      </c>
      <c r="D39" s="39">
        <v>1</v>
      </c>
      <c r="E39" s="39" t="s">
        <v>92</v>
      </c>
      <c r="F39" s="20">
        <f>C39*D39</f>
        <v>0.98</v>
      </c>
      <c r="G39" s="20"/>
      <c r="H39" s="39"/>
      <c r="I39" s="39"/>
      <c r="J39" s="26"/>
      <c r="K39" s="61" t="s">
        <v>93</v>
      </c>
      <c r="L39" s="47" t="s">
        <v>97</v>
      </c>
    </row>
    <row r="40" spans="1:12" ht="13.8" x14ac:dyDescent="0.25">
      <c r="A40" s="96"/>
      <c r="B40" s="33" t="s">
        <v>98</v>
      </c>
      <c r="C40" s="25">
        <v>1.1599999999999999</v>
      </c>
      <c r="D40" s="37">
        <f>ROUNDUP(2.5*D32/4,0)</f>
        <v>4</v>
      </c>
      <c r="E40" s="37" t="s">
        <v>72</v>
      </c>
      <c r="F40" s="20">
        <f t="shared" ref="F40" si="5">C40*D40</f>
        <v>4.6399999999999997</v>
      </c>
      <c r="G40" s="37"/>
      <c r="H40" s="37"/>
      <c r="I40" s="37"/>
      <c r="J40" s="36"/>
      <c r="K40" s="61" t="s">
        <v>93</v>
      </c>
      <c r="L40" s="47" t="s">
        <v>99</v>
      </c>
    </row>
    <row r="41" spans="1:12" ht="13.8" x14ac:dyDescent="0.25">
      <c r="A41" s="96"/>
      <c r="B41" s="33" t="s">
        <v>100</v>
      </c>
      <c r="C41" s="25">
        <v>0.36</v>
      </c>
      <c r="D41" s="37">
        <v>1</v>
      </c>
      <c r="E41" s="37" t="s">
        <v>92</v>
      </c>
      <c r="F41" s="20">
        <f t="shared" si="4"/>
        <v>0.36</v>
      </c>
      <c r="G41" s="37"/>
      <c r="H41" s="37"/>
      <c r="I41" s="37"/>
      <c r="J41" s="36"/>
      <c r="K41" s="61" t="s">
        <v>93</v>
      </c>
      <c r="L41" s="47" t="s">
        <v>94</v>
      </c>
    </row>
    <row r="42" spans="1:12" s="40" customFormat="1" ht="13.8" x14ac:dyDescent="0.25">
      <c r="A42" s="96"/>
      <c r="B42" s="42" t="s">
        <v>101</v>
      </c>
      <c r="C42" s="26">
        <v>1.84</v>
      </c>
      <c r="D42" s="36">
        <v>1</v>
      </c>
      <c r="E42" s="36" t="s">
        <v>92</v>
      </c>
      <c r="F42" s="20">
        <f t="shared" si="4"/>
        <v>1.84</v>
      </c>
      <c r="G42" s="36"/>
      <c r="H42" s="36"/>
      <c r="I42" s="36"/>
      <c r="J42" s="36"/>
      <c r="K42" s="61" t="s">
        <v>93</v>
      </c>
      <c r="L42" s="47" t="s">
        <v>97</v>
      </c>
    </row>
    <row r="43" spans="1:12" s="40" customFormat="1" ht="13.8" x14ac:dyDescent="0.25">
      <c r="A43" s="96"/>
      <c r="B43" s="42" t="s">
        <v>102</v>
      </c>
      <c r="C43" s="26">
        <v>14.32</v>
      </c>
      <c r="D43" s="36">
        <v>1</v>
      </c>
      <c r="E43" s="36" t="s">
        <v>103</v>
      </c>
      <c r="F43" s="20">
        <f t="shared" si="4"/>
        <v>14.32</v>
      </c>
      <c r="G43" s="36"/>
      <c r="H43" s="36"/>
      <c r="I43" s="36"/>
      <c r="J43" s="36"/>
      <c r="K43" s="61" t="s">
        <v>71</v>
      </c>
      <c r="L43" s="47" t="s">
        <v>104</v>
      </c>
    </row>
    <row r="44" spans="1:12" s="40" customFormat="1" ht="13.8" x14ac:dyDescent="0.25">
      <c r="A44" s="96"/>
      <c r="B44" s="42" t="s">
        <v>107</v>
      </c>
      <c r="C44" s="26">
        <v>4.68</v>
      </c>
      <c r="D44" s="36">
        <v>1</v>
      </c>
      <c r="E44" s="36" t="s">
        <v>108</v>
      </c>
      <c r="F44" s="20">
        <f t="shared" ref="F44:F53" si="6">C44*D44</f>
        <v>4.68</v>
      </c>
      <c r="G44" s="36"/>
      <c r="H44" s="36"/>
      <c r="I44" s="36"/>
      <c r="J44" s="36"/>
      <c r="K44" s="61" t="s">
        <v>93</v>
      </c>
      <c r="L44" s="47" t="s">
        <v>94</v>
      </c>
    </row>
    <row r="45" spans="1:12" s="40" customFormat="1" ht="14.4" thickBot="1" x14ac:dyDescent="0.3">
      <c r="A45" s="97"/>
      <c r="B45" s="42" t="s">
        <v>105</v>
      </c>
      <c r="C45" s="26">
        <v>3.44</v>
      </c>
      <c r="D45" s="36">
        <f>ROUNDUP(D32/5*2.5/2,0)</f>
        <v>2</v>
      </c>
      <c r="E45" s="36" t="s">
        <v>106</v>
      </c>
      <c r="F45" s="20">
        <f t="shared" si="6"/>
        <v>6.88</v>
      </c>
      <c r="G45" s="36"/>
      <c r="H45" s="36"/>
      <c r="I45" s="36"/>
      <c r="J45" s="36"/>
      <c r="K45" s="61" t="s">
        <v>93</v>
      </c>
      <c r="L45" s="47" t="s">
        <v>135</v>
      </c>
    </row>
    <row r="46" spans="1:12" ht="13.8" x14ac:dyDescent="0.25">
      <c r="A46" s="89" t="s">
        <v>239</v>
      </c>
      <c r="B46" s="42" t="s">
        <v>109</v>
      </c>
      <c r="C46" s="26">
        <v>0.76</v>
      </c>
      <c r="D46" s="36">
        <f>ROUNDUP((Summary!$P$5+Summary!$P$10)/5/10,0)</f>
        <v>2</v>
      </c>
      <c r="E46" s="36" t="s">
        <v>113</v>
      </c>
      <c r="F46" s="20">
        <f t="shared" si="6"/>
        <v>1.52</v>
      </c>
      <c r="G46" s="36"/>
      <c r="H46" s="36"/>
      <c r="I46" s="36"/>
      <c r="J46" s="36"/>
      <c r="K46" s="61" t="s">
        <v>93</v>
      </c>
      <c r="L46" s="47"/>
    </row>
    <row r="47" spans="1:12" s="40" customFormat="1" ht="13.8" x14ac:dyDescent="0.25">
      <c r="A47" s="90"/>
      <c r="B47" s="42" t="s">
        <v>110</v>
      </c>
      <c r="C47" s="26">
        <v>0.67</v>
      </c>
      <c r="D47" s="36">
        <v>1</v>
      </c>
      <c r="E47" s="36" t="s">
        <v>72</v>
      </c>
      <c r="F47" s="20">
        <f t="shared" si="6"/>
        <v>0.67</v>
      </c>
      <c r="G47" s="36"/>
      <c r="H47" s="36"/>
      <c r="I47" s="36"/>
      <c r="J47" s="36"/>
      <c r="K47" s="61" t="s">
        <v>93</v>
      </c>
      <c r="L47" s="47" t="s">
        <v>111</v>
      </c>
    </row>
    <row r="48" spans="1:12" s="40" customFormat="1" ht="13.8" x14ac:dyDescent="0.25">
      <c r="A48" s="90"/>
      <c r="B48" s="42" t="s">
        <v>112</v>
      </c>
      <c r="C48" s="26">
        <v>1.38</v>
      </c>
      <c r="D48" s="36">
        <f>ROUNDUP((Summary!$P$5+Summary!$P$10)/5/10,0)</f>
        <v>2</v>
      </c>
      <c r="E48" s="36" t="s">
        <v>113</v>
      </c>
      <c r="F48" s="20">
        <f t="shared" si="6"/>
        <v>2.76</v>
      </c>
      <c r="G48" s="36"/>
      <c r="H48" s="36"/>
      <c r="I48" s="36"/>
      <c r="J48" s="36"/>
      <c r="K48" s="61" t="s">
        <v>93</v>
      </c>
      <c r="L48" s="47" t="s">
        <v>111</v>
      </c>
    </row>
    <row r="49" spans="1:12" s="40" customFormat="1" ht="14.4" thickBot="1" x14ac:dyDescent="0.3">
      <c r="A49" s="91"/>
      <c r="B49" s="42" t="s">
        <v>114</v>
      </c>
      <c r="C49" s="26">
        <v>1.54</v>
      </c>
      <c r="D49" s="36">
        <f>ROUNDUP((Summary!$P$5+Summary!$P$10)/5/16,0)</f>
        <v>1</v>
      </c>
      <c r="E49" s="36" t="s">
        <v>115</v>
      </c>
      <c r="F49" s="20">
        <f t="shared" si="6"/>
        <v>1.54</v>
      </c>
      <c r="G49" s="36"/>
      <c r="H49" s="36"/>
      <c r="I49" s="36"/>
      <c r="J49" s="36"/>
      <c r="K49" s="61" t="s">
        <v>93</v>
      </c>
      <c r="L49" s="47"/>
    </row>
    <row r="50" spans="1:12" s="40" customFormat="1" ht="14.4" thickBot="1" x14ac:dyDescent="0.3">
      <c r="A50" s="64" t="s">
        <v>116</v>
      </c>
      <c r="B50" s="42" t="s">
        <v>118</v>
      </c>
      <c r="C50" s="26">
        <v>4.75</v>
      </c>
      <c r="D50" s="36">
        <f>ROUNDUP((Summary!$P$5+Summary!$P$10)/16,0)</f>
        <v>5</v>
      </c>
      <c r="E50" s="36" t="s">
        <v>117</v>
      </c>
      <c r="F50" s="20">
        <f t="shared" si="6"/>
        <v>23.75</v>
      </c>
      <c r="G50" s="36"/>
      <c r="H50" s="36"/>
      <c r="I50" s="36"/>
      <c r="J50" s="36"/>
      <c r="K50" s="61" t="s">
        <v>71</v>
      </c>
      <c r="L50" s="47" t="s">
        <v>125</v>
      </c>
    </row>
    <row r="51" spans="1:12" s="40" customFormat="1" ht="14.4" thickBot="1" x14ac:dyDescent="0.3">
      <c r="A51" s="64" t="s">
        <v>121</v>
      </c>
      <c r="B51" s="42" t="s">
        <v>122</v>
      </c>
      <c r="C51" s="26">
        <v>1.06</v>
      </c>
      <c r="D51" s="36">
        <f>ROUNDUP((Summary!$P$5+Summary!$P$10)/2, 0)</f>
        <v>35</v>
      </c>
      <c r="E51" s="36" t="s">
        <v>123</v>
      </c>
      <c r="F51" s="20">
        <f t="shared" si="6"/>
        <v>37.1</v>
      </c>
      <c r="G51" s="36"/>
      <c r="H51" s="36"/>
      <c r="I51" s="36"/>
      <c r="J51" s="36"/>
      <c r="K51" s="61" t="s">
        <v>93</v>
      </c>
      <c r="L51" s="47" t="s">
        <v>124</v>
      </c>
    </row>
    <row r="52" spans="1:12" s="40" customFormat="1" ht="14.4" thickBot="1" x14ac:dyDescent="0.3">
      <c r="A52" s="64" t="s">
        <v>170</v>
      </c>
      <c r="B52" s="42" t="s">
        <v>153</v>
      </c>
      <c r="C52" s="26">
        <v>44.78</v>
      </c>
      <c r="D52" s="36">
        <v>1</v>
      </c>
      <c r="E52" s="36" t="s">
        <v>154</v>
      </c>
      <c r="F52" s="20">
        <f t="shared" si="6"/>
        <v>44.78</v>
      </c>
      <c r="G52" s="36"/>
      <c r="H52" s="36"/>
      <c r="I52" s="36"/>
      <c r="J52" s="36"/>
      <c r="K52" s="61" t="s">
        <v>71</v>
      </c>
      <c r="L52" s="47" t="s">
        <v>155</v>
      </c>
    </row>
    <row r="53" spans="1:12" s="43" customFormat="1" ht="14.4" thickBot="1" x14ac:dyDescent="0.3">
      <c r="A53" s="64" t="s">
        <v>236</v>
      </c>
      <c r="B53" s="42" t="s">
        <v>232</v>
      </c>
      <c r="C53" s="63">
        <v>2.72</v>
      </c>
      <c r="D53" s="36">
        <f>ROUNDUP(Summary!P5/8,0)</f>
        <v>8</v>
      </c>
      <c r="E53" s="36" t="s">
        <v>233</v>
      </c>
      <c r="F53" s="20">
        <f t="shared" si="6"/>
        <v>21.76</v>
      </c>
      <c r="G53" s="36"/>
      <c r="H53" s="36"/>
      <c r="I53" s="36"/>
      <c r="J53" s="36"/>
      <c r="K53" s="61" t="s">
        <v>71</v>
      </c>
      <c r="L53" s="47"/>
    </row>
    <row r="54" spans="1:12" x14ac:dyDescent="0.25">
      <c r="B54" s="42" t="s">
        <v>84</v>
      </c>
      <c r="C54" s="26"/>
      <c r="D54" s="36"/>
      <c r="E54" s="36"/>
      <c r="F54" s="26">
        <f>SUM(F32:F51)*0.025</f>
        <v>3.5329999999999999</v>
      </c>
      <c r="G54" s="36"/>
      <c r="H54" s="36"/>
      <c r="I54" s="36"/>
      <c r="J54" s="36"/>
      <c r="K54" s="32"/>
      <c r="L54" s="41"/>
    </row>
    <row r="55" spans="1:12" x14ac:dyDescent="0.25">
      <c r="B55" s="27" t="s">
        <v>14</v>
      </c>
      <c r="C55" s="28"/>
      <c r="D55" s="29"/>
      <c r="E55" s="29"/>
      <c r="F55" s="28">
        <f>SUM(F32:F54)</f>
        <v>211.39299999999997</v>
      </c>
      <c r="G55" s="56" t="s">
        <v>205</v>
      </c>
      <c r="H55" s="28">
        <f>F55/Summary!$P$5</f>
        <v>3.523216666666666</v>
      </c>
      <c r="I55" s="29"/>
      <c r="J55" s="28">
        <f>SUM(J32:J41)</f>
        <v>0</v>
      </c>
      <c r="K55" s="32"/>
      <c r="L55" s="41"/>
    </row>
    <row r="56" spans="1:12" x14ac:dyDescent="0.25">
      <c r="J56" s="41"/>
      <c r="K56" s="32"/>
      <c r="L56" s="41"/>
    </row>
    <row r="57" spans="1:12" x14ac:dyDescent="0.25">
      <c r="B57" s="70" t="s">
        <v>58</v>
      </c>
      <c r="C57" s="72" t="s">
        <v>4</v>
      </c>
      <c r="D57" s="73"/>
      <c r="E57" s="73"/>
      <c r="F57" s="74"/>
      <c r="G57" s="72" t="s">
        <v>5</v>
      </c>
      <c r="H57" s="73"/>
      <c r="I57" s="73"/>
      <c r="J57" s="73"/>
      <c r="K57" s="32"/>
      <c r="L57" s="41"/>
    </row>
    <row r="58" spans="1:12" ht="13.8" thickBot="1" x14ac:dyDescent="0.3">
      <c r="B58" s="71"/>
      <c r="C58" s="7" t="s">
        <v>11</v>
      </c>
      <c r="D58" s="7" t="s">
        <v>12</v>
      </c>
      <c r="E58" s="7" t="s">
        <v>13</v>
      </c>
      <c r="F58" s="7" t="s">
        <v>14</v>
      </c>
      <c r="G58" s="7" t="s">
        <v>11</v>
      </c>
      <c r="H58" s="7" t="s">
        <v>12</v>
      </c>
      <c r="I58" s="7" t="s">
        <v>13</v>
      </c>
      <c r="J58" s="7" t="s">
        <v>14</v>
      </c>
      <c r="K58" s="32"/>
      <c r="L58" s="41"/>
    </row>
    <row r="59" spans="1:12" ht="13.8" customHeight="1" x14ac:dyDescent="0.25">
      <c r="A59" s="89" t="s">
        <v>234</v>
      </c>
      <c r="B59" s="17" t="s">
        <v>126</v>
      </c>
      <c r="C59" s="20">
        <v>1</v>
      </c>
      <c r="D59" s="39">
        <f>ROUNDUP(D5/2, 0)</f>
        <v>8</v>
      </c>
      <c r="E59" s="39" t="s">
        <v>136</v>
      </c>
      <c r="F59" s="20">
        <f t="shared" ref="F59:F61" si="7">D59*C59</f>
        <v>8</v>
      </c>
      <c r="G59" s="20"/>
      <c r="H59" s="39"/>
      <c r="I59" s="39"/>
      <c r="J59" s="26"/>
      <c r="K59" s="55" t="s">
        <v>137</v>
      </c>
      <c r="L59" s="50" t="s">
        <v>164</v>
      </c>
    </row>
    <row r="60" spans="1:12" ht="13.8" x14ac:dyDescent="0.25">
      <c r="A60" s="90"/>
      <c r="B60" s="17" t="s">
        <v>127</v>
      </c>
      <c r="C60" s="20">
        <v>1</v>
      </c>
      <c r="D60" s="39">
        <f>ROUNDUP(D6/2, 0)</f>
        <v>8</v>
      </c>
      <c r="E60" s="39" t="s">
        <v>136</v>
      </c>
      <c r="F60" s="20">
        <f t="shared" si="7"/>
        <v>8</v>
      </c>
      <c r="G60" s="20"/>
      <c r="H60" s="39"/>
      <c r="I60" s="39"/>
      <c r="J60" s="26"/>
      <c r="K60" s="55" t="s">
        <v>137</v>
      </c>
      <c r="L60" s="50"/>
    </row>
    <row r="61" spans="1:12" s="40" customFormat="1" ht="13.8" x14ac:dyDescent="0.25">
      <c r="A61" s="90"/>
      <c r="B61" s="17" t="s">
        <v>128</v>
      </c>
      <c r="C61" s="20">
        <v>6.68</v>
      </c>
      <c r="D61" s="39">
        <f>ROUNDUP(D7/2, 0)</f>
        <v>7</v>
      </c>
      <c r="E61" s="39" t="s">
        <v>148</v>
      </c>
      <c r="F61" s="20">
        <f t="shared" si="7"/>
        <v>46.76</v>
      </c>
      <c r="G61" s="20"/>
      <c r="H61" s="39"/>
      <c r="I61" s="39"/>
      <c r="J61" s="26"/>
      <c r="K61" s="61" t="s">
        <v>71</v>
      </c>
      <c r="L61" s="50"/>
    </row>
    <row r="62" spans="1:12" s="40" customFormat="1" ht="13.8" x14ac:dyDescent="0.25">
      <c r="A62" s="90"/>
      <c r="B62" s="17" t="s">
        <v>129</v>
      </c>
      <c r="C62" s="20">
        <v>5.98</v>
      </c>
      <c r="D62" s="39">
        <f>ROUNDUP(D8/2, 0)</f>
        <v>7</v>
      </c>
      <c r="E62" s="39" t="s">
        <v>148</v>
      </c>
      <c r="F62" s="20">
        <f>D62*C62</f>
        <v>41.86</v>
      </c>
      <c r="G62" s="20"/>
      <c r="H62" s="39"/>
      <c r="I62" s="39"/>
      <c r="J62" s="26"/>
      <c r="K62" s="61" t="s">
        <v>71</v>
      </c>
      <c r="L62" s="50"/>
    </row>
    <row r="63" spans="1:12" s="40" customFormat="1" ht="13.8" x14ac:dyDescent="0.25">
      <c r="A63" s="90"/>
      <c r="B63" s="17" t="s">
        <v>130</v>
      </c>
      <c r="C63" s="20">
        <v>7.28</v>
      </c>
      <c r="D63" s="39">
        <v>1</v>
      </c>
      <c r="E63" s="39" t="s">
        <v>145</v>
      </c>
      <c r="F63" s="20">
        <f t="shared" ref="F63:F69" si="8">D63*C63</f>
        <v>7.28</v>
      </c>
      <c r="G63" s="20"/>
      <c r="H63" s="39"/>
      <c r="I63" s="39"/>
      <c r="J63" s="26"/>
      <c r="K63" s="61" t="s">
        <v>71</v>
      </c>
      <c r="L63" s="50"/>
    </row>
    <row r="64" spans="1:12" s="40" customFormat="1" ht="14.4" thickBot="1" x14ac:dyDescent="0.3">
      <c r="A64" s="91"/>
      <c r="B64" s="17" t="s">
        <v>66</v>
      </c>
      <c r="C64" s="20">
        <v>2.48</v>
      </c>
      <c r="D64" s="39">
        <f>ROUNDUP(D15/2, 0)</f>
        <v>2</v>
      </c>
      <c r="E64" s="39" t="s">
        <v>167</v>
      </c>
      <c r="F64" s="20">
        <f t="shared" si="8"/>
        <v>4.96</v>
      </c>
      <c r="G64" s="20"/>
      <c r="H64" s="39"/>
      <c r="I64" s="39"/>
      <c r="J64" s="26">
        <f t="shared" ref="J64:J66" si="9">H64*G64</f>
        <v>0</v>
      </c>
      <c r="K64" s="61" t="s">
        <v>71</v>
      </c>
      <c r="L64" s="50"/>
    </row>
    <row r="65" spans="1:12" s="40" customFormat="1" ht="13.8" x14ac:dyDescent="0.25">
      <c r="A65" s="92" t="s">
        <v>235</v>
      </c>
      <c r="B65" s="17" t="s">
        <v>150</v>
      </c>
      <c r="C65" s="20">
        <v>12.98</v>
      </c>
      <c r="D65" s="39">
        <f>ROUNDUP((Summary!$P$5+Summary!$P$10)/50, 0)</f>
        <v>2</v>
      </c>
      <c r="E65" s="39" t="s">
        <v>168</v>
      </c>
      <c r="F65" s="20">
        <f t="shared" si="8"/>
        <v>25.96</v>
      </c>
      <c r="G65" s="20"/>
      <c r="H65" s="39"/>
      <c r="I65" s="39"/>
      <c r="J65" s="26">
        <f t="shared" si="9"/>
        <v>0</v>
      </c>
      <c r="K65" s="61" t="s">
        <v>71</v>
      </c>
      <c r="L65" s="50"/>
    </row>
    <row r="66" spans="1:12" s="40" customFormat="1" ht="13.8" x14ac:dyDescent="0.25">
      <c r="A66" s="93"/>
      <c r="B66" s="17" t="s">
        <v>119</v>
      </c>
      <c r="C66" s="20">
        <v>9.98</v>
      </c>
      <c r="D66" s="39">
        <v>2</v>
      </c>
      <c r="E66" s="39" t="s">
        <v>120</v>
      </c>
      <c r="F66" s="20">
        <f t="shared" si="8"/>
        <v>19.96</v>
      </c>
      <c r="G66" s="20"/>
      <c r="H66" s="39"/>
      <c r="I66" s="39"/>
      <c r="J66" s="26">
        <f t="shared" si="9"/>
        <v>0</v>
      </c>
      <c r="K66" s="61" t="s">
        <v>71</v>
      </c>
      <c r="L66" s="50"/>
    </row>
    <row r="67" spans="1:12" s="40" customFormat="1" ht="13.8" x14ac:dyDescent="0.25">
      <c r="A67" s="93"/>
      <c r="B67" s="17" t="s">
        <v>180</v>
      </c>
      <c r="C67" s="20">
        <v>0.18</v>
      </c>
      <c r="D67" s="39">
        <f>ROUNDUP(D20/2,0)</f>
        <v>35</v>
      </c>
      <c r="E67" s="39" t="s">
        <v>181</v>
      </c>
      <c r="F67" s="20">
        <f t="shared" si="8"/>
        <v>6.3</v>
      </c>
      <c r="G67" s="20"/>
      <c r="H67" s="39"/>
      <c r="I67" s="39"/>
      <c r="J67" s="26"/>
      <c r="K67" s="61" t="s">
        <v>93</v>
      </c>
      <c r="L67" s="50"/>
    </row>
    <row r="68" spans="1:12" s="40" customFormat="1" ht="13.8" x14ac:dyDescent="0.25">
      <c r="A68" s="93"/>
      <c r="B68" s="17" t="s">
        <v>182</v>
      </c>
      <c r="C68" s="20">
        <v>0.5</v>
      </c>
      <c r="D68" s="39">
        <f>ROUNDUP(D21/2,0)</f>
        <v>35</v>
      </c>
      <c r="E68" s="39" t="s">
        <v>183</v>
      </c>
      <c r="F68" s="20">
        <f t="shared" si="8"/>
        <v>17.5</v>
      </c>
      <c r="G68" s="20"/>
      <c r="H68" s="39"/>
      <c r="I68" s="39"/>
      <c r="J68" s="26"/>
      <c r="K68" s="61" t="s">
        <v>93</v>
      </c>
      <c r="L68" s="50"/>
    </row>
    <row r="69" spans="1:12" s="40" customFormat="1" ht="14.4" thickBot="1" x14ac:dyDescent="0.3">
      <c r="A69" s="94"/>
      <c r="B69" s="17" t="s">
        <v>184</v>
      </c>
      <c r="C69" s="20">
        <v>3.47</v>
      </c>
      <c r="D69" s="39">
        <f>ROUNDUP(D22/2,0)</f>
        <v>2</v>
      </c>
      <c r="E69" s="39" t="s">
        <v>185</v>
      </c>
      <c r="F69" s="20">
        <f t="shared" si="8"/>
        <v>6.94</v>
      </c>
      <c r="G69" s="20"/>
      <c r="H69" s="39"/>
      <c r="I69" s="39"/>
      <c r="J69" s="26"/>
      <c r="K69" s="61" t="s">
        <v>93</v>
      </c>
      <c r="L69" s="50"/>
    </row>
    <row r="70" spans="1:12" s="40" customFormat="1" ht="14.4" thickBot="1" x14ac:dyDescent="0.3">
      <c r="A70" s="64" t="s">
        <v>170</v>
      </c>
      <c r="B70" s="17" t="s">
        <v>163</v>
      </c>
      <c r="C70" s="46">
        <v>2.68</v>
      </c>
      <c r="D70" s="39">
        <f>ROUNDUP(D23/2,0)</f>
        <v>2</v>
      </c>
      <c r="E70" s="39" t="s">
        <v>151</v>
      </c>
      <c r="F70" s="20">
        <f t="shared" ref="F70" si="10">D70*C70</f>
        <v>5.36</v>
      </c>
      <c r="J70" s="26">
        <f t="shared" ref="J70" si="11">H70*G70</f>
        <v>0</v>
      </c>
      <c r="K70" s="61" t="s">
        <v>93</v>
      </c>
      <c r="L70" s="50"/>
    </row>
    <row r="71" spans="1:12" s="40" customFormat="1" ht="14.4" thickBot="1" x14ac:dyDescent="0.3">
      <c r="A71" s="64" t="s">
        <v>236</v>
      </c>
      <c r="B71" s="17" t="s">
        <v>228</v>
      </c>
      <c r="C71" s="46">
        <v>12.78</v>
      </c>
      <c r="D71" s="39">
        <f>ROUNDUP((Summary!$P$5)/28,0)</f>
        <v>3</v>
      </c>
      <c r="E71" s="39" t="s">
        <v>229</v>
      </c>
      <c r="F71" s="20">
        <f>D71*C71</f>
        <v>38.339999999999996</v>
      </c>
      <c r="J71" s="26"/>
      <c r="K71" s="61" t="s">
        <v>71</v>
      </c>
      <c r="L71" s="50"/>
    </row>
    <row r="72" spans="1:12" s="40" customFormat="1" x14ac:dyDescent="0.25">
      <c r="A72" s="66"/>
      <c r="B72" s="42" t="s">
        <v>84</v>
      </c>
      <c r="C72" s="26"/>
      <c r="D72" s="36"/>
      <c r="E72" s="36"/>
      <c r="F72" s="26">
        <f>SUM(F59:F70)*0.025</f>
        <v>4.9720000000000013</v>
      </c>
      <c r="H72" s="36"/>
      <c r="I72" s="36"/>
      <c r="J72" s="36"/>
      <c r="K72" s="32"/>
      <c r="L72" s="41"/>
    </row>
    <row r="73" spans="1:12" s="40" customFormat="1" x14ac:dyDescent="0.25">
      <c r="A73" s="65"/>
      <c r="B73" s="27" t="s">
        <v>14</v>
      </c>
      <c r="C73" s="28"/>
      <c r="D73" s="29"/>
      <c r="E73" s="29"/>
      <c r="F73" s="28">
        <f>SUM(F59:F72)</f>
        <v>242.19200000000004</v>
      </c>
      <c r="G73" s="56" t="s">
        <v>205</v>
      </c>
      <c r="H73" s="28">
        <f>F73/Summary!$P$5</f>
        <v>4.0365333333333338</v>
      </c>
      <c r="I73" s="29"/>
      <c r="J73" s="28">
        <f>SUM(J59:J70)</f>
        <v>0</v>
      </c>
      <c r="K73" s="32"/>
      <c r="L73" s="41"/>
    </row>
    <row r="74" spans="1:12" x14ac:dyDescent="0.25">
      <c r="B74" s="36"/>
      <c r="C74" s="36"/>
      <c r="D74" s="36"/>
      <c r="E74" s="36"/>
      <c r="F74" s="36"/>
      <c r="G74" s="36"/>
      <c r="H74" s="36"/>
      <c r="I74" s="36"/>
      <c r="J74" s="36"/>
      <c r="K74" s="32"/>
      <c r="L74" s="41"/>
    </row>
    <row r="75" spans="1:12" x14ac:dyDescent="0.25">
      <c r="B75" s="70" t="s">
        <v>59</v>
      </c>
      <c r="C75" s="72" t="s">
        <v>4</v>
      </c>
      <c r="D75" s="73"/>
      <c r="E75" s="73"/>
      <c r="F75" s="74"/>
      <c r="G75" s="72" t="s">
        <v>5</v>
      </c>
      <c r="H75" s="73"/>
      <c r="I75" s="73"/>
      <c r="J75" s="73"/>
      <c r="K75" s="32"/>
      <c r="L75" s="41"/>
    </row>
    <row r="76" spans="1:12" ht="13.8" thickBot="1" x14ac:dyDescent="0.3">
      <c r="B76" s="71"/>
      <c r="C76" s="7" t="s">
        <v>11</v>
      </c>
      <c r="D76" s="7" t="s">
        <v>12</v>
      </c>
      <c r="E76" s="7" t="s">
        <v>13</v>
      </c>
      <c r="F76" s="7" t="s">
        <v>14</v>
      </c>
      <c r="G76" s="7" t="s">
        <v>11</v>
      </c>
      <c r="H76" s="7" t="s">
        <v>12</v>
      </c>
      <c r="I76" s="7" t="s">
        <v>13</v>
      </c>
      <c r="J76" s="7" t="s">
        <v>14</v>
      </c>
      <c r="K76" s="32"/>
      <c r="L76" s="41"/>
    </row>
    <row r="77" spans="1:12" ht="13.8" x14ac:dyDescent="0.25">
      <c r="A77" s="86" t="s">
        <v>237</v>
      </c>
      <c r="B77" s="17" t="s">
        <v>207</v>
      </c>
      <c r="C77" s="20">
        <v>6.88</v>
      </c>
      <c r="D77" s="39">
        <f>ROUNDUP((Summary!$P$5+Summary!$P$10)/4/6/2, 0)</f>
        <v>2</v>
      </c>
      <c r="E77" s="39" t="s">
        <v>208</v>
      </c>
      <c r="F77" s="20">
        <f>C77*D77</f>
        <v>13.76</v>
      </c>
      <c r="G77" s="20"/>
      <c r="H77" s="39"/>
      <c r="I77" s="39"/>
      <c r="J77" s="26"/>
      <c r="K77" s="61" t="s">
        <v>71</v>
      </c>
      <c r="L77" s="50" t="s">
        <v>83</v>
      </c>
    </row>
    <row r="78" spans="1:12" ht="13.8" x14ac:dyDescent="0.25">
      <c r="A78" s="87"/>
      <c r="B78" s="17" t="s">
        <v>210</v>
      </c>
      <c r="C78" s="20">
        <v>4.9800000000000004</v>
      </c>
      <c r="D78" s="39">
        <f>ROUNDUP((Summary!$P$5+Summary!$P$10)/4/6/2, 0)</f>
        <v>2</v>
      </c>
      <c r="E78" s="39" t="s">
        <v>208</v>
      </c>
      <c r="F78" s="20">
        <f>C78*D78</f>
        <v>9.9600000000000009</v>
      </c>
      <c r="G78" s="20"/>
      <c r="H78" s="39"/>
      <c r="I78" s="39"/>
      <c r="J78" s="26"/>
      <c r="K78" s="61" t="s">
        <v>71</v>
      </c>
      <c r="L78" s="50" t="s">
        <v>83</v>
      </c>
    </row>
    <row r="79" spans="1:12" s="40" customFormat="1" ht="13.8" x14ac:dyDescent="0.25">
      <c r="A79" s="87"/>
      <c r="B79" s="17" t="s">
        <v>211</v>
      </c>
      <c r="C79" s="20">
        <v>4.9800000000000004</v>
      </c>
      <c r="D79" s="39">
        <f>ROUNDUP((Summary!$P$5+Summary!$P$10)/4/6/2, 0)</f>
        <v>2</v>
      </c>
      <c r="E79" s="39" t="s">
        <v>208</v>
      </c>
      <c r="F79" s="20">
        <f>C79*D79</f>
        <v>9.9600000000000009</v>
      </c>
      <c r="G79" s="20"/>
      <c r="H79" s="39"/>
      <c r="I79" s="39"/>
      <c r="J79" s="26"/>
      <c r="K79" s="61" t="s">
        <v>71</v>
      </c>
      <c r="L79" s="50" t="s">
        <v>83</v>
      </c>
    </row>
    <row r="80" spans="1:12" ht="13.8" x14ac:dyDescent="0.25">
      <c r="A80" s="87"/>
      <c r="B80" s="17" t="s">
        <v>85</v>
      </c>
      <c r="C80" s="20">
        <v>6.98</v>
      </c>
      <c r="D80" s="39">
        <f>ROUNDUP((Summary!$P$5+Summary!$P$10)/4/3/2, 0)</f>
        <v>3</v>
      </c>
      <c r="E80" s="39" t="s">
        <v>221</v>
      </c>
      <c r="F80" s="20">
        <f t="shared" ref="F80:F82" si="12">C80*D80</f>
        <v>20.94</v>
      </c>
      <c r="G80" s="20"/>
      <c r="H80" s="39"/>
      <c r="I80" s="39"/>
      <c r="J80" s="26"/>
      <c r="K80" s="61" t="s">
        <v>71</v>
      </c>
      <c r="L80" s="50" t="s">
        <v>83</v>
      </c>
    </row>
    <row r="81" spans="1:12" ht="13.8" x14ac:dyDescent="0.25">
      <c r="A81" s="87"/>
      <c r="B81" s="17" t="s">
        <v>222</v>
      </c>
      <c r="C81" s="20">
        <v>6.98</v>
      </c>
      <c r="D81" s="39">
        <f>ROUNDUP((Summary!$P$5+Summary!$P$10)/11/2, 0)</f>
        <v>4</v>
      </c>
      <c r="E81" s="39" t="s">
        <v>223</v>
      </c>
      <c r="F81" s="20">
        <f t="shared" si="12"/>
        <v>27.92</v>
      </c>
      <c r="K81" s="62" t="s">
        <v>71</v>
      </c>
      <c r="L81" s="50" t="s">
        <v>83</v>
      </c>
    </row>
    <row r="82" spans="1:12" ht="13.8" x14ac:dyDescent="0.25">
      <c r="A82" s="87"/>
      <c r="B82" s="17" t="s">
        <v>224</v>
      </c>
      <c r="C82" s="20">
        <v>5.98</v>
      </c>
      <c r="D82" s="39">
        <f>ROUNDUP((Summary!$P$5+Summary!$P$10)/4/3/2, 0)</f>
        <v>3</v>
      </c>
      <c r="E82" s="39" t="s">
        <v>225</v>
      </c>
      <c r="F82" s="20">
        <f t="shared" si="12"/>
        <v>17.940000000000001</v>
      </c>
      <c r="K82" s="62" t="s">
        <v>71</v>
      </c>
      <c r="L82" s="50" t="s">
        <v>83</v>
      </c>
    </row>
    <row r="83" spans="1:12" ht="13.8" x14ac:dyDescent="0.25">
      <c r="A83" s="87"/>
      <c r="B83" s="42" t="s">
        <v>107</v>
      </c>
      <c r="C83" s="26">
        <v>4.68</v>
      </c>
      <c r="D83" s="36">
        <v>1</v>
      </c>
      <c r="E83" s="36" t="s">
        <v>108</v>
      </c>
      <c r="F83" s="20">
        <f>C83*D83</f>
        <v>4.68</v>
      </c>
      <c r="G83" s="36"/>
      <c r="H83" s="36"/>
      <c r="I83" s="36"/>
      <c r="J83" s="36"/>
      <c r="K83" s="61" t="s">
        <v>93</v>
      </c>
      <c r="L83" s="47" t="s">
        <v>94</v>
      </c>
    </row>
    <row r="84" spans="1:12" s="40" customFormat="1" ht="14.4" thickBot="1" x14ac:dyDescent="0.3">
      <c r="A84" s="88"/>
      <c r="B84" s="42" t="s">
        <v>226</v>
      </c>
      <c r="C84" s="26">
        <v>12.98</v>
      </c>
      <c r="D84" s="36">
        <f>ROUNDUP((Summary!P5+Summary!P10)/32, 0)</f>
        <v>3</v>
      </c>
      <c r="E84" s="36" t="s">
        <v>227</v>
      </c>
      <c r="F84" s="20">
        <f>C84*D84</f>
        <v>38.94</v>
      </c>
      <c r="G84" s="36"/>
      <c r="H84" s="36"/>
      <c r="I84" s="36"/>
      <c r="J84" s="36"/>
      <c r="K84" s="61" t="s">
        <v>71</v>
      </c>
      <c r="L84" s="47"/>
    </row>
    <row r="85" spans="1:12" ht="14.4" thickBot="1" x14ac:dyDescent="0.3">
      <c r="A85" s="64" t="s">
        <v>116</v>
      </c>
      <c r="B85" s="42" t="s">
        <v>118</v>
      </c>
      <c r="C85" s="26">
        <v>4.75</v>
      </c>
      <c r="D85" s="36">
        <f>ROUNDUP((Summary!$P$5+Summary!$P$10)/16,0)</f>
        <v>5</v>
      </c>
      <c r="E85" s="36" t="s">
        <v>117</v>
      </c>
      <c r="F85" s="20">
        <f>C85*D85</f>
        <v>23.75</v>
      </c>
      <c r="G85" s="36"/>
      <c r="H85" s="36"/>
      <c r="I85" s="36"/>
      <c r="J85" s="36"/>
      <c r="K85" s="61" t="s">
        <v>71</v>
      </c>
      <c r="L85" s="47" t="s">
        <v>125</v>
      </c>
    </row>
    <row r="86" spans="1:12" ht="14.4" thickBot="1" x14ac:dyDescent="0.3">
      <c r="A86" s="64" t="s">
        <v>121</v>
      </c>
      <c r="B86" s="42" t="s">
        <v>122</v>
      </c>
      <c r="C86" s="26">
        <v>1.06</v>
      </c>
      <c r="D86" s="36">
        <f>ROUNDUP((Summary!$P$5+Summary!$P$10)/2, 0)</f>
        <v>35</v>
      </c>
      <c r="E86" s="36" t="s">
        <v>123</v>
      </c>
      <c r="F86" s="20">
        <f>C86*D86</f>
        <v>37.1</v>
      </c>
      <c r="G86" s="36"/>
      <c r="H86" s="36"/>
      <c r="I86" s="36"/>
      <c r="J86" s="36"/>
      <c r="K86" s="61" t="s">
        <v>93</v>
      </c>
      <c r="L86" s="47" t="s">
        <v>124</v>
      </c>
    </row>
    <row r="87" spans="1:12" ht="14.4" thickBot="1" x14ac:dyDescent="0.3">
      <c r="A87" s="64" t="s">
        <v>170</v>
      </c>
      <c r="B87" s="42" t="s">
        <v>153</v>
      </c>
      <c r="C87" s="26">
        <v>44.78</v>
      </c>
      <c r="D87" s="36">
        <v>1</v>
      </c>
      <c r="E87" s="36" t="s">
        <v>154</v>
      </c>
      <c r="F87" s="20">
        <f>C87*D87</f>
        <v>44.78</v>
      </c>
      <c r="G87" s="36"/>
      <c r="H87" s="36"/>
      <c r="I87" s="36"/>
      <c r="J87" s="36"/>
      <c r="K87" s="61" t="s">
        <v>71</v>
      </c>
      <c r="L87" s="47" t="s">
        <v>155</v>
      </c>
    </row>
    <row r="88" spans="1:12" s="43" customFormat="1" ht="14.4" thickBot="1" x14ac:dyDescent="0.3">
      <c r="A88" s="64" t="s">
        <v>236</v>
      </c>
      <c r="B88" s="42" t="s">
        <v>232</v>
      </c>
      <c r="C88" s="63">
        <v>2.72</v>
      </c>
      <c r="D88" s="36">
        <f>ROUNDUP(Summary!P5/8/2,0)</f>
        <v>4</v>
      </c>
      <c r="E88" s="36" t="s">
        <v>233</v>
      </c>
      <c r="F88" s="20">
        <f t="shared" ref="F88" si="13">C88*D88</f>
        <v>10.88</v>
      </c>
      <c r="G88" s="36"/>
      <c r="H88" s="36"/>
      <c r="I88" s="36"/>
      <c r="J88" s="36"/>
      <c r="K88" s="61" t="s">
        <v>71</v>
      </c>
      <c r="L88" s="47"/>
    </row>
    <row r="89" spans="1:12" x14ac:dyDescent="0.25">
      <c r="B89" s="27" t="s">
        <v>14</v>
      </c>
      <c r="C89" s="28"/>
      <c r="D89" s="29"/>
      <c r="E89" s="29"/>
      <c r="F89" s="28">
        <f>SUM(F77:F87)</f>
        <v>249.73</v>
      </c>
      <c r="G89" s="56" t="s">
        <v>205</v>
      </c>
      <c r="H89" s="28">
        <f>F89/Summary!$P$5</f>
        <v>4.1621666666666668</v>
      </c>
      <c r="I89" s="29"/>
      <c r="J89" s="28">
        <f>SUM(J77:J87)</f>
        <v>0</v>
      </c>
      <c r="K89" s="32"/>
      <c r="L89" s="41"/>
    </row>
    <row r="90" spans="1:12" x14ac:dyDescent="0.25">
      <c r="J90" s="41"/>
      <c r="K90" s="32"/>
      <c r="L90" s="41"/>
    </row>
    <row r="91" spans="1:12" x14ac:dyDescent="0.25">
      <c r="B91" s="70" t="s">
        <v>60</v>
      </c>
      <c r="C91" s="72" t="s">
        <v>4</v>
      </c>
      <c r="D91" s="73"/>
      <c r="E91" s="73"/>
      <c r="F91" s="74"/>
      <c r="G91" s="72" t="s">
        <v>5</v>
      </c>
      <c r="H91" s="73"/>
      <c r="I91" s="73"/>
      <c r="J91" s="73"/>
      <c r="K91" s="32"/>
      <c r="L91" s="41"/>
    </row>
    <row r="92" spans="1:12" x14ac:dyDescent="0.25">
      <c r="B92" s="71"/>
      <c r="C92" s="7" t="s">
        <v>11</v>
      </c>
      <c r="D92" s="7" t="s">
        <v>12</v>
      </c>
      <c r="E92" s="7" t="s">
        <v>13</v>
      </c>
      <c r="F92" s="7" t="s">
        <v>14</v>
      </c>
      <c r="G92" s="7" t="s">
        <v>11</v>
      </c>
      <c r="H92" s="7" t="s">
        <v>12</v>
      </c>
      <c r="I92" s="7" t="s">
        <v>13</v>
      </c>
      <c r="J92" s="7" t="s">
        <v>14</v>
      </c>
      <c r="K92" s="32"/>
      <c r="L92" s="41"/>
    </row>
    <row r="93" spans="1:12" ht="13.8" x14ac:dyDescent="0.25">
      <c r="B93" s="17" t="s">
        <v>195</v>
      </c>
      <c r="C93" s="20">
        <v>25.98</v>
      </c>
      <c r="D93" s="39">
        <f>_xlfn.CEILING.MATH((Summary!$P$5*3+Summary!$P$10), 40)/40</f>
        <v>5</v>
      </c>
      <c r="E93" s="39" t="s">
        <v>196</v>
      </c>
      <c r="F93" s="20">
        <f>C93*D93</f>
        <v>129.9</v>
      </c>
      <c r="G93" s="20"/>
      <c r="H93" s="39"/>
      <c r="I93" s="39"/>
      <c r="J93" s="26"/>
      <c r="K93" s="61" t="s">
        <v>71</v>
      </c>
      <c r="L93" s="50"/>
    </row>
    <row r="94" spans="1:12" ht="13.8" x14ac:dyDescent="0.25">
      <c r="B94" s="17" t="s">
        <v>63</v>
      </c>
      <c r="C94" s="20">
        <v>3.48</v>
      </c>
      <c r="D94" s="39">
        <f>ROUNDUP((Summary!$P$5*3+Summary!$P$10)/24, 0)</f>
        <v>8</v>
      </c>
      <c r="E94" s="39" t="s">
        <v>73</v>
      </c>
      <c r="F94" s="20">
        <f>C94*D94</f>
        <v>27.84</v>
      </c>
      <c r="G94" s="20"/>
      <c r="H94" s="39"/>
      <c r="I94" s="39"/>
      <c r="J94" s="26"/>
      <c r="K94" s="61" t="s">
        <v>71</v>
      </c>
      <c r="L94" s="50"/>
    </row>
    <row r="95" spans="1:12" ht="13.8" x14ac:dyDescent="0.25">
      <c r="B95" s="17" t="s">
        <v>64</v>
      </c>
      <c r="C95" s="20">
        <v>0</v>
      </c>
      <c r="D95" s="39">
        <f>(Summary!$P$5*3+Summary!$P$10)*0.8</f>
        <v>152</v>
      </c>
      <c r="E95" s="39" t="s">
        <v>75</v>
      </c>
      <c r="F95" s="20">
        <f>C95*D95</f>
        <v>0</v>
      </c>
      <c r="G95" s="20"/>
      <c r="H95" s="39"/>
      <c r="I95" s="39"/>
      <c r="J95" s="26"/>
      <c r="K95" s="68" t="s">
        <v>71</v>
      </c>
      <c r="L95" s="50" t="s">
        <v>76</v>
      </c>
    </row>
    <row r="96" spans="1:12" ht="13.8" x14ac:dyDescent="0.25">
      <c r="B96" s="17" t="s">
        <v>67</v>
      </c>
      <c r="C96" s="20">
        <v>1.88</v>
      </c>
      <c r="D96" s="39">
        <v>10</v>
      </c>
      <c r="E96" s="39" t="s">
        <v>67</v>
      </c>
      <c r="F96" s="20">
        <f>C96*D96</f>
        <v>18.799999999999997</v>
      </c>
      <c r="G96" s="20"/>
      <c r="H96" s="39"/>
      <c r="I96" s="39"/>
      <c r="J96" s="26"/>
      <c r="K96" s="61" t="s">
        <v>93</v>
      </c>
      <c r="L96" s="50"/>
    </row>
    <row r="97" spans="1:12" ht="13.8" x14ac:dyDescent="0.25">
      <c r="B97" s="17" t="s">
        <v>65</v>
      </c>
      <c r="C97" s="20">
        <v>0</v>
      </c>
      <c r="D97" s="39" t="s">
        <v>156</v>
      </c>
      <c r="E97" s="39" t="s">
        <v>65</v>
      </c>
      <c r="F97" s="20">
        <v>0</v>
      </c>
      <c r="G97" s="20"/>
      <c r="H97" s="39"/>
      <c r="I97" s="39"/>
      <c r="J97" s="26"/>
      <c r="K97" s="68" t="s">
        <v>71</v>
      </c>
      <c r="L97" s="47" t="s">
        <v>157</v>
      </c>
    </row>
    <row r="98" spans="1:12" ht="13.8" x14ac:dyDescent="0.25">
      <c r="B98" s="17" t="s">
        <v>66</v>
      </c>
      <c r="C98" s="20">
        <v>0</v>
      </c>
      <c r="D98" s="39" t="s">
        <v>156</v>
      </c>
      <c r="E98" s="39" t="s">
        <v>66</v>
      </c>
      <c r="F98" s="20">
        <v>0</v>
      </c>
      <c r="G98" s="20"/>
      <c r="H98" s="39"/>
      <c r="I98" s="39"/>
      <c r="J98" s="26"/>
      <c r="K98" s="68" t="s">
        <v>71</v>
      </c>
      <c r="L98" s="47" t="s">
        <v>158</v>
      </c>
    </row>
    <row r="99" spans="1:12" ht="13.8" x14ac:dyDescent="0.25">
      <c r="B99" s="17" t="s">
        <v>62</v>
      </c>
      <c r="C99" s="20">
        <v>29.98</v>
      </c>
      <c r="D99" s="39">
        <f>ROUNDUP((Summary!$P$5*3+Summary!$P$10)*2/80, 0)</f>
        <v>5</v>
      </c>
      <c r="E99" s="39" t="s">
        <v>74</v>
      </c>
      <c r="F99" s="20">
        <f t="shared" ref="F99:F102" si="14">D99*C99</f>
        <v>149.9</v>
      </c>
      <c r="G99" s="20"/>
      <c r="H99" s="39"/>
      <c r="I99" s="39"/>
      <c r="J99" s="26"/>
      <c r="K99" s="61" t="s">
        <v>71</v>
      </c>
      <c r="L99" s="50"/>
    </row>
    <row r="100" spans="1:12" ht="13.8" x14ac:dyDescent="0.25">
      <c r="B100" s="17" t="s">
        <v>63</v>
      </c>
      <c r="C100" s="20">
        <v>3.48</v>
      </c>
      <c r="D100" s="39">
        <f>ROUNDUP((Summary!$P$5*3+Summary!$P$10)*2/24, 0)</f>
        <v>16</v>
      </c>
      <c r="E100" s="39" t="s">
        <v>73</v>
      </c>
      <c r="F100" s="20">
        <f t="shared" si="14"/>
        <v>55.68</v>
      </c>
      <c r="G100" s="20"/>
      <c r="H100" s="39"/>
      <c r="I100" s="39"/>
      <c r="J100" s="26"/>
      <c r="K100" s="61" t="s">
        <v>71</v>
      </c>
      <c r="L100" s="50"/>
    </row>
    <row r="101" spans="1:12" ht="13.8" x14ac:dyDescent="0.25">
      <c r="B101" s="17" t="s">
        <v>68</v>
      </c>
      <c r="C101" s="20">
        <v>3.98</v>
      </c>
      <c r="D101" s="48">
        <v>1</v>
      </c>
      <c r="E101" s="39" t="s">
        <v>188</v>
      </c>
      <c r="F101" s="20">
        <f t="shared" si="14"/>
        <v>3.98</v>
      </c>
      <c r="J101" s="41"/>
      <c r="K101" s="61" t="s">
        <v>71</v>
      </c>
      <c r="L101" s="50"/>
    </row>
    <row r="102" spans="1:12" ht="13.8" x14ac:dyDescent="0.25">
      <c r="B102" s="17" t="s">
        <v>69</v>
      </c>
      <c r="C102" s="20">
        <v>0</v>
      </c>
      <c r="D102" s="39">
        <v>1</v>
      </c>
      <c r="E102" s="39" t="s">
        <v>204</v>
      </c>
      <c r="F102" s="20">
        <f t="shared" si="14"/>
        <v>0</v>
      </c>
      <c r="G102" s="20"/>
      <c r="H102" s="39"/>
      <c r="I102" s="39"/>
      <c r="J102" s="26"/>
      <c r="K102" s="68" t="s">
        <v>71</v>
      </c>
      <c r="L102" s="47" t="s">
        <v>160</v>
      </c>
    </row>
    <row r="103" spans="1:12" ht="13.8" x14ac:dyDescent="0.25">
      <c r="B103" s="17" t="s">
        <v>186</v>
      </c>
      <c r="C103" s="20">
        <v>5.47</v>
      </c>
      <c r="D103" s="49">
        <v>1</v>
      </c>
      <c r="E103" s="39" t="s">
        <v>187</v>
      </c>
      <c r="F103" s="45">
        <f>D103*C103</f>
        <v>5.47</v>
      </c>
      <c r="J103" s="41"/>
      <c r="K103" s="61" t="s">
        <v>93</v>
      </c>
      <c r="L103" s="47" t="s">
        <v>159</v>
      </c>
    </row>
    <row r="104" spans="1:12" ht="13.8" x14ac:dyDescent="0.25">
      <c r="B104" s="17" t="s">
        <v>150</v>
      </c>
      <c r="C104" s="20">
        <v>12.98</v>
      </c>
      <c r="D104" s="39">
        <f>ROUNDUP((Summary!$P$5*3+Summary!$P$10)/50, 0)</f>
        <v>4</v>
      </c>
      <c r="E104" s="39" t="s">
        <v>168</v>
      </c>
      <c r="F104" s="20">
        <f t="shared" ref="F104:F105" si="15">D104*C104</f>
        <v>51.92</v>
      </c>
      <c r="G104" s="20"/>
      <c r="H104" s="39"/>
      <c r="I104" s="39"/>
      <c r="J104" s="26"/>
      <c r="K104" s="68" t="s">
        <v>71</v>
      </c>
      <c r="L104" s="50"/>
    </row>
    <row r="105" spans="1:12" s="40" customFormat="1" ht="13.8" x14ac:dyDescent="0.25">
      <c r="A105" s="65"/>
      <c r="B105" s="17" t="s">
        <v>163</v>
      </c>
      <c r="C105" s="46">
        <v>2.68</v>
      </c>
      <c r="D105" s="39">
        <f>ROUNDUP((Summary!$P$5*3+Summary!$P$10)/36*2, 0)</f>
        <v>11</v>
      </c>
      <c r="E105" s="39" t="s">
        <v>151</v>
      </c>
      <c r="F105" s="20">
        <f t="shared" si="15"/>
        <v>29.48</v>
      </c>
      <c r="J105" s="26">
        <f t="shared" ref="J105" si="16">H105*G105</f>
        <v>0</v>
      </c>
      <c r="K105" s="61" t="s">
        <v>93</v>
      </c>
      <c r="L105" s="50"/>
    </row>
    <row r="106" spans="1:12" ht="13.8" x14ac:dyDescent="0.25">
      <c r="B106" s="42" t="s">
        <v>202</v>
      </c>
      <c r="C106" s="26">
        <v>1.25</v>
      </c>
      <c r="D106" s="36">
        <v>10</v>
      </c>
      <c r="E106" s="36" t="s">
        <v>203</v>
      </c>
      <c r="F106" s="20">
        <f>C106*D106</f>
        <v>12.5</v>
      </c>
      <c r="G106" s="40"/>
      <c r="H106" s="40"/>
      <c r="I106" s="40"/>
      <c r="J106" s="26"/>
      <c r="K106" s="61" t="s">
        <v>93</v>
      </c>
      <c r="L106" s="50"/>
    </row>
    <row r="107" spans="1:12" x14ac:dyDescent="0.25">
      <c r="B107" s="42" t="s">
        <v>84</v>
      </c>
      <c r="C107" s="26"/>
      <c r="D107" s="36"/>
      <c r="E107" s="36"/>
      <c r="F107" s="26">
        <f>SUM(F94:F105)*0.025</f>
        <v>8.5767500000000023</v>
      </c>
      <c r="G107" s="36"/>
      <c r="H107" s="36"/>
      <c r="I107" s="36"/>
      <c r="J107" s="36"/>
      <c r="K107" s="36"/>
      <c r="L107" s="40"/>
    </row>
    <row r="108" spans="1:12" x14ac:dyDescent="0.25">
      <c r="B108" s="27" t="s">
        <v>14</v>
      </c>
      <c r="C108" s="28"/>
      <c r="D108" s="29"/>
      <c r="E108" s="29"/>
      <c r="F108" s="28">
        <f>SUM(F93:F105)</f>
        <v>472.97000000000014</v>
      </c>
      <c r="G108" s="56" t="s">
        <v>205</v>
      </c>
      <c r="H108" s="28">
        <f>F108/Summary!$P$5</f>
        <v>7.8828333333333358</v>
      </c>
      <c r="I108" s="29"/>
      <c r="J108" s="28">
        <f>SUM(J93:J105)</f>
        <v>0</v>
      </c>
      <c r="K108" s="30"/>
    </row>
    <row r="110" spans="1:12" x14ac:dyDescent="0.25">
      <c r="B110" s="70" t="s">
        <v>35</v>
      </c>
      <c r="C110" s="72" t="s">
        <v>4</v>
      </c>
      <c r="D110" s="73"/>
      <c r="E110" s="73"/>
      <c r="F110" s="74"/>
      <c r="G110" s="72" t="s">
        <v>5</v>
      </c>
      <c r="H110" s="73"/>
      <c r="I110" s="73"/>
      <c r="J110" s="73"/>
    </row>
    <row r="111" spans="1:12" x14ac:dyDescent="0.25">
      <c r="B111" s="71"/>
      <c r="C111" s="7" t="s">
        <v>11</v>
      </c>
      <c r="D111" s="7" t="s">
        <v>12</v>
      </c>
      <c r="E111" s="7" t="s">
        <v>13</v>
      </c>
      <c r="F111" s="7" t="s">
        <v>14</v>
      </c>
      <c r="G111" s="7" t="s">
        <v>11</v>
      </c>
      <c r="H111" s="7" t="s">
        <v>12</v>
      </c>
      <c r="I111" s="7" t="s">
        <v>13</v>
      </c>
      <c r="J111" s="7" t="s">
        <v>14</v>
      </c>
    </row>
    <row r="112" spans="1:12" ht="13.8" x14ac:dyDescent="0.25">
      <c r="B112" s="17" t="s">
        <v>138</v>
      </c>
      <c r="C112" s="20">
        <v>39.979999999999997</v>
      </c>
      <c r="D112" s="39">
        <v>3</v>
      </c>
      <c r="E112" s="39" t="s">
        <v>139</v>
      </c>
      <c r="F112" s="20">
        <f>D112*C112</f>
        <v>119.94</v>
      </c>
      <c r="G112" s="20"/>
      <c r="H112" s="39"/>
      <c r="I112" s="39"/>
      <c r="J112" s="26"/>
      <c r="K112" s="62" t="s">
        <v>71</v>
      </c>
      <c r="L112" s="47" t="s">
        <v>142</v>
      </c>
    </row>
    <row r="113" spans="1:12" ht="13.8" x14ac:dyDescent="0.25">
      <c r="B113" s="17" t="s">
        <v>214</v>
      </c>
      <c r="C113" s="20">
        <v>10.98</v>
      </c>
      <c r="D113" s="39">
        <v>1</v>
      </c>
      <c r="E113" s="39" t="s">
        <v>140</v>
      </c>
      <c r="F113" s="20">
        <f>D113*C113</f>
        <v>10.98</v>
      </c>
      <c r="G113" s="20"/>
      <c r="H113" s="39"/>
      <c r="I113" s="39"/>
      <c r="J113" s="26"/>
      <c r="K113" s="62" t="s">
        <v>71</v>
      </c>
      <c r="L113" s="47" t="s">
        <v>141</v>
      </c>
    </row>
    <row r="114" spans="1:12" ht="13.8" x14ac:dyDescent="0.25">
      <c r="B114" s="17" t="s">
        <v>215</v>
      </c>
      <c r="C114" s="20">
        <v>8.48</v>
      </c>
      <c r="D114" s="39">
        <v>1</v>
      </c>
      <c r="E114" s="39" t="s">
        <v>140</v>
      </c>
      <c r="F114" s="20">
        <f t="shared" ref="F114:F120" si="17">D114*C114</f>
        <v>8.48</v>
      </c>
      <c r="G114" s="20"/>
      <c r="H114" s="39"/>
      <c r="I114" s="39"/>
      <c r="J114" s="26"/>
      <c r="K114" s="62" t="s">
        <v>71</v>
      </c>
      <c r="L114" s="47" t="s">
        <v>141</v>
      </c>
    </row>
    <row r="115" spans="1:12" s="40" customFormat="1" ht="13.8" x14ac:dyDescent="0.25">
      <c r="A115" s="65"/>
      <c r="B115" s="17" t="s">
        <v>216</v>
      </c>
      <c r="C115" s="20">
        <v>7.98</v>
      </c>
      <c r="D115" s="39">
        <v>1</v>
      </c>
      <c r="E115" s="39" t="s">
        <v>220</v>
      </c>
      <c r="F115" s="20">
        <f>D115*C115</f>
        <v>7.98</v>
      </c>
      <c r="G115" s="20"/>
      <c r="H115" s="39"/>
      <c r="I115" s="39"/>
      <c r="J115" s="26"/>
      <c r="K115" s="62" t="s">
        <v>71</v>
      </c>
      <c r="L115" s="47" t="s">
        <v>141</v>
      </c>
    </row>
    <row r="116" spans="1:12" s="40" customFormat="1" ht="13.8" x14ac:dyDescent="0.25">
      <c r="A116" s="65"/>
      <c r="B116" s="17" t="s">
        <v>217</v>
      </c>
      <c r="C116" s="20">
        <v>6.98</v>
      </c>
      <c r="D116" s="39">
        <v>1</v>
      </c>
      <c r="E116" s="39" t="s">
        <v>220</v>
      </c>
      <c r="F116" s="20">
        <f t="shared" ref="F116" si="18">D116*C116</f>
        <v>6.98</v>
      </c>
      <c r="G116" s="20"/>
      <c r="H116" s="39"/>
      <c r="I116" s="39"/>
      <c r="J116" s="26"/>
      <c r="K116" s="62" t="s">
        <v>71</v>
      </c>
      <c r="L116" s="47" t="s">
        <v>141</v>
      </c>
    </row>
    <row r="117" spans="1:12" s="40" customFormat="1" ht="13.8" x14ac:dyDescent="0.25">
      <c r="A117" s="65"/>
      <c r="B117" s="17" t="s">
        <v>218</v>
      </c>
      <c r="C117" s="20">
        <v>6.98</v>
      </c>
      <c r="D117" s="39">
        <v>1</v>
      </c>
      <c r="E117" s="39" t="s">
        <v>219</v>
      </c>
      <c r="F117" s="20">
        <f>D117*C117</f>
        <v>6.98</v>
      </c>
      <c r="G117" s="20"/>
      <c r="H117" s="39"/>
      <c r="I117" s="39"/>
      <c r="J117" s="26"/>
      <c r="K117" s="62" t="s">
        <v>71</v>
      </c>
      <c r="L117" s="47" t="s">
        <v>141</v>
      </c>
    </row>
    <row r="118" spans="1:12" ht="13.8" x14ac:dyDescent="0.25">
      <c r="B118" s="17" t="s">
        <v>143</v>
      </c>
      <c r="C118" s="20">
        <v>17.98</v>
      </c>
      <c r="D118" s="39">
        <v>1</v>
      </c>
      <c r="E118" s="39" t="s">
        <v>144</v>
      </c>
      <c r="F118" s="20">
        <f t="shared" si="17"/>
        <v>17.98</v>
      </c>
      <c r="G118" s="20"/>
      <c r="H118" s="39"/>
      <c r="I118" s="39"/>
      <c r="J118" s="26"/>
      <c r="K118" s="62" t="s">
        <v>71</v>
      </c>
      <c r="L118" s="47" t="s">
        <v>141</v>
      </c>
    </row>
    <row r="119" spans="1:12" ht="13.8" x14ac:dyDescent="0.25">
      <c r="B119" s="17" t="s">
        <v>161</v>
      </c>
      <c r="C119" s="20">
        <v>22.33</v>
      </c>
      <c r="D119" s="39">
        <v>2</v>
      </c>
      <c r="E119" s="39" t="s">
        <v>162</v>
      </c>
      <c r="F119" s="20">
        <f t="shared" si="17"/>
        <v>44.66</v>
      </c>
      <c r="G119" s="20"/>
      <c r="H119" s="39"/>
      <c r="I119" s="39"/>
      <c r="J119" s="26"/>
      <c r="K119" s="62" t="s">
        <v>93</v>
      </c>
      <c r="L119" s="47" t="s">
        <v>191</v>
      </c>
    </row>
    <row r="120" spans="1:12" ht="13.8" x14ac:dyDescent="0.25">
      <c r="B120" s="17" t="s">
        <v>171</v>
      </c>
      <c r="C120" s="20">
        <v>10.98</v>
      </c>
      <c r="D120" s="39">
        <v>1</v>
      </c>
      <c r="E120" s="39" t="s">
        <v>172</v>
      </c>
      <c r="F120" s="20">
        <f t="shared" si="17"/>
        <v>10.98</v>
      </c>
      <c r="G120" s="20"/>
      <c r="H120" s="39"/>
      <c r="I120" s="39"/>
      <c r="J120" s="26"/>
      <c r="K120" s="62" t="s">
        <v>71</v>
      </c>
      <c r="L120" s="47" t="s">
        <v>179</v>
      </c>
    </row>
    <row r="121" spans="1:12" ht="13.8" x14ac:dyDescent="0.25">
      <c r="B121" s="17" t="s">
        <v>189</v>
      </c>
      <c r="C121" s="20">
        <v>10.98</v>
      </c>
      <c r="D121" s="39">
        <v>1</v>
      </c>
      <c r="E121" s="39" t="s">
        <v>172</v>
      </c>
      <c r="F121" s="20">
        <f t="shared" ref="F121" si="19">D121*C121</f>
        <v>10.98</v>
      </c>
      <c r="K121" s="62" t="s">
        <v>71</v>
      </c>
      <c r="L121" s="47" t="s">
        <v>190</v>
      </c>
    </row>
    <row r="122" spans="1:12" ht="13.8" x14ac:dyDescent="0.25">
      <c r="B122" s="17" t="s">
        <v>173</v>
      </c>
      <c r="C122" s="20">
        <v>18.96</v>
      </c>
      <c r="D122" s="39">
        <v>1</v>
      </c>
      <c r="E122" s="39" t="s">
        <v>174</v>
      </c>
      <c r="F122" s="20">
        <f>D122*C122</f>
        <v>18.96</v>
      </c>
      <c r="G122" s="40"/>
      <c r="H122" s="40"/>
      <c r="I122" s="40"/>
      <c r="J122" s="41"/>
      <c r="K122" s="62" t="s">
        <v>71</v>
      </c>
      <c r="L122" s="47" t="s">
        <v>175</v>
      </c>
    </row>
    <row r="123" spans="1:12" ht="13.8" x14ac:dyDescent="0.25">
      <c r="B123" s="17" t="s">
        <v>176</v>
      </c>
      <c r="C123" s="20">
        <v>1.9</v>
      </c>
      <c r="D123" s="39">
        <v>6</v>
      </c>
      <c r="E123" s="39" t="s">
        <v>177</v>
      </c>
      <c r="F123" s="20">
        <f>D123*C123</f>
        <v>11.399999999999999</v>
      </c>
      <c r="G123" s="20"/>
      <c r="H123" s="39"/>
      <c r="I123" s="39"/>
      <c r="J123" s="26"/>
      <c r="K123" s="62" t="s">
        <v>93</v>
      </c>
      <c r="L123" s="47" t="s">
        <v>178</v>
      </c>
    </row>
    <row r="124" spans="1:12" ht="13.8" x14ac:dyDescent="0.25">
      <c r="B124" s="17" t="s">
        <v>192</v>
      </c>
      <c r="C124" s="20">
        <v>12.88</v>
      </c>
      <c r="D124" s="48">
        <v>1</v>
      </c>
      <c r="E124" s="39" t="s">
        <v>193</v>
      </c>
      <c r="F124" s="20">
        <f>D124*C124</f>
        <v>12.88</v>
      </c>
      <c r="G124" s="40"/>
      <c r="H124" s="40"/>
      <c r="I124" s="40"/>
      <c r="J124" s="41"/>
      <c r="K124" s="62" t="s">
        <v>71</v>
      </c>
      <c r="L124" s="47" t="s">
        <v>194</v>
      </c>
    </row>
    <row r="125" spans="1:12" ht="13.8" x14ac:dyDescent="0.25">
      <c r="B125" s="17" t="s">
        <v>200</v>
      </c>
      <c r="C125" s="20">
        <v>7.98</v>
      </c>
      <c r="D125" s="39">
        <v>1</v>
      </c>
      <c r="E125" s="39" t="s">
        <v>201</v>
      </c>
      <c r="F125" s="20">
        <f>D125*C125</f>
        <v>7.98</v>
      </c>
      <c r="G125" s="20"/>
      <c r="H125" s="39"/>
      <c r="I125" s="39"/>
      <c r="J125" s="26"/>
      <c r="K125" s="62" t="s">
        <v>71</v>
      </c>
      <c r="L125" s="47" t="s">
        <v>141</v>
      </c>
    </row>
    <row r="126" spans="1:12" s="40" customFormat="1" ht="13.8" x14ac:dyDescent="0.25">
      <c r="A126" s="65"/>
      <c r="B126" s="17" t="s">
        <v>212</v>
      </c>
      <c r="C126" s="20">
        <v>11.18</v>
      </c>
      <c r="D126" s="39">
        <v>1</v>
      </c>
      <c r="E126" s="39" t="s">
        <v>213</v>
      </c>
      <c r="F126" s="20">
        <f>D126*C126</f>
        <v>11.18</v>
      </c>
      <c r="G126" s="20"/>
      <c r="H126" s="39"/>
      <c r="I126" s="39"/>
      <c r="J126" s="26"/>
      <c r="K126" s="62" t="s">
        <v>71</v>
      </c>
      <c r="L126" s="47" t="s">
        <v>141</v>
      </c>
    </row>
    <row r="127" spans="1:12" x14ac:dyDescent="0.25">
      <c r="B127" s="33" t="s">
        <v>199</v>
      </c>
      <c r="C127" s="25"/>
      <c r="D127" s="37"/>
      <c r="E127" s="37"/>
      <c r="F127" s="26">
        <f>SUM(F112:F125)*0.053</f>
        <v>15.749479999999995</v>
      </c>
      <c r="G127" s="37"/>
      <c r="H127" s="37"/>
      <c r="I127" s="37"/>
      <c r="J127" s="36"/>
    </row>
    <row r="128" spans="1:12" x14ac:dyDescent="0.25">
      <c r="B128" s="27" t="s">
        <v>14</v>
      </c>
      <c r="C128" s="28"/>
      <c r="D128" s="29"/>
      <c r="E128" s="29"/>
      <c r="F128" s="28">
        <f>SUM(F112:F127)</f>
        <v>324.08947999999992</v>
      </c>
      <c r="G128" s="28"/>
      <c r="H128" s="29"/>
      <c r="I128" s="29"/>
      <c r="J128" s="28">
        <f>SUM(J112:J127)</f>
        <v>0</v>
      </c>
    </row>
    <row r="130" spans="2:3" ht="13.8" x14ac:dyDescent="0.25">
      <c r="B130" s="60" t="s">
        <v>206</v>
      </c>
      <c r="C130" s="57">
        <f>$F$26+$F$55+$F$73+$F$89+$F$108+$F$128</f>
        <v>1936.1172300000001</v>
      </c>
    </row>
    <row r="131" spans="2:3" ht="13.8" x14ac:dyDescent="0.25">
      <c r="B131" s="58" t="s">
        <v>205</v>
      </c>
      <c r="C131" s="59">
        <f>C130/Summary!$P$5</f>
        <v>32.268620500000004</v>
      </c>
    </row>
    <row r="132" spans="2:3" ht="13.8" x14ac:dyDescent="0.25">
      <c r="B132" s="58" t="s">
        <v>230</v>
      </c>
      <c r="C132" s="59">
        <f>C131/5</f>
        <v>6.4537241000000005</v>
      </c>
    </row>
    <row r="133" spans="2:3" x14ac:dyDescent="0.25">
      <c r="B133" s="44"/>
    </row>
    <row r="135" spans="2:3" ht="13.8" x14ac:dyDescent="0.25">
      <c r="B135" s="98" t="s">
        <v>231</v>
      </c>
      <c r="C135" s="98"/>
    </row>
    <row r="136" spans="2:3" ht="13.8" x14ac:dyDescent="0.25">
      <c r="B136" s="60" t="s">
        <v>206</v>
      </c>
      <c r="C136" s="57">
        <f>$F$26+$F$55+$F$73+$F$89+$F$128</f>
        <v>1463.1472299999998</v>
      </c>
    </row>
    <row r="137" spans="2:3" ht="13.8" x14ac:dyDescent="0.25">
      <c r="B137" s="58" t="s">
        <v>205</v>
      </c>
      <c r="C137" s="59">
        <f>C136/Summary!$P$5</f>
        <v>24.385787166666663</v>
      </c>
    </row>
    <row r="138" spans="2:3" ht="13.8" x14ac:dyDescent="0.25">
      <c r="B138" s="58" t="s">
        <v>230</v>
      </c>
      <c r="C138" s="59">
        <f>C137/4</f>
        <v>6.0964467916666658</v>
      </c>
    </row>
  </sheetData>
  <mergeCells count="26">
    <mergeCell ref="B135:C135"/>
    <mergeCell ref="B110:B111"/>
    <mergeCell ref="C110:F110"/>
    <mergeCell ref="G110:J110"/>
    <mergeCell ref="B75:B76"/>
    <mergeCell ref="C75:F75"/>
    <mergeCell ref="G75:J75"/>
    <mergeCell ref="B91:B92"/>
    <mergeCell ref="C91:F91"/>
    <mergeCell ref="G91:J91"/>
    <mergeCell ref="B57:B58"/>
    <mergeCell ref="C57:F57"/>
    <mergeCell ref="G57:J57"/>
    <mergeCell ref="B3:B4"/>
    <mergeCell ref="C3:F3"/>
    <mergeCell ref="G3:J3"/>
    <mergeCell ref="B30:B31"/>
    <mergeCell ref="C30:F30"/>
    <mergeCell ref="G30:J30"/>
    <mergeCell ref="A77:A84"/>
    <mergeCell ref="A59:A64"/>
    <mergeCell ref="A65:A69"/>
    <mergeCell ref="A5:A17"/>
    <mergeCell ref="A18:A22"/>
    <mergeCell ref="A32:A45"/>
    <mergeCell ref="A46:A49"/>
  </mergeCells>
  <phoneticPr fontId="19" type="noConversion"/>
  <hyperlinks>
    <hyperlink ref="K94" r:id="rId1" xr:uid="{453CA455-5904-4A98-8C38-0A1456CFCFB3}"/>
    <hyperlink ref="K99" r:id="rId2" xr:uid="{02D21629-D4AE-432F-B785-01C7694E2E7C}"/>
    <hyperlink ref="K33" r:id="rId3" xr:uid="{AA5F1D2F-D0E1-4DB1-8DF0-5B78FB99656C}"/>
    <hyperlink ref="K34" r:id="rId4" xr:uid="{28B59371-F139-486A-A1CB-AFF1BF4EF5B7}"/>
    <hyperlink ref="K35" r:id="rId5" xr:uid="{F24C7281-D369-4A33-9F1E-7C963E617D3E}"/>
    <hyperlink ref="K36" r:id="rId6" xr:uid="{C20BE2C4-69C7-4E65-BD97-DED68E2552F3}"/>
    <hyperlink ref="K32" r:id="rId7" xr:uid="{554D761F-48C7-4F8A-9654-27B9CC384706}"/>
    <hyperlink ref="A32" r:id="rId8" xr:uid="{F7A6CC27-9F96-4473-9F37-421A891B57FB}"/>
    <hyperlink ref="K37" r:id="rId9" xr:uid="{16898B43-64C4-427D-A167-CC7699C4A1BB}"/>
    <hyperlink ref="K39" r:id="rId10" xr:uid="{B62F67EA-4776-4020-83CE-2E8216F0E871}"/>
    <hyperlink ref="K38" r:id="rId11" xr:uid="{2A1AC221-196F-4465-A082-F7CA8CDF7DA2}"/>
    <hyperlink ref="K40" r:id="rId12" xr:uid="{BA1AEA63-9F60-4AF3-8439-B811FFC1F3F9}"/>
    <hyperlink ref="K41" r:id="rId13" xr:uid="{60A2FFC0-0FA9-4E3A-8A52-8F897EA03AD6}"/>
    <hyperlink ref="K42" r:id="rId14" xr:uid="{538B51AD-72A5-4212-853D-1D65011F7023}"/>
    <hyperlink ref="K43" r:id="rId15" xr:uid="{CEC3790A-D775-468F-BF11-CCCFCA07D38A}"/>
    <hyperlink ref="K45" r:id="rId16" xr:uid="{0A8AFF4E-AE39-4BA2-B2BE-A30A850D09BA}"/>
    <hyperlink ref="K44" r:id="rId17" xr:uid="{FE6ABCCD-6287-407F-885B-042F0EAAC671}"/>
    <hyperlink ref="K46" r:id="rId18" xr:uid="{4B14EBA1-035D-458A-98A6-3EE439129665}"/>
    <hyperlink ref="K47" r:id="rId19" xr:uid="{4AA384CA-EC2C-45D7-B387-1C4B8E66AFEE}"/>
    <hyperlink ref="K48" r:id="rId20" xr:uid="{E433D341-ABBB-46F7-B02E-2E398685A8C4}"/>
    <hyperlink ref="K49" r:id="rId21" xr:uid="{B6B0A2AD-2E24-4E41-BB50-E69F21C6EC65}"/>
    <hyperlink ref="K51" r:id="rId22" xr:uid="{457AFDEF-3F2D-42B6-8391-0E90563B5872}"/>
    <hyperlink ref="K50" r:id="rId23" xr:uid="{50796419-F425-462A-AD20-DD5A750C9478}"/>
    <hyperlink ref="K112" r:id="rId24" xr:uid="{E5E280A1-626F-4528-BB95-9CD9E99E3BCE}"/>
    <hyperlink ref="K113" r:id="rId25" xr:uid="{FFFE1FA5-81EB-4057-BBD6-795883B63ABF}"/>
    <hyperlink ref="K114" r:id="rId26" xr:uid="{FBC3F2BE-63FB-4B3F-AE47-40999C7A007D}"/>
    <hyperlink ref="K118" r:id="rId27" xr:uid="{3488F554-BD65-4657-8A5C-0436ADBC8A99}"/>
    <hyperlink ref="K11" r:id="rId28" xr:uid="{119D5FC3-A435-46A7-8B4B-9B476D5FFBB8}"/>
    <hyperlink ref="K12" r:id="rId29" xr:uid="{CF477D29-E4C2-40CD-BF92-4B03780B531A}"/>
    <hyperlink ref="K9" r:id="rId30" xr:uid="{DB30C7CE-902D-42FA-AFCE-93326213C34E}"/>
    <hyperlink ref="K10" r:id="rId31" xr:uid="{D5AA07C7-496D-4829-A1EE-8AEF59F0477E}"/>
    <hyperlink ref="K8" r:id="rId32" xr:uid="{784EBB75-8486-4581-A004-4272277C1692}"/>
    <hyperlink ref="K7" r:id="rId33" xr:uid="{08F52763-F0D8-4EBC-83A2-7CA267F9EB5A}"/>
    <hyperlink ref="K13" r:id="rId34" xr:uid="{8C0C3B12-AA35-4EF2-90C9-9DB31956C3E5}"/>
    <hyperlink ref="K19" r:id="rId35" xr:uid="{442F570C-55F5-4C31-B5E9-FEDE28032AF5}"/>
    <hyperlink ref="K52" r:id="rId36" xr:uid="{7F94043F-2AE8-464F-B7FC-52E571549591}"/>
    <hyperlink ref="K103" r:id="rId37" xr:uid="{38E15D51-5517-42BC-B128-476561D42B82}"/>
    <hyperlink ref="K100" r:id="rId38" xr:uid="{367F2E2E-096F-4A67-8059-8469002DFD90}"/>
    <hyperlink ref="K101" r:id="rId39" xr:uid="{A4402A26-B14C-46A5-9DC0-F8A25D4AC38F}"/>
    <hyperlink ref="K119" r:id="rId40" xr:uid="{52AE785B-D3C8-4656-99AA-44C7F0A9F9BF}"/>
    <hyperlink ref="K70" r:id="rId41" xr:uid="{6D9A52AD-B5C3-4AAA-B832-3CD1FEFF8169}"/>
    <hyperlink ref="K63" r:id="rId42" xr:uid="{8FCBAC2D-3A23-4681-8F3F-286F52863518}"/>
    <hyperlink ref="K62" r:id="rId43" xr:uid="{DBDAD7B1-2BC6-43AE-8D5D-FEC8C2C58D6D}"/>
    <hyperlink ref="K61" r:id="rId44" xr:uid="{1AFFF391-5E11-49D8-9EE8-186EA8B09748}"/>
    <hyperlink ref="K14" r:id="rId45" xr:uid="{3E243AF9-9ABA-4884-A562-67486B1FCECB}"/>
    <hyperlink ref="K15" r:id="rId46" xr:uid="{636B72E5-2383-4917-9CD3-004A12EA3E8B}"/>
    <hyperlink ref="K18" r:id="rId47" xr:uid="{0605228F-B495-4701-89EA-589D6F9D653F}"/>
    <hyperlink ref="K23" r:id="rId48" xr:uid="{EFE3FCC7-48EC-4A6A-9F3D-D4A1D4C5027D}"/>
    <hyperlink ref="K64" r:id="rId49" xr:uid="{EED655AB-F1D8-48F1-8534-C54248028753}"/>
    <hyperlink ref="K120" r:id="rId50" xr:uid="{C4BE93CD-685F-4F9E-B45A-ED8E4114472A}"/>
    <hyperlink ref="K122" r:id="rId51" xr:uid="{99A7738E-9CD7-41D8-B9DC-BF8C953C049B}"/>
    <hyperlink ref="K123" r:id="rId52" xr:uid="{EE36454A-1619-4668-B611-0223A42494E1}"/>
    <hyperlink ref="K17" r:id="rId53" xr:uid="{4BCDEAE9-032C-4BE1-92FA-98B00DCC9F31}"/>
    <hyperlink ref="K16" r:id="rId54" xr:uid="{A625CD79-E7BF-4BD8-B43F-6DD5EF4C4B28}"/>
    <hyperlink ref="K65" r:id="rId55" xr:uid="{3B4F4860-F21D-4F8D-9F14-239B9CD31201}"/>
    <hyperlink ref="K66" r:id="rId56" xr:uid="{65A35142-02B0-4FB1-8944-62C8E61DE8DF}"/>
    <hyperlink ref="K22" r:id="rId57" xr:uid="{AEFF694E-7FE1-4C3E-B7AC-6E82D4F9C557}"/>
    <hyperlink ref="K21" r:id="rId58" xr:uid="{860329E4-B6E6-4CF0-BA22-3F68A3E78526}"/>
    <hyperlink ref="K20" r:id="rId59" xr:uid="{338B1439-E87B-443C-805B-0C9697428AB5}"/>
    <hyperlink ref="K69" r:id="rId60" xr:uid="{726A4666-5E07-48A0-82A9-C3312E7EF64F}"/>
    <hyperlink ref="K68" r:id="rId61" xr:uid="{52CC2BE9-DDF5-480E-BEAE-9FE1919D5FAC}"/>
    <hyperlink ref="K67" r:id="rId62" xr:uid="{806E428A-1623-42BF-BE28-BE9EFDE8F4E7}"/>
    <hyperlink ref="K121" r:id="rId63" xr:uid="{A69AF318-DF93-4097-839D-F0E8F055F532}"/>
    <hyperlink ref="K124" r:id="rId64" xr:uid="{334E0EE9-D3FE-46E1-8447-8430D50F2D06}"/>
    <hyperlink ref="K93" r:id="rId65" xr:uid="{873A1C7B-2A23-42DC-8B33-FFC368393347}"/>
    <hyperlink ref="K96" r:id="rId66" xr:uid="{053BF3D5-DCB9-4407-AB08-003DE96FA055}"/>
    <hyperlink ref="K106" r:id="rId67" xr:uid="{DBA95156-25A2-4CEC-A669-CAEDC8D511DD}"/>
    <hyperlink ref="K78" r:id="rId68" xr:uid="{ECB5DE99-FC6C-4FBA-AC46-B5E569D32422}"/>
    <hyperlink ref="K79" r:id="rId69" xr:uid="{7F65C9FB-3539-46F9-9727-FA6A7CFD08D9}"/>
    <hyperlink ref="K77" r:id="rId70" xr:uid="{FDD7093C-5931-4AA7-ADFC-101588B03E34}"/>
    <hyperlink ref="K84" r:id="rId71" xr:uid="{D03C0426-DC29-48F1-9C56-B6A4275C923D}"/>
    <hyperlink ref="K83" r:id="rId72" xr:uid="{F928C0FE-A307-4846-8072-E7D304986395}"/>
    <hyperlink ref="K86" r:id="rId73" xr:uid="{4BE3FDF9-1B63-45C1-8DF0-310C4021B201}"/>
    <hyperlink ref="K85" r:id="rId74" xr:uid="{39E8AB0A-1A15-4F2B-BECB-63D9EC768A92}"/>
    <hyperlink ref="K87" r:id="rId75" xr:uid="{328023CB-2A63-4721-A00A-07F2E12D849A}"/>
    <hyperlink ref="K80" r:id="rId76" xr:uid="{39354D02-B551-472C-B143-A202EAE63AA2}"/>
    <hyperlink ref="K126" r:id="rId77" xr:uid="{32BC32EF-460E-46EB-B02B-456C30D56ABE}"/>
    <hyperlink ref="K125" r:id="rId78" xr:uid="{5583F28F-6864-4F14-95DB-4948907752C6}"/>
    <hyperlink ref="K115" r:id="rId79" xr:uid="{502B8A1F-B953-4FFF-BE55-5B364C211FE3}"/>
    <hyperlink ref="K116" r:id="rId80" xr:uid="{1DF4A6F1-35CB-410D-B10D-F1023430F2A6}"/>
    <hyperlink ref="K117" r:id="rId81" xr:uid="{0F0FA39B-527F-411C-AD34-8482E60B2F23}"/>
    <hyperlink ref="K82" r:id="rId82" xr:uid="{B5E9D1DD-3E07-4FD1-9694-7C20E27E7CF4}"/>
    <hyperlink ref="K81" r:id="rId83" xr:uid="{C19756EE-D2D9-4D04-A77F-D969E52C78FC}"/>
    <hyperlink ref="K105" r:id="rId84" xr:uid="{D949E0FC-EAF2-49FB-867B-84373112A7A8}"/>
    <hyperlink ref="K24" r:id="rId85" xr:uid="{F933B88F-6422-440B-B322-8131AC7AD7E0}"/>
    <hyperlink ref="K71" r:id="rId86" xr:uid="{F2EE3442-7ED0-426E-BF7D-BD12DBDFB550}"/>
    <hyperlink ref="K88" r:id="rId87" xr:uid="{F70B5D11-CA9C-47AC-A052-9FA4566D94EA}"/>
    <hyperlink ref="K53" r:id="rId88" xr:uid="{0B480ED9-71B9-4305-B793-C5BF622E3572}"/>
  </hyperlinks>
  <pageMargins left="0.7" right="0.7" top="0.75" bottom="0.75" header="0.3" footer="0.3"/>
  <pageSetup orientation="portrait" horizontalDpi="4294967293" verticalDpi="0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Meals</vt:lpstr>
      <vt:lpstr>DataTable_Sheet1_R2</vt:lpstr>
      <vt:lpstr>DataTable_Sheet1_T5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 Petras</cp:lastModifiedBy>
  <dcterms:modified xsi:type="dcterms:W3CDTF">2021-03-17T02:08:54Z</dcterms:modified>
</cp:coreProperties>
</file>