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g409\Documents\UON\CIT\COURSES\2022\Semester 1\INFT3100\LABS\INFT3100 Wk3 Lab\"/>
    </mc:Choice>
  </mc:AlternateContent>
  <bookViews>
    <workbookView xWindow="0" yWindow="0" windowWidth="20490" windowHeight="7550"/>
  </bookViews>
  <sheets>
    <sheet name="Question 1" sheetId="5" r:id="rId1"/>
    <sheet name="Question 2a" sheetId="1" r:id="rId2"/>
    <sheet name="Question 2b" sheetId="2" r:id="rId3"/>
    <sheet name="Question 3" sheetId="3" r:id="rId4"/>
    <sheet name="Question 4" sheetId="4" r:id="rId5"/>
  </sheets>
  <calcPr calcId="162913"/>
</workbook>
</file>

<file path=xl/calcChain.xml><?xml version="1.0" encoding="utf-8"?>
<calcChain xmlns="http://schemas.openxmlformats.org/spreadsheetml/2006/main">
  <c r="H40" i="2" l="1"/>
  <c r="G40" i="2"/>
  <c r="F40" i="2"/>
  <c r="E40" i="2"/>
  <c r="D40" i="2"/>
  <c r="C40" i="2"/>
  <c r="C41" i="2" s="1"/>
  <c r="H39" i="2"/>
  <c r="G39" i="2"/>
  <c r="F39" i="2"/>
  <c r="E39" i="2"/>
  <c r="D39" i="2"/>
  <c r="C36" i="2"/>
  <c r="C43" i="2" s="1"/>
  <c r="D33" i="1"/>
  <c r="E33" i="1"/>
  <c r="F33" i="1"/>
  <c r="G33" i="1"/>
  <c r="H33" i="1"/>
  <c r="C33" i="1"/>
  <c r="C34" i="1" s="1"/>
  <c r="D32" i="1"/>
  <c r="E32" i="1"/>
  <c r="F32" i="1"/>
  <c r="G32" i="1"/>
  <c r="H32" i="1"/>
  <c r="C32" i="1"/>
  <c r="C29" i="1"/>
  <c r="C36" i="1" s="1"/>
  <c r="G12" i="4"/>
  <c r="G10" i="4"/>
  <c r="G9" i="4"/>
  <c r="G8" i="4"/>
  <c r="G7" i="4"/>
  <c r="C39" i="2" l="1"/>
  <c r="C25" i="2" l="1"/>
  <c r="C12" i="1"/>
  <c r="H15" i="2"/>
  <c r="G15" i="2"/>
  <c r="F15" i="2"/>
  <c r="E15" i="2"/>
  <c r="D15" i="2"/>
  <c r="D11" i="2"/>
  <c r="H11" i="2"/>
  <c r="G11" i="2"/>
  <c r="F11" i="2"/>
  <c r="E11" i="2"/>
  <c r="H16" i="2"/>
  <c r="G16" i="2"/>
  <c r="F16" i="2"/>
  <c r="E16" i="2"/>
  <c r="D16" i="2"/>
  <c r="I16" i="2"/>
  <c r="I18" i="2"/>
  <c r="C22" i="2"/>
  <c r="G31" i="4"/>
  <c r="G21" i="4"/>
  <c r="H27" i="2"/>
  <c r="C12" i="2"/>
  <c r="C21" i="2"/>
  <c r="C16" i="2"/>
  <c r="C18" i="2"/>
  <c r="C19" i="2"/>
  <c r="D12" i="2"/>
  <c r="D18" i="2"/>
  <c r="D19" i="2"/>
  <c r="E12" i="2"/>
  <c r="E18" i="2"/>
  <c r="E19" i="2"/>
  <c r="F12" i="2"/>
  <c r="F18" i="2"/>
  <c r="F19" i="2"/>
  <c r="G12" i="2"/>
  <c r="G18" i="2"/>
  <c r="G19" i="2"/>
  <c r="H12" i="2"/>
  <c r="H18" i="2"/>
  <c r="H19" i="2"/>
  <c r="G30" i="4"/>
  <c r="G20" i="4"/>
  <c r="G11" i="4"/>
  <c r="H8" i="3"/>
  <c r="C8" i="3"/>
  <c r="H7" i="3"/>
  <c r="C7" i="3"/>
  <c r="J20" i="1"/>
  <c r="H21" i="1"/>
  <c r="C21" i="1"/>
  <c r="I14" i="1"/>
  <c r="C18" i="1" s="1"/>
  <c r="D14" i="1"/>
  <c r="G8" i="1"/>
  <c r="G14" i="1" s="1"/>
  <c r="F8" i="1"/>
  <c r="F14" i="1" s="1"/>
  <c r="D8" i="1"/>
  <c r="C8" i="1"/>
  <c r="C14" i="1" s="1"/>
  <c r="H7" i="1"/>
  <c r="H8" i="1" s="1"/>
  <c r="H14" i="1" s="1"/>
  <c r="G7" i="1"/>
  <c r="F7" i="1"/>
  <c r="E7" i="1"/>
  <c r="E8" i="1" s="1"/>
  <c r="E14" i="1" s="1"/>
</calcChain>
</file>

<file path=xl/comments1.xml><?xml version="1.0" encoding="utf-8"?>
<comments xmlns="http://schemas.openxmlformats.org/spreadsheetml/2006/main">
  <authors>
    <author>Karinda Thomson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Karinda Thomson:</t>
        </r>
        <r>
          <rPr>
            <sz val="9"/>
            <color indexed="81"/>
            <rFont val="Tahoma"/>
            <family val="2"/>
          </rPr>
          <t xml:space="preserve">
=1/(1+C4)^1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Karinda Thomson:</t>
        </r>
        <r>
          <rPr>
            <sz val="9"/>
            <color indexed="81"/>
            <rFont val="Tahoma"/>
            <family val="2"/>
          </rPr>
          <t xml:space="preserve">
=Cost*Disc Factor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Karinda Thomson:</t>
        </r>
        <r>
          <rPr>
            <sz val="9"/>
            <color indexed="81"/>
            <rFont val="Tahoma"/>
            <family val="2"/>
          </rPr>
          <t xml:space="preserve">
Same as above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Karinda Thomson:</t>
        </r>
        <r>
          <rPr>
            <sz val="9"/>
            <color indexed="81"/>
            <rFont val="Tahoma"/>
            <family val="2"/>
          </rPr>
          <t xml:space="preserve">
Same as Costs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Karinda Thomson:</t>
        </r>
        <r>
          <rPr>
            <sz val="9"/>
            <color indexed="81"/>
            <rFont val="Tahoma"/>
            <family val="2"/>
          </rPr>
          <t xml:space="preserve">
Disc benefits - costs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Karinda Thomson:</t>
        </r>
        <r>
          <rPr>
            <sz val="9"/>
            <color indexed="81"/>
            <rFont val="Tahoma"/>
            <family val="2"/>
          </rPr>
          <t xml:space="preserve">
Disc Benefits - previous year Cost (NOT DISC COST)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Karinda Thomson:</t>
        </r>
        <r>
          <rPr>
            <sz val="9"/>
            <color indexed="81"/>
            <rFont val="Tahoma"/>
            <family val="2"/>
          </rPr>
          <t xml:space="preserve">
ROI=
(total dsic benefits - total disc costs) / total disc cost</t>
        </r>
      </text>
    </comment>
  </commentList>
</comments>
</file>

<file path=xl/sharedStrings.xml><?xml version="1.0" encoding="utf-8"?>
<sst xmlns="http://schemas.openxmlformats.org/spreadsheetml/2006/main" count="155" uniqueCount="85">
  <si>
    <t>Discounted rate</t>
  </si>
  <si>
    <t>Project</t>
  </si>
  <si>
    <t>Investment/Cost</t>
  </si>
  <si>
    <t>Discount factor</t>
  </si>
  <si>
    <t>Discounted costs</t>
  </si>
  <si>
    <t>Cash Inflows/Benefits</t>
  </si>
  <si>
    <t>Discounted benefits</t>
  </si>
  <si>
    <t>Discounted Benefits - costs</t>
  </si>
  <si>
    <t>Year 0</t>
  </si>
  <si>
    <t>Year 1</t>
  </si>
  <si>
    <t>Year 2</t>
  </si>
  <si>
    <t>Year 3</t>
  </si>
  <si>
    <t>Year 4</t>
  </si>
  <si>
    <t>Year 5</t>
  </si>
  <si>
    <t>NPV</t>
  </si>
  <si>
    <r>
      <t>Discount Factor = 1/(1+discountRate)</t>
    </r>
    <r>
      <rPr>
        <b/>
        <vertAlign val="superscript"/>
        <sz val="11"/>
        <color theme="1"/>
        <rFont val="Calibri"/>
        <family val="2"/>
        <scheme val="minor"/>
      </rPr>
      <t>^year</t>
    </r>
  </si>
  <si>
    <t>Compute using Excel NPV Function</t>
  </si>
  <si>
    <t>ROI</t>
  </si>
  <si>
    <t>TOTAL</t>
  </si>
  <si>
    <t>Instruction: Fill in the following template to answer question 2a</t>
  </si>
  <si>
    <t>Instruction: Use the provided formula to compute payback</t>
  </si>
  <si>
    <t>Payback = Investment / Annual Savings</t>
  </si>
  <si>
    <t xml:space="preserve">Instruction: Use the given table template from the tutorial exercise to answer Question 4 </t>
  </si>
  <si>
    <t>Year</t>
  </si>
  <si>
    <t>Inflows</t>
  </si>
  <si>
    <t>Outflows</t>
  </si>
  <si>
    <t>Net Flow</t>
  </si>
  <si>
    <t>Discount Factor</t>
  </si>
  <si>
    <t>Cumulative Benefits - costs</t>
  </si>
  <si>
    <t>*Compute Payback:</t>
  </si>
  <si>
    <t>If calculated in EXCEL</t>
  </si>
  <si>
    <t>12,895.45/50000</t>
  </si>
  <si>
    <t xml:space="preserve">Between years 3 and 4. </t>
  </si>
  <si>
    <t>??days = 365*(2777.78/(6867.284+2777.78))</t>
  </si>
  <si>
    <t>=</t>
  </si>
  <si>
    <t>day 105 in Year 4</t>
  </si>
  <si>
    <t>Formula = 365*(Y1/(Y2+Y1))</t>
  </si>
  <si>
    <t>ROI = Annual Savings - cost/Investment</t>
  </si>
  <si>
    <t>Project A</t>
  </si>
  <si>
    <t>years</t>
  </si>
  <si>
    <t xml:space="preserve">Higher rate of return (gets money back faster compared to Project B) </t>
  </si>
  <si>
    <t>Project B</t>
  </si>
  <si>
    <t>62895.45-50000</t>
  </si>
  <si>
    <t>Instruction: Fill in the following template to answer question 2b</t>
  </si>
  <si>
    <t>Disc benefit minus disc cost</t>
  </si>
  <si>
    <t>Look at the (Cumulative disc. Benefits - Costs), it starts generate positive amount in year 4,</t>
  </si>
  <si>
    <t xml:space="preserve"> this shows that the project has payback somewhere between year 3 and year 4.</t>
  </si>
  <si>
    <t>3 years and ?? Days</t>
  </si>
  <si>
    <t>day 216 in Year 4</t>
  </si>
  <si>
    <t>Discount Rate - 0.23 (3% inflation + 20% rate of return)</t>
  </si>
  <si>
    <t>2b. If the required rate of return is 20 per cent, conduct a discounted cash flow calculation to determine the NPV</t>
  </si>
  <si>
    <t>Just change the discount rate = 0.23 (23%) and then change/recalculate the Discount Factors for 0.23. (20% Rate of return + 3% inflation)</t>
  </si>
  <si>
    <t>Most students classify the projects as follows:</t>
  </si>
  <si>
    <t>Compliance: d., g., i.</t>
  </si>
  <si>
    <t>Operational: a., c., j.</t>
  </si>
  <si>
    <t>Strategic:  b., e., f., h.</t>
  </si>
  <si>
    <t>Follow Up Question  - What do you think you now know that would be useful for managing projects at the hotel?</t>
  </si>
  <si>
    <t xml:space="preserve">In real life they would have such information.  Debates occur around whether converting the heating system to solar polar was an operational necessity or to fit the eco-friendly image. </t>
  </si>
  <si>
    <t xml:space="preserve">Most students claim it was not too difficult to classify the projects other than they had to make judgment calls given the limited information.  </t>
  </si>
  <si>
    <t xml:space="preserve"> Likewise, launching the promotional campaign with Hawaii Airlines would be considered strategic if it promoted the eco-tourism theme, otherwise it could be consider operational.</t>
  </si>
  <si>
    <t xml:space="preserve">By classifying the projects, prioritizing is more easily done.  Different selection criteria can be used for selecting strategic versus operational projects.  </t>
  </si>
  <si>
    <t>Financially, senior management would have more information to divide the total money pie allocated to projects.</t>
  </si>
  <si>
    <t>Click on the tabs below to see solutions to the different questions:</t>
  </si>
  <si>
    <t>(Discount Rate)</t>
  </si>
  <si>
    <t>Clothing is the only project they should choose (positive NPV)</t>
  </si>
  <si>
    <t>Discounted CF</t>
  </si>
  <si>
    <t>Project: A</t>
  </si>
  <si>
    <t>Project: B</t>
  </si>
  <si>
    <t>Project: C</t>
  </si>
  <si>
    <t>Project Alpha has the better payback</t>
  </si>
  <si>
    <t>Simpler Template</t>
  </si>
  <si>
    <t>Netflows</t>
  </si>
  <si>
    <t>PV of netflows</t>
  </si>
  <si>
    <t>Discount factor (from Discount factor table)</t>
  </si>
  <si>
    <t>PV of netflows (using formula)</t>
  </si>
  <si>
    <t>NPV using excel function</t>
  </si>
  <si>
    <t>PLEASE SCROLL DOWN TO FIND SIMPLER TEMPLATE</t>
  </si>
  <si>
    <t>PV = FV / (1+r)^n</t>
  </si>
  <si>
    <t xml:space="preserve">       = FV * 1/(1+r)^n</t>
  </si>
  <si>
    <t xml:space="preserve">       = FV * DF </t>
  </si>
  <si>
    <t>DF = Discount factor</t>
  </si>
  <si>
    <t>Discount rate is sometimes called rate of return.</t>
  </si>
  <si>
    <t>Discount rate</t>
  </si>
  <si>
    <t>Discount rate and discount factor are not same thing.</t>
  </si>
  <si>
    <t>PV or Discounted Netflow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</si>
</sst>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_-&quot;£&quot;* #,##0.00_-;\-&quot;£&quot;* #,##0.00_-;_-&quot;£&quot;* &quot;-&quot;??_-;_-@_-"/>
    <numFmt numFmtId="166" formatCode="[$$-C09]#,##0.00;\-[$$-C09]#,##0.00"/>
    <numFmt numFmtId="167" formatCode="[$$-C09]#,##0.00"/>
    <numFmt numFmtId="168" formatCode="[$$-C09]#,##0.00;[Red]\-[$$-C09]#,##0.0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66FF"/>
      <name val="Cambria"/>
      <family val="1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8" fontId="0" fillId="2" borderId="1" xfId="0" applyNumberFormat="1" applyFill="1" applyBorder="1"/>
    <xf numFmtId="0" fontId="1" fillId="0" borderId="1" xfId="0" applyFont="1" applyFill="1" applyBorder="1"/>
    <xf numFmtId="0" fontId="1" fillId="3" borderId="0" xfId="0" applyFont="1" applyFill="1"/>
    <xf numFmtId="2" fontId="0" fillId="0" borderId="0" xfId="0" applyNumberFormat="1"/>
    <xf numFmtId="2" fontId="0" fillId="0" borderId="1" xfId="0" applyNumberFormat="1" applyBorder="1"/>
    <xf numFmtId="44" fontId="0" fillId="0" borderId="1" xfId="0" applyNumberFormat="1" applyBorder="1"/>
    <xf numFmtId="44" fontId="0" fillId="2" borderId="1" xfId="0" applyNumberFormat="1" applyFill="1" applyBorder="1" applyAlignment="1">
      <alignment horizontal="center"/>
    </xf>
    <xf numFmtId="9" fontId="0" fillId="2" borderId="1" xfId="2" applyFont="1" applyFill="1" applyBorder="1"/>
    <xf numFmtId="0" fontId="1" fillId="0" borderId="0" xfId="0" quotePrefix="1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166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7" fontId="0" fillId="0" borderId="1" xfId="0" applyNumberFormat="1" applyBorder="1"/>
    <xf numFmtId="167" fontId="0" fillId="0" borderId="1" xfId="1" applyNumberFormat="1" applyFont="1" applyBorder="1"/>
    <xf numFmtId="167" fontId="0" fillId="0" borderId="1" xfId="1" applyNumberFormat="1" applyFont="1" applyBorder="1" applyAlignment="1">
      <alignment horizontal="right"/>
    </xf>
    <xf numFmtId="167" fontId="0" fillId="2" borderId="1" xfId="1" applyNumberFormat="1" applyFont="1" applyFill="1" applyBorder="1" applyAlignment="1">
      <alignment horizontal="right"/>
    </xf>
    <xf numFmtId="0" fontId="0" fillId="0" borderId="1" xfId="0" applyFill="1" applyBorder="1"/>
    <xf numFmtId="165" fontId="0" fillId="0" borderId="1" xfId="1" applyFont="1" applyBorder="1"/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1" xfId="1" applyFont="1" applyBorder="1" applyAlignment="1">
      <alignment horizontal="center"/>
    </xf>
    <xf numFmtId="44" fontId="0" fillId="2" borderId="1" xfId="0" applyNumberFormat="1" applyFill="1" applyBorder="1"/>
    <xf numFmtId="0" fontId="5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168" fontId="0" fillId="4" borderId="0" xfId="0" applyNumberFormat="1" applyFill="1"/>
    <xf numFmtId="169" fontId="0" fillId="0" borderId="1" xfId="0" applyNumberFormat="1" applyBorder="1"/>
    <xf numFmtId="2" fontId="0" fillId="2" borderId="1" xfId="0" applyNumberFormat="1" applyFill="1" applyBorder="1"/>
    <xf numFmtId="2" fontId="0" fillId="4" borderId="0" xfId="0" applyNumberFormat="1" applyFill="1"/>
    <xf numFmtId="0" fontId="0" fillId="5" borderId="0" xfId="0" applyFill="1"/>
    <xf numFmtId="164" fontId="0" fillId="0" borderId="1" xfId="0" applyNumberFormat="1" applyBorder="1"/>
    <xf numFmtId="0" fontId="0" fillId="6" borderId="0" xfId="0" applyFill="1"/>
    <xf numFmtId="0" fontId="1" fillId="6" borderId="0" xfId="0" applyFont="1" applyFill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9</xdr:row>
      <xdr:rowOff>47625</xdr:rowOff>
    </xdr:from>
    <xdr:to>
      <xdr:col>12</xdr:col>
      <xdr:colOff>276225</xdr:colOff>
      <xdr:row>14</xdr:row>
      <xdr:rowOff>47625</xdr:rowOff>
    </xdr:to>
    <xdr:sp macro="" textlink="">
      <xdr:nvSpPr>
        <xdr:cNvPr id="2" name="Down Arrow 1"/>
        <xdr:cNvSpPr/>
      </xdr:nvSpPr>
      <xdr:spPr>
        <a:xfrm>
          <a:off x="11315700" y="1790700"/>
          <a:ext cx="542925" cy="952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tabSelected="1" workbookViewId="0">
      <selection activeCell="F10" sqref="F10"/>
    </sheetView>
  </sheetViews>
  <sheetFormatPr defaultRowHeight="14.5" x14ac:dyDescent="0.35"/>
  <sheetData>
    <row r="3" spans="1:1" x14ac:dyDescent="0.35">
      <c r="A3" t="s">
        <v>52</v>
      </c>
    </row>
    <row r="5" spans="1:1" x14ac:dyDescent="0.35">
      <c r="A5" t="s">
        <v>53</v>
      </c>
    </row>
    <row r="6" spans="1:1" x14ac:dyDescent="0.35">
      <c r="A6" t="s">
        <v>54</v>
      </c>
    </row>
    <row r="7" spans="1:1" x14ac:dyDescent="0.35">
      <c r="A7" t="s">
        <v>55</v>
      </c>
    </row>
    <row r="9" spans="1:1" x14ac:dyDescent="0.35">
      <c r="A9" t="s">
        <v>58</v>
      </c>
    </row>
    <row r="10" spans="1:1" x14ac:dyDescent="0.35">
      <c r="A10" t="s">
        <v>57</v>
      </c>
    </row>
    <row r="11" spans="1:1" x14ac:dyDescent="0.35">
      <c r="A11" t="s">
        <v>59</v>
      </c>
    </row>
    <row r="13" spans="1:1" x14ac:dyDescent="0.35">
      <c r="A13" t="s">
        <v>56</v>
      </c>
    </row>
    <row r="15" spans="1:1" x14ac:dyDescent="0.35">
      <c r="A15" t="s">
        <v>60</v>
      </c>
    </row>
    <row r="16" spans="1:1" x14ac:dyDescent="0.35">
      <c r="A16" t="s">
        <v>61</v>
      </c>
    </row>
    <row r="21" spans="1:1" x14ac:dyDescent="0.35">
      <c r="A2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workbookViewId="0">
      <selection activeCell="C34" sqref="C34"/>
    </sheetView>
  </sheetViews>
  <sheetFormatPr defaultRowHeight="14.5" x14ac:dyDescent="0.35"/>
  <cols>
    <col min="2" max="2" width="40.7265625" customWidth="1"/>
    <col min="3" max="3" width="14.26953125" customWidth="1"/>
    <col min="4" max="6" width="11.54296875" bestFit="1" customWidth="1"/>
    <col min="7" max="7" width="13.81640625" customWidth="1"/>
    <col min="8" max="8" width="14.26953125" customWidth="1"/>
    <col min="9" max="9" width="12" bestFit="1" customWidth="1"/>
    <col min="10" max="10" width="16.453125" customWidth="1"/>
  </cols>
  <sheetData>
    <row r="2" spans="1:14" x14ac:dyDescent="0.35">
      <c r="A2" s="2" t="s">
        <v>19</v>
      </c>
    </row>
    <row r="4" spans="1:14" x14ac:dyDescent="0.35">
      <c r="B4" s="2" t="s">
        <v>0</v>
      </c>
      <c r="C4" s="2">
        <v>0.2</v>
      </c>
    </row>
    <row r="5" spans="1:14" ht="16.5" x14ac:dyDescent="0.35">
      <c r="B5" s="1" t="s">
        <v>1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7" t="s">
        <v>18</v>
      </c>
      <c r="J5" s="4" t="s">
        <v>15</v>
      </c>
      <c r="K5" s="5"/>
      <c r="L5" s="5"/>
      <c r="M5" s="5"/>
    </row>
    <row r="6" spans="1:14" x14ac:dyDescent="0.35">
      <c r="B6" s="1" t="s">
        <v>2</v>
      </c>
      <c r="C6" s="1">
        <v>-50000</v>
      </c>
      <c r="D6" s="1"/>
      <c r="E6" s="1"/>
      <c r="F6" s="1"/>
      <c r="G6" s="1"/>
      <c r="H6" s="1"/>
      <c r="I6" s="8"/>
    </row>
    <row r="7" spans="1:14" x14ac:dyDescent="0.35">
      <c r="B7" s="1" t="s">
        <v>3</v>
      </c>
      <c r="C7" s="1">
        <v>1</v>
      </c>
      <c r="D7" s="13">
        <v>0.83333333333333337</v>
      </c>
      <c r="E7" s="14">
        <f>1/(1+C4)^2</f>
        <v>0.69444444444444442</v>
      </c>
      <c r="F7" s="14">
        <f>1/(1+C4)^3</f>
        <v>0.57870370370370372</v>
      </c>
      <c r="G7" s="14">
        <f>1/(1+C4)^4</f>
        <v>0.48225308641975312</v>
      </c>
      <c r="H7" s="14">
        <f>1/(1+C4)^5</f>
        <v>0.4018775720164609</v>
      </c>
      <c r="I7" s="23"/>
    </row>
    <row r="8" spans="1:14" x14ac:dyDescent="0.35">
      <c r="B8" s="1" t="s">
        <v>4</v>
      </c>
      <c r="C8" s="15">
        <f>C6*C7</f>
        <v>-50000</v>
      </c>
      <c r="D8" s="15">
        <f t="shared" ref="D8:H8" si="0">D6*D7</f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24">
        <v>50000</v>
      </c>
    </row>
    <row r="9" spans="1:14" x14ac:dyDescent="0.35">
      <c r="B9" s="1"/>
      <c r="C9" s="1"/>
      <c r="D9" s="25"/>
      <c r="E9" s="25"/>
      <c r="F9" s="25"/>
      <c r="G9" s="25"/>
      <c r="H9" s="25"/>
      <c r="I9" s="23"/>
      <c r="K9" s="46" t="s">
        <v>76</v>
      </c>
      <c r="L9" s="46"/>
      <c r="M9" s="46"/>
      <c r="N9" s="46"/>
    </row>
    <row r="10" spans="1:14" x14ac:dyDescent="0.35">
      <c r="B10" s="1" t="s">
        <v>5</v>
      </c>
      <c r="C10" s="1">
        <v>0</v>
      </c>
      <c r="D10" s="26">
        <v>15000</v>
      </c>
      <c r="E10" s="27">
        <v>25000</v>
      </c>
      <c r="F10" s="26">
        <v>30000</v>
      </c>
      <c r="G10" s="26">
        <v>20000</v>
      </c>
      <c r="H10" s="26">
        <v>15000</v>
      </c>
      <c r="I10" s="23"/>
    </row>
    <row r="11" spans="1:14" x14ac:dyDescent="0.35">
      <c r="B11" s="1" t="s">
        <v>3</v>
      </c>
      <c r="C11" s="1">
        <v>1</v>
      </c>
      <c r="D11" s="13">
        <v>0.83333333333333337</v>
      </c>
      <c r="E11" s="14">
        <v>0.69</v>
      </c>
      <c r="F11" s="14">
        <v>0.57999999999999996</v>
      </c>
      <c r="G11" s="14">
        <v>0.48</v>
      </c>
      <c r="H11" s="14">
        <v>0.4</v>
      </c>
      <c r="I11" s="23"/>
    </row>
    <row r="12" spans="1:14" x14ac:dyDescent="0.35">
      <c r="B12" s="1" t="s">
        <v>6</v>
      </c>
      <c r="C12" s="15">
        <f t="shared" ref="C12" si="1">C10*C11</f>
        <v>0</v>
      </c>
      <c r="D12" s="27">
        <v>12500</v>
      </c>
      <c r="E12" s="27">
        <v>17361.111111111109</v>
      </c>
      <c r="F12" s="27">
        <v>17361.111111111113</v>
      </c>
      <c r="G12" s="27">
        <v>9645.0617283950633</v>
      </c>
      <c r="H12" s="27">
        <v>6028.1635802469136</v>
      </c>
      <c r="I12" s="24">
        <v>62895.4475308642</v>
      </c>
    </row>
    <row r="13" spans="1:14" x14ac:dyDescent="0.35">
      <c r="B13" s="1"/>
      <c r="C13" s="1"/>
      <c r="D13" s="1"/>
      <c r="E13" s="1"/>
      <c r="F13" s="1"/>
      <c r="G13" s="1"/>
      <c r="H13" s="1"/>
      <c r="I13" s="23"/>
    </row>
    <row r="14" spans="1:14" x14ac:dyDescent="0.35">
      <c r="B14" s="6" t="s">
        <v>7</v>
      </c>
      <c r="C14" s="15">
        <f>C12-C8</f>
        <v>50000</v>
      </c>
      <c r="D14" s="15">
        <f t="shared" ref="D14:H14" si="2">D12-D8</f>
        <v>12500</v>
      </c>
      <c r="E14" s="15">
        <f t="shared" si="2"/>
        <v>17361.111111111109</v>
      </c>
      <c r="F14" s="15">
        <f t="shared" si="2"/>
        <v>17361.111111111113</v>
      </c>
      <c r="G14" s="15">
        <f t="shared" si="2"/>
        <v>9645.0617283950633</v>
      </c>
      <c r="H14" s="15">
        <f t="shared" si="2"/>
        <v>6028.1635802469136</v>
      </c>
      <c r="I14" s="24">
        <f>I12-I8</f>
        <v>12895.4475308642</v>
      </c>
    </row>
    <row r="15" spans="1:14" x14ac:dyDescent="0.35">
      <c r="B15" s="11" t="s">
        <v>28</v>
      </c>
      <c r="C15" s="15">
        <v>-50000</v>
      </c>
      <c r="D15" s="15">
        <v>-37500</v>
      </c>
      <c r="E15" s="15">
        <v>-20138.888888888891</v>
      </c>
      <c r="F15" s="15">
        <v>-2777.7777777777774</v>
      </c>
      <c r="G15" s="15">
        <v>6867.2839506172859</v>
      </c>
      <c r="H15" s="15">
        <v>12895.4475308642</v>
      </c>
      <c r="I15" s="1"/>
      <c r="J15" s="12"/>
    </row>
    <row r="17" spans="2:12" x14ac:dyDescent="0.35">
      <c r="B17" s="6" t="s">
        <v>14</v>
      </c>
      <c r="C17" s="28">
        <v>12895.45</v>
      </c>
      <c r="D17" t="s">
        <v>42</v>
      </c>
    </row>
    <row r="18" spans="2:12" x14ac:dyDescent="0.35">
      <c r="B18" s="6" t="s">
        <v>17</v>
      </c>
      <c r="C18" s="17">
        <f>I14/I8</f>
        <v>0.25790895061728397</v>
      </c>
      <c r="D18" t="s">
        <v>31</v>
      </c>
      <c r="G18" s="2" t="s">
        <v>29</v>
      </c>
    </row>
    <row r="19" spans="2:12" x14ac:dyDescent="0.35">
      <c r="G19" t="s">
        <v>32</v>
      </c>
      <c r="J19" s="20" t="s">
        <v>36</v>
      </c>
    </row>
    <row r="20" spans="2:12" x14ac:dyDescent="0.35">
      <c r="B20" s="2" t="s">
        <v>16</v>
      </c>
      <c r="G20" t="s">
        <v>33</v>
      </c>
      <c r="J20">
        <f>365*(2777.78/(6867.28+2777.78))</f>
        <v>105.12010293352245</v>
      </c>
    </row>
    <row r="21" spans="2:12" x14ac:dyDescent="0.35">
      <c r="B21" s="6" t="s">
        <v>14</v>
      </c>
      <c r="C21" s="10">
        <f>-50000+NPV(0.2, 15000, 25000,30000,20000,15000)</f>
        <v>12895.4475308642</v>
      </c>
      <c r="G21" s="18" t="s">
        <v>34</v>
      </c>
      <c r="H21">
        <f xml:space="preserve"> 365*(2777.78/(6867.284+2777.78))</f>
        <v>105.12005933812362</v>
      </c>
    </row>
    <row r="22" spans="2:12" x14ac:dyDescent="0.35">
      <c r="G22" s="19" t="s">
        <v>34</v>
      </c>
      <c r="H22" s="20" t="s">
        <v>35</v>
      </c>
    </row>
    <row r="24" spans="2:12" x14ac:dyDescent="0.35">
      <c r="B24" s="45" t="s">
        <v>70</v>
      </c>
    </row>
    <row r="25" spans="2:12" x14ac:dyDescent="0.35">
      <c r="C25" t="s">
        <v>82</v>
      </c>
      <c r="D25">
        <v>0.2</v>
      </c>
    </row>
    <row r="26" spans="2:12" x14ac:dyDescent="0.35">
      <c r="B26" s="43" t="s">
        <v>23</v>
      </c>
      <c r="C26" s="43">
        <v>0</v>
      </c>
      <c r="D26" s="43">
        <v>1</v>
      </c>
      <c r="E26" s="43">
        <v>2</v>
      </c>
      <c r="F26" s="43">
        <v>3</v>
      </c>
      <c r="G26" s="43">
        <v>4</v>
      </c>
      <c r="H26" s="43">
        <v>5</v>
      </c>
    </row>
    <row r="27" spans="2:12" x14ac:dyDescent="0.35">
      <c r="B27" s="43" t="s">
        <v>24</v>
      </c>
      <c r="C27" s="1"/>
      <c r="D27" s="1"/>
      <c r="E27" s="1"/>
      <c r="F27" s="1"/>
      <c r="G27" s="1"/>
      <c r="H27" s="1"/>
    </row>
    <row r="28" spans="2:12" x14ac:dyDescent="0.35">
      <c r="B28" s="43" t="s">
        <v>25</v>
      </c>
      <c r="C28" s="1">
        <v>50000</v>
      </c>
      <c r="D28" s="1"/>
      <c r="E28" s="1"/>
      <c r="F28" s="1"/>
      <c r="G28" s="1"/>
      <c r="H28" s="1"/>
    </row>
    <row r="29" spans="2:12" x14ac:dyDescent="0.35">
      <c r="B29" s="43" t="s">
        <v>71</v>
      </c>
      <c r="C29" s="1">
        <f>C27-C28</f>
        <v>-50000</v>
      </c>
      <c r="D29" s="1">
        <v>15000</v>
      </c>
      <c r="E29" s="1">
        <v>25000</v>
      </c>
      <c r="F29" s="1">
        <v>30000</v>
      </c>
      <c r="G29" s="1">
        <v>20000</v>
      </c>
      <c r="H29" s="1">
        <v>15000</v>
      </c>
      <c r="J29" t="s">
        <v>77</v>
      </c>
      <c r="L29" t="s">
        <v>80</v>
      </c>
    </row>
    <row r="30" spans="2:12" x14ac:dyDescent="0.35">
      <c r="B30" s="43" t="s">
        <v>73</v>
      </c>
      <c r="C30" s="1">
        <v>1</v>
      </c>
      <c r="D30" s="1">
        <v>0.83333333333333337</v>
      </c>
      <c r="E30" s="1">
        <v>0.69444444444444442</v>
      </c>
      <c r="F30" s="1">
        <v>0.57870370370370372</v>
      </c>
      <c r="G30" s="1">
        <v>0.48225308641975312</v>
      </c>
      <c r="H30" s="1">
        <v>0.4018775720164609</v>
      </c>
      <c r="J30" t="s">
        <v>78</v>
      </c>
    </row>
    <row r="31" spans="2:12" x14ac:dyDescent="0.35">
      <c r="B31" s="43"/>
      <c r="C31" s="1"/>
      <c r="D31" s="1"/>
      <c r="E31" s="1"/>
      <c r="F31" s="1"/>
      <c r="G31" s="1"/>
      <c r="H31" s="1"/>
      <c r="J31" t="s">
        <v>79</v>
      </c>
      <c r="L31" t="s">
        <v>81</v>
      </c>
    </row>
    <row r="32" spans="2:12" x14ac:dyDescent="0.35">
      <c r="B32" s="43" t="s">
        <v>72</v>
      </c>
      <c r="C32" s="1">
        <f>C30*C29</f>
        <v>-50000</v>
      </c>
      <c r="D32" s="1">
        <f t="shared" ref="D32:H32" si="3">D30*D29</f>
        <v>12500</v>
      </c>
      <c r="E32" s="1">
        <f t="shared" si="3"/>
        <v>17361.111111111109</v>
      </c>
      <c r="F32" s="1">
        <f t="shared" si="3"/>
        <v>17361.111111111113</v>
      </c>
      <c r="G32" s="1">
        <f t="shared" si="3"/>
        <v>9645.0617283950633</v>
      </c>
      <c r="H32" s="1">
        <f t="shared" si="3"/>
        <v>6028.1635802469136</v>
      </c>
    </row>
    <row r="33" spans="2:10" x14ac:dyDescent="0.35">
      <c r="B33" s="43" t="s">
        <v>74</v>
      </c>
      <c r="C33" s="1">
        <f>C29/(1+$D25)^C26</f>
        <v>-50000</v>
      </c>
      <c r="D33" s="1">
        <f t="shared" ref="D33:H33" si="4">D29/(1+$D25)^D26</f>
        <v>12500</v>
      </c>
      <c r="E33" s="1">
        <f t="shared" si="4"/>
        <v>17361.111111111113</v>
      </c>
      <c r="F33" s="1">
        <f t="shared" si="4"/>
        <v>17361.111111111109</v>
      </c>
      <c r="G33" s="1">
        <f t="shared" si="4"/>
        <v>9645.0617283950614</v>
      </c>
      <c r="H33" s="1">
        <f t="shared" si="4"/>
        <v>6028.1635802469136</v>
      </c>
      <c r="J33" t="s">
        <v>83</v>
      </c>
    </row>
    <row r="34" spans="2:10" x14ac:dyDescent="0.35">
      <c r="B34" s="43" t="s">
        <v>14</v>
      </c>
      <c r="C34" s="1">
        <f>SUM(C33:H33)</f>
        <v>12895.447530864198</v>
      </c>
      <c r="D34" s="1"/>
      <c r="E34" s="1"/>
      <c r="F34" s="1"/>
      <c r="G34" s="1"/>
      <c r="H34" s="1"/>
    </row>
    <row r="35" spans="2:10" x14ac:dyDescent="0.35">
      <c r="B35" s="43"/>
      <c r="C35" s="1"/>
      <c r="D35" s="1"/>
      <c r="E35" s="1"/>
      <c r="F35" s="1"/>
      <c r="G35" s="1"/>
      <c r="H35" s="1"/>
    </row>
    <row r="36" spans="2:10" x14ac:dyDescent="0.35">
      <c r="B36" s="43" t="s">
        <v>75</v>
      </c>
      <c r="C36" s="44">
        <f>NPV(D25,D29:H29)+C29</f>
        <v>12895.4475308642</v>
      </c>
      <c r="D36" s="1"/>
      <c r="E36" s="1"/>
      <c r="F36" s="1"/>
      <c r="G36" s="1"/>
      <c r="H36" s="1"/>
    </row>
  </sheetData>
  <mergeCells count="1">
    <mergeCell ref="K9:N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3"/>
  <sheetViews>
    <sheetView topLeftCell="A25" zoomScaleNormal="100" workbookViewId="0">
      <selection activeCell="D33" sqref="D33"/>
    </sheetView>
  </sheetViews>
  <sheetFormatPr defaultRowHeight="14.5" x14ac:dyDescent="0.35"/>
  <cols>
    <col min="2" max="2" width="24.81640625" customWidth="1"/>
    <col min="3" max="3" width="12.54296875" bestFit="1" customWidth="1"/>
    <col min="4" max="4" width="13.1796875" customWidth="1"/>
    <col min="5" max="6" width="11.54296875" bestFit="1" customWidth="1"/>
    <col min="7" max="7" width="12.453125" customWidth="1"/>
    <col min="8" max="8" width="13.26953125" customWidth="1"/>
    <col min="9" max="9" width="14.453125" customWidth="1"/>
  </cols>
  <sheetData>
    <row r="2" spans="1:11" x14ac:dyDescent="0.35">
      <c r="A2" s="2" t="s">
        <v>43</v>
      </c>
    </row>
    <row r="3" spans="1:11" x14ac:dyDescent="0.35">
      <c r="A3" s="2"/>
    </row>
    <row r="4" spans="1:11" ht="15.5" x14ac:dyDescent="0.35">
      <c r="A4" s="2"/>
      <c r="B4" s="37" t="s">
        <v>50</v>
      </c>
      <c r="C4" s="38"/>
      <c r="D4" s="38"/>
      <c r="E4" s="38"/>
      <c r="F4" s="38"/>
      <c r="G4" s="38"/>
      <c r="H4" s="38"/>
      <c r="I4" s="38"/>
    </row>
    <row r="5" spans="1:11" ht="15.5" x14ac:dyDescent="0.35">
      <c r="B5" s="37"/>
      <c r="C5" s="38"/>
      <c r="D5" s="38"/>
      <c r="E5" s="38"/>
      <c r="F5" s="38"/>
      <c r="G5" s="38"/>
      <c r="H5" s="38"/>
      <c r="I5" s="38"/>
    </row>
    <row r="6" spans="1:11" ht="15.5" x14ac:dyDescent="0.35">
      <c r="B6" s="37" t="s">
        <v>51</v>
      </c>
      <c r="C6" s="38"/>
      <c r="D6" s="38"/>
      <c r="E6" s="38"/>
      <c r="F6" s="38"/>
      <c r="G6" s="38"/>
      <c r="H6" s="38"/>
      <c r="I6" s="38"/>
    </row>
    <row r="7" spans="1:11" ht="15.5" x14ac:dyDescent="0.35">
      <c r="B7" s="37"/>
      <c r="C7" s="38"/>
      <c r="D7" s="38"/>
      <c r="E7" s="38"/>
      <c r="F7" s="38"/>
      <c r="G7" s="38"/>
      <c r="H7" s="38"/>
      <c r="I7" s="38"/>
    </row>
    <row r="8" spans="1:11" ht="15.5" x14ac:dyDescent="0.35">
      <c r="B8" s="37"/>
      <c r="C8" s="4">
        <v>0.23</v>
      </c>
      <c r="D8" s="4" t="s">
        <v>63</v>
      </c>
      <c r="E8" s="38"/>
      <c r="F8" s="38"/>
      <c r="G8" s="38"/>
      <c r="H8" s="38"/>
      <c r="I8" s="38"/>
    </row>
    <row r="9" spans="1:11" ht="16.5" x14ac:dyDescent="0.35">
      <c r="B9" s="1" t="s">
        <v>1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7" t="s">
        <v>18</v>
      </c>
      <c r="J9" s="4" t="s">
        <v>15</v>
      </c>
      <c r="K9" s="4"/>
    </row>
    <row r="10" spans="1:11" x14ac:dyDescent="0.35">
      <c r="B10" s="29" t="s">
        <v>2</v>
      </c>
      <c r="C10" s="30">
        <v>50000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8"/>
      <c r="J10" s="31"/>
      <c r="K10" s="31"/>
    </row>
    <row r="11" spans="1:11" x14ac:dyDescent="0.35">
      <c r="B11" s="1" t="s">
        <v>3</v>
      </c>
      <c r="C11" s="1">
        <v>1</v>
      </c>
      <c r="D11" s="14">
        <f>1/(1+C8)^1</f>
        <v>0.81300813008130079</v>
      </c>
      <c r="E11" s="14">
        <f>1/(1+C8)^2</f>
        <v>0.6609822195782934</v>
      </c>
      <c r="F11" s="14">
        <f>1/(1+C8)^3</f>
        <v>0.53738391835633614</v>
      </c>
      <c r="G11" s="14">
        <f>1/(1+C8)^4</f>
        <v>0.43689749459864724</v>
      </c>
      <c r="H11" s="14">
        <f>1/(1+C8)^5</f>
        <v>0.3552012151208514</v>
      </c>
      <c r="I11" s="32"/>
      <c r="J11" s="33"/>
      <c r="K11" s="33"/>
    </row>
    <row r="12" spans="1:11" x14ac:dyDescent="0.35">
      <c r="B12" s="1" t="s">
        <v>4</v>
      </c>
      <c r="C12" s="15">
        <f>C10*C11</f>
        <v>50000</v>
      </c>
      <c r="D12" s="15">
        <f t="shared" ref="D12:H12" si="0">D10*D11</f>
        <v>0</v>
      </c>
      <c r="E12" s="15">
        <f t="shared" si="0"/>
        <v>0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6">
        <v>50000</v>
      </c>
    </row>
    <row r="13" spans="1:11" x14ac:dyDescent="0.35">
      <c r="B13" s="1"/>
      <c r="C13" s="1"/>
      <c r="D13" s="1"/>
      <c r="E13" s="1"/>
      <c r="F13" s="1"/>
      <c r="G13" s="1"/>
      <c r="H13" s="1"/>
      <c r="I13" s="8"/>
    </row>
    <row r="14" spans="1:11" x14ac:dyDescent="0.35">
      <c r="B14" s="1" t="s">
        <v>5</v>
      </c>
      <c r="C14" s="1">
        <v>0</v>
      </c>
      <c r="D14" s="15">
        <v>15000</v>
      </c>
      <c r="E14" s="15">
        <v>25000</v>
      </c>
      <c r="F14" s="15">
        <v>30000</v>
      </c>
      <c r="G14" s="15">
        <v>20000</v>
      </c>
      <c r="H14" s="15">
        <v>15000</v>
      </c>
      <c r="I14" s="34"/>
    </row>
    <row r="15" spans="1:11" x14ac:dyDescent="0.35">
      <c r="B15" s="1" t="s">
        <v>3</v>
      </c>
      <c r="C15" s="1">
        <v>1</v>
      </c>
      <c r="D15" s="14">
        <f>1/(1+C8)^1</f>
        <v>0.81300813008130079</v>
      </c>
      <c r="E15" s="14">
        <f>1/(1+C8)^2</f>
        <v>0.6609822195782934</v>
      </c>
      <c r="F15" s="14">
        <f>1/(1+C8)^3</f>
        <v>0.53738391835633614</v>
      </c>
      <c r="G15" s="14">
        <f>1/(1+C8)^4</f>
        <v>0.43689749459864724</v>
      </c>
      <c r="H15" s="14">
        <f>1/(1+C8)^5</f>
        <v>0.3552012151208514</v>
      </c>
      <c r="I15" s="8"/>
    </row>
    <row r="16" spans="1:11" x14ac:dyDescent="0.35">
      <c r="B16" s="1" t="s">
        <v>6</v>
      </c>
      <c r="C16" s="15">
        <f>C14*C15</f>
        <v>0</v>
      </c>
      <c r="D16" s="15">
        <f>D14*D15</f>
        <v>12195.121951219511</v>
      </c>
      <c r="E16" s="15">
        <f t="shared" ref="E16:H16" si="1">E14*E15</f>
        <v>16524.555489457336</v>
      </c>
      <c r="F16" s="15">
        <f t="shared" si="1"/>
        <v>16121.517550690085</v>
      </c>
      <c r="G16" s="15">
        <f t="shared" si="1"/>
        <v>8737.9498919729449</v>
      </c>
      <c r="H16" s="15">
        <f t="shared" si="1"/>
        <v>5328.018226812771</v>
      </c>
      <c r="I16" s="16">
        <f>D16+E16+F16+G16+H16</f>
        <v>58907.163110152644</v>
      </c>
    </row>
    <row r="17" spans="2:12" x14ac:dyDescent="0.35">
      <c r="B17" s="1"/>
      <c r="C17" s="1"/>
      <c r="D17" s="1"/>
      <c r="E17" s="1"/>
      <c r="F17" s="1"/>
      <c r="G17" s="1"/>
      <c r="H17" s="1"/>
      <c r="I17" s="8"/>
    </row>
    <row r="18" spans="2:12" x14ac:dyDescent="0.35">
      <c r="B18" s="6" t="s">
        <v>7</v>
      </c>
      <c r="C18" s="15">
        <f>C16-C12</f>
        <v>-50000</v>
      </c>
      <c r="D18" s="15">
        <f t="shared" ref="D18:H18" si="2">D16-D12</f>
        <v>12195.121951219511</v>
      </c>
      <c r="E18" s="15">
        <f t="shared" si="2"/>
        <v>16524.555489457336</v>
      </c>
      <c r="F18" s="15">
        <f t="shared" si="2"/>
        <v>16121.517550690085</v>
      </c>
      <c r="G18" s="15">
        <f t="shared" si="2"/>
        <v>8737.9498919729449</v>
      </c>
      <c r="H18" s="15">
        <f t="shared" si="2"/>
        <v>5328.018226812771</v>
      </c>
      <c r="I18" s="16">
        <f>I16-I12</f>
        <v>8907.1631101526436</v>
      </c>
    </row>
    <row r="19" spans="2:12" x14ac:dyDescent="0.35">
      <c r="B19" s="11" t="s">
        <v>28</v>
      </c>
      <c r="C19" s="15">
        <f>C18</f>
        <v>-50000</v>
      </c>
      <c r="D19" s="15">
        <f>C19+D18</f>
        <v>-37804.878048780491</v>
      </c>
      <c r="E19" s="15">
        <f t="shared" ref="E19:H19" si="3">D19+E18</f>
        <v>-21280.322559323155</v>
      </c>
      <c r="F19" s="15">
        <f t="shared" si="3"/>
        <v>-5158.8050086330695</v>
      </c>
      <c r="G19" s="15">
        <f t="shared" si="3"/>
        <v>3579.1448833398754</v>
      </c>
      <c r="H19" s="15">
        <f t="shared" si="3"/>
        <v>8907.1631101526473</v>
      </c>
      <c r="I19" s="1"/>
      <c r="L19" s="12"/>
    </row>
    <row r="21" spans="2:12" x14ac:dyDescent="0.35">
      <c r="B21" s="6" t="s">
        <v>14</v>
      </c>
      <c r="C21" s="35">
        <f>I16-I12</f>
        <v>8907.1631101526436</v>
      </c>
      <c r="D21" s="36" t="s">
        <v>44</v>
      </c>
    </row>
    <row r="22" spans="2:12" x14ac:dyDescent="0.35">
      <c r="B22" s="6" t="s">
        <v>17</v>
      </c>
      <c r="C22" s="17">
        <f>I18/I12</f>
        <v>0.17814326220305288</v>
      </c>
      <c r="G22" s="2" t="s">
        <v>29</v>
      </c>
    </row>
    <row r="23" spans="2:12" x14ac:dyDescent="0.35">
      <c r="G23" t="s">
        <v>45</v>
      </c>
    </row>
    <row r="24" spans="2:12" x14ac:dyDescent="0.35">
      <c r="B24" s="2" t="s">
        <v>16</v>
      </c>
      <c r="G24" t="s">
        <v>46</v>
      </c>
    </row>
    <row r="25" spans="2:12" x14ac:dyDescent="0.35">
      <c r="B25" s="6" t="s">
        <v>14</v>
      </c>
      <c r="C25" s="35">
        <f>-C12+NPV(C8,D14:H14)</f>
        <v>8907.1631101526291</v>
      </c>
      <c r="G25" t="s">
        <v>47</v>
      </c>
    </row>
    <row r="26" spans="2:12" x14ac:dyDescent="0.35">
      <c r="G26" t="s">
        <v>33</v>
      </c>
    </row>
    <row r="27" spans="2:12" x14ac:dyDescent="0.35">
      <c r="G27" s="18" t="s">
        <v>34</v>
      </c>
      <c r="H27">
        <f xml:space="preserve"> 365*(5158.81/(3579.14+5158.81))</f>
        <v>215.49283870930824</v>
      </c>
    </row>
    <row r="28" spans="2:12" x14ac:dyDescent="0.35">
      <c r="G28" s="19" t="s">
        <v>34</v>
      </c>
      <c r="H28" s="20" t="s">
        <v>48</v>
      </c>
    </row>
    <row r="31" spans="2:12" x14ac:dyDescent="0.35">
      <c r="B31" s="45" t="s">
        <v>70</v>
      </c>
    </row>
    <row r="32" spans="2:12" x14ac:dyDescent="0.35">
      <c r="C32" t="s">
        <v>82</v>
      </c>
      <c r="D32">
        <v>0.23</v>
      </c>
    </row>
    <row r="33" spans="2:12" x14ac:dyDescent="0.35">
      <c r="B33" s="43" t="s">
        <v>23</v>
      </c>
      <c r="C33" s="43">
        <v>0</v>
      </c>
      <c r="D33" s="43">
        <v>1</v>
      </c>
      <c r="E33" s="43">
        <v>2</v>
      </c>
      <c r="F33" s="43">
        <v>3</v>
      </c>
      <c r="G33" s="43">
        <v>4</v>
      </c>
      <c r="H33" s="43">
        <v>5</v>
      </c>
    </row>
    <row r="34" spans="2:12" x14ac:dyDescent="0.35">
      <c r="B34" s="43" t="s">
        <v>24</v>
      </c>
      <c r="C34" s="1"/>
      <c r="D34" s="1"/>
      <c r="E34" s="1"/>
      <c r="F34" s="1"/>
      <c r="G34" s="1"/>
      <c r="H34" s="1"/>
    </row>
    <row r="35" spans="2:12" x14ac:dyDescent="0.35">
      <c r="B35" s="43" t="s">
        <v>25</v>
      </c>
      <c r="C35" s="1">
        <v>50000</v>
      </c>
      <c r="D35" s="1"/>
      <c r="E35" s="1"/>
      <c r="F35" s="1"/>
      <c r="G35" s="1"/>
      <c r="H35" s="1"/>
    </row>
    <row r="36" spans="2:12" x14ac:dyDescent="0.35">
      <c r="B36" s="43" t="s">
        <v>71</v>
      </c>
      <c r="C36" s="1">
        <f>C34-C35</f>
        <v>-50000</v>
      </c>
      <c r="D36" s="1">
        <v>15000</v>
      </c>
      <c r="E36" s="1">
        <v>25000</v>
      </c>
      <c r="F36" s="1">
        <v>30000</v>
      </c>
      <c r="G36" s="1">
        <v>20000</v>
      </c>
      <c r="H36" s="1">
        <v>15000</v>
      </c>
      <c r="J36" t="s">
        <v>77</v>
      </c>
      <c r="L36" t="s">
        <v>80</v>
      </c>
    </row>
    <row r="37" spans="2:12" x14ac:dyDescent="0.35">
      <c r="B37" s="43" t="s">
        <v>73</v>
      </c>
      <c r="C37" s="1">
        <v>1</v>
      </c>
      <c r="D37" s="1">
        <v>0.83333333333333337</v>
      </c>
      <c r="E37" s="1">
        <v>0.69444444444444442</v>
      </c>
      <c r="F37" s="1">
        <v>0.57870370370370372</v>
      </c>
      <c r="G37" s="1">
        <v>0.48225308641975312</v>
      </c>
      <c r="H37" s="1">
        <v>0.4018775720164609</v>
      </c>
      <c r="J37" t="s">
        <v>78</v>
      </c>
    </row>
    <row r="38" spans="2:12" x14ac:dyDescent="0.35">
      <c r="B38" s="43"/>
      <c r="C38" s="1"/>
      <c r="D38" s="1"/>
      <c r="E38" s="1"/>
      <c r="F38" s="1"/>
      <c r="G38" s="1"/>
      <c r="H38" s="1"/>
      <c r="J38" t="s">
        <v>79</v>
      </c>
      <c r="L38" t="s">
        <v>81</v>
      </c>
    </row>
    <row r="39" spans="2:12" x14ac:dyDescent="0.35">
      <c r="B39" s="43" t="s">
        <v>72</v>
      </c>
      <c r="C39" s="1">
        <f>C37*C36</f>
        <v>-50000</v>
      </c>
      <c r="D39" s="1">
        <f t="shared" ref="D39:H39" si="4">D37*D36</f>
        <v>12500</v>
      </c>
      <c r="E39" s="1">
        <f t="shared" si="4"/>
        <v>17361.111111111109</v>
      </c>
      <c r="F39" s="1">
        <f t="shared" si="4"/>
        <v>17361.111111111113</v>
      </c>
      <c r="G39" s="1">
        <f t="shared" si="4"/>
        <v>9645.0617283950633</v>
      </c>
      <c r="H39" s="1">
        <f t="shared" si="4"/>
        <v>6028.1635802469136</v>
      </c>
    </row>
    <row r="40" spans="2:12" x14ac:dyDescent="0.35">
      <c r="B40" s="43" t="s">
        <v>74</v>
      </c>
      <c r="C40" s="1">
        <f>C36/(1+$D32)^C33</f>
        <v>-50000</v>
      </c>
      <c r="D40" s="1">
        <f t="shared" ref="D40:H40" si="5">D36/(1+$D32)^D33</f>
        <v>12195.121951219513</v>
      </c>
      <c r="E40" s="1">
        <f t="shared" si="5"/>
        <v>16524.555489457336</v>
      </c>
      <c r="F40" s="1">
        <f t="shared" si="5"/>
        <v>16121.517550690083</v>
      </c>
      <c r="G40" s="1">
        <f t="shared" si="5"/>
        <v>8737.9498919729449</v>
      </c>
      <c r="H40" s="1">
        <f t="shared" si="5"/>
        <v>5328.018226812771</v>
      </c>
      <c r="J40" t="s">
        <v>83</v>
      </c>
    </row>
    <row r="41" spans="2:12" x14ac:dyDescent="0.35">
      <c r="B41" s="43" t="s">
        <v>14</v>
      </c>
      <c r="C41" s="1">
        <f>SUM(C40:H40)</f>
        <v>8907.1631101526436</v>
      </c>
      <c r="D41" s="1"/>
      <c r="E41" s="1"/>
      <c r="F41" s="1"/>
      <c r="G41" s="1"/>
      <c r="H41" s="1"/>
    </row>
    <row r="42" spans="2:12" x14ac:dyDescent="0.35">
      <c r="B42" s="43"/>
      <c r="C42" s="1"/>
      <c r="D42" s="1"/>
      <c r="E42" s="1"/>
      <c r="F42" s="1"/>
      <c r="G42" s="1"/>
      <c r="H42" s="1"/>
    </row>
    <row r="43" spans="2:12" x14ac:dyDescent="0.35">
      <c r="B43" s="43" t="s">
        <v>75</v>
      </c>
      <c r="C43" s="44">
        <f>NPV(D32,D36:H36)+C36</f>
        <v>8907.1631101526291</v>
      </c>
      <c r="D43" s="1"/>
      <c r="E43" s="1"/>
      <c r="F43" s="1"/>
      <c r="G43" s="1"/>
      <c r="H43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workbookViewId="0">
      <selection activeCell="G14" sqref="G14"/>
    </sheetView>
  </sheetViews>
  <sheetFormatPr defaultRowHeight="14.5" x14ac:dyDescent="0.35"/>
  <sheetData>
    <row r="3" spans="1:10" x14ac:dyDescent="0.35">
      <c r="A3" s="2" t="s">
        <v>20</v>
      </c>
    </row>
    <row r="5" spans="1:10" x14ac:dyDescent="0.35">
      <c r="B5" s="2" t="s">
        <v>21</v>
      </c>
      <c r="G5" s="2" t="s">
        <v>37</v>
      </c>
    </row>
    <row r="7" spans="1:10" x14ac:dyDescent="0.35">
      <c r="B7" t="s">
        <v>38</v>
      </c>
      <c r="C7">
        <f>150000/40000</f>
        <v>3.75</v>
      </c>
      <c r="D7" t="s">
        <v>39</v>
      </c>
      <c r="G7" t="s">
        <v>38</v>
      </c>
      <c r="H7">
        <f>40000/150000</f>
        <v>0.26666666666666666</v>
      </c>
      <c r="I7" s="21">
        <v>0.26</v>
      </c>
      <c r="J7" t="s">
        <v>40</v>
      </c>
    </row>
    <row r="8" spans="1:10" x14ac:dyDescent="0.35">
      <c r="B8" t="s">
        <v>41</v>
      </c>
      <c r="C8">
        <f>200000/50000</f>
        <v>4</v>
      </c>
      <c r="D8" t="s">
        <v>39</v>
      </c>
      <c r="G8" t="s">
        <v>41</v>
      </c>
      <c r="H8">
        <f>50000/200000</f>
        <v>0.25</v>
      </c>
      <c r="I8" s="21">
        <v>0.25</v>
      </c>
    </row>
    <row r="10" spans="1:10" x14ac:dyDescent="0.35">
      <c r="B10" t="s">
        <v>69</v>
      </c>
    </row>
    <row r="11" spans="1:10" ht="15.5" x14ac:dyDescent="0.35">
      <c r="H11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zoomScale="85" zoomScaleNormal="85" workbookViewId="0">
      <selection activeCell="I10" sqref="I10"/>
    </sheetView>
  </sheetViews>
  <sheetFormatPr defaultRowHeight="14.5" x14ac:dyDescent="0.35"/>
  <cols>
    <col min="3" max="3" width="11.1796875" customWidth="1"/>
    <col min="4" max="4" width="10.7265625" customWidth="1"/>
    <col min="5" max="6" width="11.54296875" customWidth="1"/>
    <col min="7" max="7" width="13.453125" customWidth="1"/>
    <col min="9" max="9" width="27" customWidth="1"/>
  </cols>
  <sheetData>
    <row r="3" spans="1:9" x14ac:dyDescent="0.35">
      <c r="A3" s="2" t="s">
        <v>22</v>
      </c>
    </row>
    <row r="5" spans="1:9" x14ac:dyDescent="0.35">
      <c r="B5" s="2" t="s">
        <v>66</v>
      </c>
      <c r="D5" t="s">
        <v>3</v>
      </c>
      <c r="F5">
        <v>0.23</v>
      </c>
      <c r="I5" t="s">
        <v>49</v>
      </c>
    </row>
    <row r="6" spans="1:9" ht="43.5" x14ac:dyDescent="0.35">
      <c r="B6" s="9" t="s">
        <v>23</v>
      </c>
      <c r="C6" s="9" t="s">
        <v>24</v>
      </c>
      <c r="D6" s="9" t="s">
        <v>25</v>
      </c>
      <c r="E6" s="9" t="s">
        <v>26</v>
      </c>
      <c r="F6" s="9" t="s">
        <v>27</v>
      </c>
      <c r="G6" s="9" t="s">
        <v>84</v>
      </c>
      <c r="I6" s="4" t="s">
        <v>15</v>
      </c>
    </row>
    <row r="7" spans="1:9" x14ac:dyDescent="0.35">
      <c r="B7" s="1">
        <v>0</v>
      </c>
      <c r="C7" s="1"/>
      <c r="D7" s="1">
        <v>-500000</v>
      </c>
      <c r="E7" s="1">
        <v>-500000</v>
      </c>
      <c r="F7" s="1">
        <v>1</v>
      </c>
      <c r="G7" s="14">
        <f>F7*E7</f>
        <v>-500000</v>
      </c>
    </row>
    <row r="8" spans="1:9" x14ac:dyDescent="0.35">
      <c r="B8" s="1">
        <v>1</v>
      </c>
      <c r="C8" s="1">
        <v>50000</v>
      </c>
      <c r="D8" s="1"/>
      <c r="E8" s="1">
        <v>50000</v>
      </c>
      <c r="F8" s="40">
        <v>0.81300813008130079</v>
      </c>
      <c r="G8" s="14">
        <f t="shared" ref="G8:G10" si="0">F8*E8</f>
        <v>40650.406504065038</v>
      </c>
    </row>
    <row r="9" spans="1:9" x14ac:dyDescent="0.35">
      <c r="B9" s="1">
        <v>2</v>
      </c>
      <c r="C9" s="1">
        <v>250000</v>
      </c>
      <c r="D9" s="1"/>
      <c r="E9" s="1">
        <v>250000</v>
      </c>
      <c r="F9" s="40">
        <v>0.6609822195782934</v>
      </c>
      <c r="G9" s="14">
        <f t="shared" si="0"/>
        <v>165245.55489457335</v>
      </c>
    </row>
    <row r="10" spans="1:9" x14ac:dyDescent="0.35">
      <c r="B10" s="1">
        <v>3</v>
      </c>
      <c r="C10" s="1">
        <v>350000</v>
      </c>
      <c r="D10" s="1"/>
      <c r="E10" s="1">
        <v>350000</v>
      </c>
      <c r="F10" s="40">
        <v>0.53738391835633614</v>
      </c>
      <c r="G10" s="14">
        <f t="shared" si="0"/>
        <v>188084.37142471765</v>
      </c>
    </row>
    <row r="11" spans="1:9" x14ac:dyDescent="0.35">
      <c r="F11" s="1" t="s">
        <v>14</v>
      </c>
      <c r="G11" s="41">
        <f>SUM(G7:G10)</f>
        <v>-106019.66717664397</v>
      </c>
    </row>
    <row r="12" spans="1:9" x14ac:dyDescent="0.35">
      <c r="E12" t="s">
        <v>30</v>
      </c>
      <c r="G12" s="42">
        <f>-500000+NPV(F5, E8:E10)</f>
        <v>-106019.66717664403</v>
      </c>
    </row>
    <row r="13" spans="1:9" x14ac:dyDescent="0.35">
      <c r="B13" s="2" t="s">
        <v>67</v>
      </c>
    </row>
    <row r="14" spans="1:9" ht="29" x14ac:dyDescent="0.35">
      <c r="B14" s="9" t="s">
        <v>23</v>
      </c>
      <c r="C14" s="9" t="s">
        <v>24</v>
      </c>
      <c r="D14" s="9" t="s">
        <v>25</v>
      </c>
      <c r="E14" s="9" t="s">
        <v>26</v>
      </c>
      <c r="F14" s="9" t="s">
        <v>27</v>
      </c>
      <c r="G14" s="9" t="s">
        <v>65</v>
      </c>
    </row>
    <row r="15" spans="1:9" x14ac:dyDescent="0.35">
      <c r="B15" s="1">
        <v>0</v>
      </c>
      <c r="C15" s="1"/>
      <c r="D15" s="1">
        <v>250000</v>
      </c>
      <c r="E15" s="1">
        <v>-250000</v>
      </c>
      <c r="F15" s="1">
        <v>1</v>
      </c>
      <c r="G15" s="1">
        <v>-250000</v>
      </c>
    </row>
    <row r="16" spans="1:9" x14ac:dyDescent="0.35">
      <c r="B16" s="1">
        <v>1</v>
      </c>
      <c r="C16" s="1">
        <v>75000</v>
      </c>
      <c r="D16" s="1"/>
      <c r="E16" s="1">
        <v>75000</v>
      </c>
      <c r="F16" s="1">
        <v>0.81</v>
      </c>
      <c r="G16" s="1">
        <v>60750</v>
      </c>
    </row>
    <row r="17" spans="2:9" x14ac:dyDescent="0.35">
      <c r="B17" s="1">
        <v>2</v>
      </c>
      <c r="C17" s="1">
        <v>75000</v>
      </c>
      <c r="D17" s="1"/>
      <c r="E17" s="1">
        <v>75000</v>
      </c>
      <c r="F17" s="1">
        <v>0.66</v>
      </c>
      <c r="G17" s="1">
        <v>49500</v>
      </c>
    </row>
    <row r="18" spans="2:9" x14ac:dyDescent="0.35">
      <c r="B18" s="1">
        <v>3</v>
      </c>
      <c r="C18" s="1">
        <v>75000</v>
      </c>
      <c r="D18" s="1"/>
      <c r="E18" s="1">
        <v>75000</v>
      </c>
      <c r="F18" s="1">
        <v>0.54</v>
      </c>
      <c r="G18" s="1">
        <v>40500</v>
      </c>
    </row>
    <row r="19" spans="2:9" x14ac:dyDescent="0.35">
      <c r="B19" s="1">
        <v>4</v>
      </c>
      <c r="C19" s="1">
        <v>50000</v>
      </c>
      <c r="D19" s="1"/>
      <c r="E19" s="1">
        <v>50000</v>
      </c>
      <c r="F19" s="1">
        <v>0.44</v>
      </c>
      <c r="G19" s="1">
        <v>22000</v>
      </c>
    </row>
    <row r="20" spans="2:9" x14ac:dyDescent="0.35">
      <c r="F20" s="1" t="s">
        <v>14</v>
      </c>
      <c r="G20" s="3">
        <f>SUM(G15:G19)</f>
        <v>-77250</v>
      </c>
    </row>
    <row r="21" spans="2:9" x14ac:dyDescent="0.35">
      <c r="E21" t="s">
        <v>30</v>
      </c>
      <c r="G21" s="39">
        <f>-250000+NPV(0.23, C16:C19)</f>
        <v>-77302.055168872903</v>
      </c>
    </row>
    <row r="22" spans="2:9" x14ac:dyDescent="0.35">
      <c r="B22" s="2" t="s">
        <v>68</v>
      </c>
    </row>
    <row r="23" spans="2:9" ht="29" x14ac:dyDescent="0.35">
      <c r="B23" s="9" t="s">
        <v>23</v>
      </c>
      <c r="C23" s="9" t="s">
        <v>24</v>
      </c>
      <c r="D23" s="9" t="s">
        <v>25</v>
      </c>
      <c r="E23" s="9" t="s">
        <v>26</v>
      </c>
      <c r="F23" s="9" t="s">
        <v>27</v>
      </c>
      <c r="G23" s="9" t="s">
        <v>65</v>
      </c>
    </row>
    <row r="24" spans="2:9" x14ac:dyDescent="0.35">
      <c r="B24" s="1">
        <v>0</v>
      </c>
      <c r="C24" s="1"/>
      <c r="D24" s="1">
        <v>75000</v>
      </c>
      <c r="E24" s="1"/>
      <c r="F24" s="1">
        <v>1</v>
      </c>
      <c r="G24" s="1">
        <v>-75000</v>
      </c>
    </row>
    <row r="25" spans="2:9" x14ac:dyDescent="0.35">
      <c r="B25" s="1">
        <v>1</v>
      </c>
      <c r="C25" s="1">
        <v>15000</v>
      </c>
      <c r="D25" s="1"/>
      <c r="E25" s="1">
        <v>15000</v>
      </c>
      <c r="F25" s="1">
        <v>0.81</v>
      </c>
      <c r="G25" s="1">
        <v>12150</v>
      </c>
    </row>
    <row r="26" spans="2:9" x14ac:dyDescent="0.35">
      <c r="B26" s="1">
        <v>2</v>
      </c>
      <c r="C26" s="1">
        <v>25000</v>
      </c>
      <c r="D26" s="1"/>
      <c r="E26" s="1">
        <v>25000</v>
      </c>
      <c r="F26" s="1">
        <v>0.66</v>
      </c>
      <c r="G26" s="1">
        <v>16500</v>
      </c>
    </row>
    <row r="27" spans="2:9" x14ac:dyDescent="0.35">
      <c r="B27" s="1">
        <v>3</v>
      </c>
      <c r="C27" s="1">
        <v>50000</v>
      </c>
      <c r="D27" s="1"/>
      <c r="E27" s="1">
        <v>50000</v>
      </c>
      <c r="F27" s="1">
        <v>0.54</v>
      </c>
      <c r="G27" s="1">
        <v>27000</v>
      </c>
    </row>
    <row r="28" spans="2:9" x14ac:dyDescent="0.35">
      <c r="B28" s="1">
        <v>4</v>
      </c>
      <c r="C28" s="1">
        <v>50000</v>
      </c>
      <c r="D28" s="1"/>
      <c r="E28" s="1">
        <v>50000</v>
      </c>
      <c r="F28" s="1">
        <v>0.44</v>
      </c>
      <c r="G28" s="1">
        <v>22000</v>
      </c>
    </row>
    <row r="29" spans="2:9" x14ac:dyDescent="0.35">
      <c r="B29" s="1">
        <v>5</v>
      </c>
      <c r="C29" s="1">
        <v>150000</v>
      </c>
      <c r="D29" s="1"/>
      <c r="E29" s="1">
        <v>150000</v>
      </c>
      <c r="F29" s="1">
        <v>0.36</v>
      </c>
      <c r="G29" s="1">
        <v>54000</v>
      </c>
    </row>
    <row r="30" spans="2:9" x14ac:dyDescent="0.35">
      <c r="F30" s="1" t="s">
        <v>14</v>
      </c>
      <c r="G30" s="3">
        <f>SUM(G24:G29)</f>
        <v>56650</v>
      </c>
    </row>
    <row r="31" spans="2:9" x14ac:dyDescent="0.35">
      <c r="E31" t="s">
        <v>30</v>
      </c>
      <c r="G31" s="39">
        <f>-75000+NPV(0.23,15000,25000,50000,50000,150000)</f>
        <v>55713.930356553712</v>
      </c>
      <c r="I3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2a</vt:lpstr>
      <vt:lpstr>Question 2b</vt:lpstr>
      <vt:lpstr>Question 3</vt:lpstr>
      <vt:lpstr>Question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Teuku Geumpana</cp:lastModifiedBy>
  <dcterms:created xsi:type="dcterms:W3CDTF">2014-03-16T23:10:13Z</dcterms:created>
  <dcterms:modified xsi:type="dcterms:W3CDTF">2022-03-10T10:44:44Z</dcterms:modified>
</cp:coreProperties>
</file>