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Wei_X\Desktop\Genting SG\"/>
    </mc:Choice>
  </mc:AlternateContent>
  <xr:revisionPtr revIDLastSave="0" documentId="13_ncr:1_{753EB167-1E12-4038-89E9-E2CBF950C315}" xr6:coauthVersionLast="47" xr6:coauthVersionMax="47" xr10:uidLastSave="{00000000-0000-0000-0000-000000000000}"/>
  <bookViews>
    <workbookView xWindow="-110" yWindow="-110" windowWidth="22780" windowHeight="14660" activeTab="7" xr2:uid="{2FBF88AA-0114-4797-A401-C5FAEED992F7}"/>
  </bookViews>
  <sheets>
    <sheet name="Basic" sheetId="5" r:id="rId1"/>
    <sheet name="Revenue" sheetId="1" r:id="rId2"/>
    <sheet name="Expense" sheetId="2" r:id="rId3"/>
    <sheet name="Balance Sheet" sheetId="3" r:id="rId4"/>
    <sheet name="CF" sheetId="7" r:id="rId5"/>
    <sheet name="Combined" sheetId="4" r:id="rId6"/>
    <sheet name="Projection" sheetId="9" r:id="rId7"/>
    <sheet name="DCF" sheetId="10" r:id="rId8"/>
  </sheets>
  <definedNames>
    <definedName name="cent">Basic!$C$8</definedName>
    <definedName name="Debt">Basic!$I$2</definedName>
    <definedName name="Equity">Basic!$I$3</definedName>
    <definedName name="Hist_Yr">Basic!$C$4</definedName>
    <definedName name="tax">Basic!$F$5</definedName>
    <definedName name="unit">Basic!$C$7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3" i="9" l="1"/>
  <c r="I6" i="5" s="1"/>
  <c r="G13" i="10"/>
  <c r="C90" i="9"/>
  <c r="C91" i="9"/>
  <c r="M88" i="9"/>
  <c r="M87" i="9"/>
  <c r="M86" i="9"/>
  <c r="M85" i="9"/>
  <c r="M84" i="9"/>
  <c r="M83" i="9"/>
  <c r="M82" i="9"/>
  <c r="M81" i="9"/>
  <c r="M80" i="9"/>
  <c r="M79" i="9"/>
  <c r="L88" i="9"/>
  <c r="K88" i="9"/>
  <c r="J88" i="9"/>
  <c r="I88" i="9"/>
  <c r="H88" i="9"/>
  <c r="G88" i="9"/>
  <c r="F88" i="9"/>
  <c r="E88" i="9"/>
  <c r="D88" i="9"/>
  <c r="L87" i="9"/>
  <c r="K87" i="9"/>
  <c r="J87" i="9"/>
  <c r="I87" i="9"/>
  <c r="H87" i="9"/>
  <c r="G87" i="9"/>
  <c r="F87" i="9"/>
  <c r="E87" i="9"/>
  <c r="D87" i="9"/>
  <c r="L86" i="9"/>
  <c r="K86" i="9"/>
  <c r="J86" i="9"/>
  <c r="I86" i="9"/>
  <c r="H86" i="9"/>
  <c r="G86" i="9"/>
  <c r="F86" i="9"/>
  <c r="E86" i="9"/>
  <c r="D86" i="9"/>
  <c r="L85" i="9"/>
  <c r="K85" i="9"/>
  <c r="J85" i="9"/>
  <c r="I85" i="9"/>
  <c r="H85" i="9"/>
  <c r="G85" i="9"/>
  <c r="F85" i="9"/>
  <c r="E85" i="9"/>
  <c r="D85" i="9"/>
  <c r="L84" i="9"/>
  <c r="K84" i="9"/>
  <c r="J84" i="9"/>
  <c r="I84" i="9"/>
  <c r="H84" i="9"/>
  <c r="G84" i="9"/>
  <c r="F84" i="9"/>
  <c r="E84" i="9"/>
  <c r="D84" i="9"/>
  <c r="L83" i="9"/>
  <c r="K83" i="9"/>
  <c r="J83" i="9"/>
  <c r="I83" i="9"/>
  <c r="H83" i="9"/>
  <c r="G83" i="9"/>
  <c r="F83" i="9"/>
  <c r="E83" i="9"/>
  <c r="D83" i="9"/>
  <c r="L82" i="9"/>
  <c r="K82" i="9"/>
  <c r="J82" i="9"/>
  <c r="I82" i="9"/>
  <c r="H82" i="9"/>
  <c r="G82" i="9"/>
  <c r="F82" i="9"/>
  <c r="E82" i="9"/>
  <c r="D82" i="9"/>
  <c r="L81" i="9"/>
  <c r="K81" i="9"/>
  <c r="J81" i="9"/>
  <c r="I81" i="9"/>
  <c r="H81" i="9"/>
  <c r="G81" i="9"/>
  <c r="F81" i="9"/>
  <c r="E81" i="9"/>
  <c r="D81" i="9"/>
  <c r="L80" i="9"/>
  <c r="K80" i="9"/>
  <c r="J80" i="9"/>
  <c r="I80" i="9"/>
  <c r="H80" i="9"/>
  <c r="G80" i="9"/>
  <c r="F80" i="9"/>
  <c r="E80" i="9"/>
  <c r="D80" i="9"/>
  <c r="L79" i="9"/>
  <c r="K79" i="9"/>
  <c r="J79" i="9"/>
  <c r="I79" i="9"/>
  <c r="H79" i="9"/>
  <c r="G79" i="9"/>
  <c r="F79" i="9"/>
  <c r="E79" i="9"/>
  <c r="D79" i="9"/>
  <c r="C88" i="9"/>
  <c r="C87" i="9"/>
  <c r="C86" i="9"/>
  <c r="C85" i="9"/>
  <c r="C84" i="9"/>
  <c r="C83" i="9"/>
  <c r="C82" i="9"/>
  <c r="C81" i="9"/>
  <c r="C80" i="9"/>
  <c r="C79" i="9"/>
  <c r="C4" i="5"/>
  <c r="C10" i="5"/>
  <c r="D13" i="10"/>
  <c r="D25" i="10" l="1"/>
  <c r="G18" i="10"/>
  <c r="F18" i="10"/>
  <c r="E18" i="10"/>
  <c r="D18" i="10"/>
  <c r="G17" i="10"/>
  <c r="F17" i="10"/>
  <c r="E17" i="10"/>
  <c r="D17" i="10"/>
  <c r="F13" i="10"/>
  <c r="E13" i="10"/>
  <c r="G12" i="10"/>
  <c r="F12" i="10"/>
  <c r="E12" i="10"/>
  <c r="D12" i="10"/>
  <c r="G9" i="10"/>
  <c r="G10" i="10" s="1"/>
  <c r="F9" i="10"/>
  <c r="F10" i="10" s="1"/>
  <c r="E9" i="10"/>
  <c r="E10" i="10" s="1"/>
  <c r="D9" i="10"/>
  <c r="D10" i="10" s="1"/>
  <c r="G5" i="10"/>
  <c r="F5" i="10"/>
  <c r="E5" i="10"/>
  <c r="D5" i="10"/>
  <c r="G4" i="10"/>
  <c r="F4" i="10"/>
  <c r="E4" i="10"/>
  <c r="D4" i="10"/>
  <c r="G7" i="10"/>
  <c r="F7" i="10"/>
  <c r="E7" i="10"/>
  <c r="D7" i="10"/>
  <c r="G2" i="10"/>
  <c r="H2" i="10" s="1"/>
  <c r="I2" i="10" s="1"/>
  <c r="J2" i="10" s="1"/>
  <c r="K2" i="10" s="1"/>
  <c r="L2" i="10" s="1"/>
  <c r="L12" i="7"/>
  <c r="K12" i="7"/>
  <c r="J12" i="7"/>
  <c r="I12" i="7"/>
  <c r="L42" i="7"/>
  <c r="K42" i="7"/>
  <c r="J42" i="7"/>
  <c r="I42" i="7"/>
  <c r="H42" i="7"/>
  <c r="L129" i="2"/>
  <c r="K129" i="2"/>
  <c r="J129" i="2"/>
  <c r="I129" i="2"/>
  <c r="I58" i="3"/>
  <c r="I57" i="3"/>
  <c r="H10" i="7"/>
  <c r="I128" i="2"/>
  <c r="J128" i="2"/>
  <c r="J43" i="3" s="1"/>
  <c r="K128" i="2"/>
  <c r="K43" i="3" s="1"/>
  <c r="L128" i="2"/>
  <c r="L43" i="3" s="1"/>
  <c r="G128" i="2"/>
  <c r="F128" i="2"/>
  <c r="E128" i="2"/>
  <c r="D128" i="2"/>
  <c r="G184" i="2"/>
  <c r="F184" i="2"/>
  <c r="E184" i="2"/>
  <c r="D184" i="2"/>
  <c r="D72" i="7"/>
  <c r="H183" i="2" s="1"/>
  <c r="H184" i="2" s="1"/>
  <c r="H128" i="2" s="1"/>
  <c r="H43" i="3" s="1"/>
  <c r="I43" i="3"/>
  <c r="L172" i="2"/>
  <c r="K172" i="2"/>
  <c r="J172" i="2"/>
  <c r="I172" i="2"/>
  <c r="H172" i="2"/>
  <c r="G173" i="2"/>
  <c r="F173" i="2"/>
  <c r="E173" i="2"/>
  <c r="D173" i="2"/>
  <c r="H62" i="9"/>
  <c r="G47" i="9"/>
  <c r="F47" i="9"/>
  <c r="E47" i="9"/>
  <c r="G40" i="9"/>
  <c r="D47" i="9"/>
  <c r="H58" i="3"/>
  <c r="L62" i="9"/>
  <c r="K62" i="9"/>
  <c r="J62" i="9"/>
  <c r="I62" i="9"/>
  <c r="F29" i="9"/>
  <c r="L28" i="9"/>
  <c r="G21" i="9"/>
  <c r="F21" i="9"/>
  <c r="E21" i="9"/>
  <c r="D21" i="9"/>
  <c r="G16" i="9"/>
  <c r="F16" i="9"/>
  <c r="E16" i="9"/>
  <c r="D16" i="9"/>
  <c r="G15" i="9"/>
  <c r="F15" i="9"/>
  <c r="E15" i="9"/>
  <c r="D15" i="9"/>
  <c r="G4" i="9"/>
  <c r="F4" i="9"/>
  <c r="E4" i="9"/>
  <c r="D4" i="9"/>
  <c r="G2" i="9"/>
  <c r="H2" i="9" s="1"/>
  <c r="I2" i="9" s="1"/>
  <c r="H34" i="3"/>
  <c r="H58" i="4"/>
  <c r="I58" i="4" s="1"/>
  <c r="J58" i="4" s="1"/>
  <c r="K58" i="4" s="1"/>
  <c r="L58" i="4" s="1"/>
  <c r="L47" i="9" s="1"/>
  <c r="J58" i="3"/>
  <c r="K58" i="3" s="1"/>
  <c r="L52" i="7"/>
  <c r="K52" i="7"/>
  <c r="J52" i="7"/>
  <c r="I52" i="7"/>
  <c r="H52" i="7"/>
  <c r="G52" i="7"/>
  <c r="F52" i="7"/>
  <c r="E52" i="7"/>
  <c r="F180" i="2"/>
  <c r="E180" i="2"/>
  <c r="G180" i="2"/>
  <c r="L115" i="2"/>
  <c r="K115" i="2"/>
  <c r="J115" i="2"/>
  <c r="I115" i="2"/>
  <c r="H115" i="2"/>
  <c r="H86" i="3"/>
  <c r="G130" i="2"/>
  <c r="F130" i="2"/>
  <c r="E130" i="2"/>
  <c r="D130" i="2"/>
  <c r="L60" i="7"/>
  <c r="K60" i="7"/>
  <c r="J60" i="7"/>
  <c r="I60" i="7"/>
  <c r="H60" i="7"/>
  <c r="G59" i="7"/>
  <c r="D87" i="4"/>
  <c r="G87" i="4"/>
  <c r="L119" i="2"/>
  <c r="L29" i="4" s="1"/>
  <c r="K119" i="2"/>
  <c r="K29" i="4" s="1"/>
  <c r="J119" i="2"/>
  <c r="J29" i="4" s="1"/>
  <c r="I119" i="2"/>
  <c r="I29" i="4" s="1"/>
  <c r="H119" i="2"/>
  <c r="H29" i="4" s="1"/>
  <c r="F30" i="4"/>
  <c r="G117" i="2"/>
  <c r="G119" i="2" s="1"/>
  <c r="G29" i="4" s="1"/>
  <c r="F117" i="2"/>
  <c r="F119" i="2" s="1"/>
  <c r="F29" i="4" s="1"/>
  <c r="E117" i="2"/>
  <c r="E119" i="2" s="1"/>
  <c r="E29" i="4" s="1"/>
  <c r="D117" i="2"/>
  <c r="D119" i="2" s="1"/>
  <c r="D29" i="4" s="1"/>
  <c r="F16" i="5"/>
  <c r="E16" i="5"/>
  <c r="D16" i="5"/>
  <c r="C16" i="5"/>
  <c r="G37" i="5"/>
  <c r="G38" i="5"/>
  <c r="F38" i="5"/>
  <c r="E38" i="5"/>
  <c r="D38" i="5"/>
  <c r="G65" i="7"/>
  <c r="F65" i="7"/>
  <c r="F64" i="7"/>
  <c r="F60" i="7"/>
  <c r="F45" i="5" s="1"/>
  <c r="G60" i="7"/>
  <c r="G45" i="5" s="1"/>
  <c r="F59" i="7"/>
  <c r="E66" i="7"/>
  <c r="E65" i="7"/>
  <c r="E64" i="7"/>
  <c r="D66" i="7"/>
  <c r="D65" i="7"/>
  <c r="D64" i="7"/>
  <c r="D62" i="7"/>
  <c r="D61" i="7"/>
  <c r="E60" i="7"/>
  <c r="E44" i="5" s="1"/>
  <c r="E59" i="7"/>
  <c r="D59" i="7"/>
  <c r="D60" i="7"/>
  <c r="D44" i="5" s="1"/>
  <c r="D72" i="3"/>
  <c r="E72" i="3" s="1"/>
  <c r="F72" i="3" s="1"/>
  <c r="E77" i="3"/>
  <c r="D77" i="3"/>
  <c r="G43" i="7"/>
  <c r="G44" i="7" s="1"/>
  <c r="F43" i="7"/>
  <c r="F44" i="7" s="1"/>
  <c r="D51" i="7"/>
  <c r="D52" i="7" s="1"/>
  <c r="L70" i="3"/>
  <c r="K70" i="3"/>
  <c r="J70" i="3"/>
  <c r="J73" i="3" s="1"/>
  <c r="J46" i="7" s="1"/>
  <c r="I70" i="3"/>
  <c r="H70" i="3"/>
  <c r="H73" i="3" s="1"/>
  <c r="H46" i="7" s="1"/>
  <c r="G70" i="3"/>
  <c r="G73" i="3" s="1"/>
  <c r="G46" i="7" s="1"/>
  <c r="G54" i="7" s="1"/>
  <c r="F70" i="3"/>
  <c r="E70" i="3"/>
  <c r="E73" i="3" s="1"/>
  <c r="E46" i="7" s="1"/>
  <c r="D70" i="3"/>
  <c r="D73" i="3" s="1"/>
  <c r="D46" i="7" s="1"/>
  <c r="E43" i="7"/>
  <c r="E44" i="7" s="1"/>
  <c r="D43" i="7"/>
  <c r="D44" i="7" s="1"/>
  <c r="G6" i="7"/>
  <c r="F6" i="7"/>
  <c r="L35" i="7"/>
  <c r="L36" i="7" s="1"/>
  <c r="K35" i="7"/>
  <c r="K36" i="7" s="1"/>
  <c r="J35" i="7"/>
  <c r="J36" i="7" s="1"/>
  <c r="I35" i="7"/>
  <c r="I36" i="7" s="1"/>
  <c r="H35" i="7"/>
  <c r="H36" i="7" s="1"/>
  <c r="E6" i="7"/>
  <c r="D6" i="7"/>
  <c r="F36" i="7"/>
  <c r="F9" i="7"/>
  <c r="E9" i="7"/>
  <c r="D9" i="7"/>
  <c r="G9" i="7"/>
  <c r="D24" i="7"/>
  <c r="D74" i="4" s="1"/>
  <c r="L11" i="7"/>
  <c r="K11" i="7"/>
  <c r="J11" i="7"/>
  <c r="I11" i="7"/>
  <c r="H11" i="7"/>
  <c r="L10" i="7"/>
  <c r="K10" i="7"/>
  <c r="J10" i="7"/>
  <c r="I10" i="7"/>
  <c r="F11" i="7"/>
  <c r="E11" i="7"/>
  <c r="D11" i="7"/>
  <c r="F10" i="7"/>
  <c r="E10" i="7"/>
  <c r="D10" i="7"/>
  <c r="G11" i="7"/>
  <c r="G10" i="7"/>
  <c r="G27" i="7"/>
  <c r="G29" i="7" s="1"/>
  <c r="G76" i="4" s="1"/>
  <c r="D36" i="7"/>
  <c r="E36" i="7"/>
  <c r="D32" i="7"/>
  <c r="E32" i="7"/>
  <c r="F32" i="7"/>
  <c r="G32" i="7"/>
  <c r="F31" i="7"/>
  <c r="E31" i="7"/>
  <c r="E33" i="7" s="1"/>
  <c r="E77" i="4" s="1"/>
  <c r="D31" i="7"/>
  <c r="G31" i="7"/>
  <c r="G33" i="7" s="1"/>
  <c r="G77" i="4" s="1"/>
  <c r="F27" i="7"/>
  <c r="F29" i="7" s="1"/>
  <c r="F76" i="4" s="1"/>
  <c r="E27" i="7"/>
  <c r="E29" i="7" s="1"/>
  <c r="E76" i="4" s="1"/>
  <c r="D27" i="7"/>
  <c r="D29" i="7" s="1"/>
  <c r="D76" i="4" s="1"/>
  <c r="G116" i="3"/>
  <c r="G119" i="3" s="1"/>
  <c r="G121" i="3" s="1"/>
  <c r="G64" i="4" s="1"/>
  <c r="F116" i="3"/>
  <c r="F119" i="3" s="1"/>
  <c r="F121" i="3" s="1"/>
  <c r="F64" i="4" s="1"/>
  <c r="E116" i="3"/>
  <c r="E119" i="3" s="1"/>
  <c r="E121" i="3" s="1"/>
  <c r="E64" i="4" s="1"/>
  <c r="D116" i="3"/>
  <c r="D119" i="3" s="1"/>
  <c r="D121" i="3" s="1"/>
  <c r="L57" i="4"/>
  <c r="K57" i="4"/>
  <c r="J57" i="4"/>
  <c r="I57" i="4"/>
  <c r="H57" i="4"/>
  <c r="G57" i="4"/>
  <c r="F57" i="4"/>
  <c r="F45" i="9" s="1"/>
  <c r="E57" i="4"/>
  <c r="D57" i="4"/>
  <c r="G52" i="4"/>
  <c r="F52" i="4"/>
  <c r="E52" i="4"/>
  <c r="G50" i="4"/>
  <c r="F50" i="4"/>
  <c r="E50" i="4"/>
  <c r="E45" i="9" s="1"/>
  <c r="D52" i="4"/>
  <c r="D50" i="4"/>
  <c r="G44" i="4"/>
  <c r="F44" i="4"/>
  <c r="E44" i="4"/>
  <c r="D44" i="4"/>
  <c r="G17" i="3"/>
  <c r="G43" i="4" s="1"/>
  <c r="F17" i="3"/>
  <c r="F43" i="4" s="1"/>
  <c r="F40" i="9" s="1"/>
  <c r="E17" i="3"/>
  <c r="D17" i="3"/>
  <c r="D43" i="4" s="1"/>
  <c r="D40" i="9" s="1"/>
  <c r="G14" i="3"/>
  <c r="G18" i="7" s="1"/>
  <c r="F14" i="3"/>
  <c r="F18" i="7" s="1"/>
  <c r="E14" i="3"/>
  <c r="E18" i="7" s="1"/>
  <c r="G10" i="3"/>
  <c r="G17" i="7" s="1"/>
  <c r="F10" i="3"/>
  <c r="F17" i="7" s="1"/>
  <c r="E10" i="3"/>
  <c r="E17" i="7" s="1"/>
  <c r="G6" i="3"/>
  <c r="G16" i="7" s="1"/>
  <c r="F6" i="3"/>
  <c r="F16" i="7" s="1"/>
  <c r="E6" i="3"/>
  <c r="E16" i="7" s="1"/>
  <c r="G36" i="4"/>
  <c r="G37" i="9" s="1"/>
  <c r="F36" i="4"/>
  <c r="F37" i="9" s="1"/>
  <c r="E36" i="4"/>
  <c r="E37" i="9" s="1"/>
  <c r="D36" i="4"/>
  <c r="D37" i="9" s="1"/>
  <c r="L40" i="4"/>
  <c r="K40" i="4"/>
  <c r="J40" i="4"/>
  <c r="I40" i="4"/>
  <c r="H40" i="4"/>
  <c r="G40" i="4"/>
  <c r="F40" i="4"/>
  <c r="E40" i="4"/>
  <c r="D40" i="4"/>
  <c r="D39" i="4"/>
  <c r="F107" i="3"/>
  <c r="E107" i="3"/>
  <c r="E39" i="4" s="1"/>
  <c r="G107" i="3"/>
  <c r="G39" i="4" s="1"/>
  <c r="D101" i="3"/>
  <c r="D102" i="3" s="1"/>
  <c r="E101" i="3"/>
  <c r="F101" i="3"/>
  <c r="G101" i="3"/>
  <c r="F75" i="3"/>
  <c r="G75" i="3" s="1"/>
  <c r="H75" i="3" s="1"/>
  <c r="H77" i="3" s="1"/>
  <c r="G65" i="3"/>
  <c r="G59" i="2" s="1"/>
  <c r="G9" i="4" s="1"/>
  <c r="G59" i="3"/>
  <c r="G37" i="4" s="1"/>
  <c r="G38" i="9" s="1"/>
  <c r="F65" i="3"/>
  <c r="F59" i="2" s="1"/>
  <c r="F59" i="3"/>
  <c r="E65" i="3"/>
  <c r="E59" i="2" s="1"/>
  <c r="E9" i="4" s="1"/>
  <c r="D65" i="3"/>
  <c r="D59" i="2" s="1"/>
  <c r="D9" i="4" s="1"/>
  <c r="E59" i="3"/>
  <c r="E37" i="4" s="1"/>
  <c r="E38" i="9" s="1"/>
  <c r="D59" i="3"/>
  <c r="G40" i="3"/>
  <c r="G56" i="4" s="1"/>
  <c r="F40" i="3"/>
  <c r="F56" i="4" s="1"/>
  <c r="E40" i="3"/>
  <c r="D40" i="3"/>
  <c r="G35" i="3"/>
  <c r="G51" i="4" s="1"/>
  <c r="F35" i="3"/>
  <c r="F51" i="4" s="1"/>
  <c r="E35" i="3"/>
  <c r="D35" i="3"/>
  <c r="G27" i="3"/>
  <c r="F27" i="3"/>
  <c r="E27" i="3"/>
  <c r="D27" i="3"/>
  <c r="G16" i="4"/>
  <c r="G39" i="1" s="1"/>
  <c r="F16" i="4"/>
  <c r="F39" i="1" s="1"/>
  <c r="E16" i="4"/>
  <c r="E39" i="1" s="1"/>
  <c r="D16" i="4"/>
  <c r="D39" i="1" s="1"/>
  <c r="G13" i="3"/>
  <c r="F13" i="3"/>
  <c r="E13" i="3"/>
  <c r="D13" i="3"/>
  <c r="G9" i="3"/>
  <c r="F9" i="3"/>
  <c r="E9" i="3"/>
  <c r="G5" i="3"/>
  <c r="F5" i="3"/>
  <c r="E5" i="3"/>
  <c r="D9" i="3"/>
  <c r="D5" i="3"/>
  <c r="F24" i="3"/>
  <c r="F55" i="4" s="1"/>
  <c r="E24" i="3"/>
  <c r="E55" i="4" s="1"/>
  <c r="D24" i="3"/>
  <c r="G24" i="3"/>
  <c r="G22" i="4"/>
  <c r="F22" i="4"/>
  <c r="E22" i="4"/>
  <c r="D22" i="4"/>
  <c r="G17" i="1"/>
  <c r="F17" i="1"/>
  <c r="F38" i="1"/>
  <c r="G38" i="1"/>
  <c r="E38" i="1"/>
  <c r="D38" i="1"/>
  <c r="F115" i="2"/>
  <c r="G115" i="2"/>
  <c r="D10" i="2"/>
  <c r="G43" i="2"/>
  <c r="G49" i="2" s="1"/>
  <c r="G41" i="2"/>
  <c r="G48" i="2" s="1"/>
  <c r="G86" i="2"/>
  <c r="F44" i="2"/>
  <c r="F35" i="7" s="1"/>
  <c r="E44" i="2"/>
  <c r="E35" i="7" s="1"/>
  <c r="D44" i="2"/>
  <c r="D35" i="7" s="1"/>
  <c r="G44" i="2"/>
  <c r="G35" i="7" s="1"/>
  <c r="G37" i="7" s="1"/>
  <c r="G78" i="4" s="1"/>
  <c r="G42" i="2"/>
  <c r="G17" i="4"/>
  <c r="F17" i="4"/>
  <c r="E17" i="4"/>
  <c r="D17" i="4"/>
  <c r="D170" i="2"/>
  <c r="D4" i="4"/>
  <c r="E115" i="2"/>
  <c r="D115" i="2"/>
  <c r="F86" i="2"/>
  <c r="E86" i="2"/>
  <c r="D86" i="2"/>
  <c r="G106" i="2"/>
  <c r="F106" i="2"/>
  <c r="E106" i="2"/>
  <c r="D106" i="2"/>
  <c r="L32" i="5"/>
  <c r="L148" i="2" s="1"/>
  <c r="L103" i="2" s="1"/>
  <c r="K32" i="5"/>
  <c r="K148" i="2" s="1"/>
  <c r="K103" i="2" s="1"/>
  <c r="J32" i="5"/>
  <c r="J148" i="2" s="1"/>
  <c r="J103" i="2" s="1"/>
  <c r="I32" i="5"/>
  <c r="I147" i="2" s="1"/>
  <c r="H32" i="5"/>
  <c r="H148" i="2" s="1"/>
  <c r="H103" i="2" s="1"/>
  <c r="H89" i="3" s="1"/>
  <c r="G32" i="5"/>
  <c r="F32" i="5"/>
  <c r="E32" i="5"/>
  <c r="D32" i="5"/>
  <c r="G31" i="1"/>
  <c r="F31" i="1"/>
  <c r="E31" i="1"/>
  <c r="G29" i="1"/>
  <c r="F29" i="1"/>
  <c r="E29" i="1"/>
  <c r="D31" i="1"/>
  <c r="D29" i="1"/>
  <c r="G144" i="2"/>
  <c r="F144" i="2"/>
  <c r="G139" i="2"/>
  <c r="G146" i="2" s="1"/>
  <c r="F139" i="2"/>
  <c r="F146" i="2" s="1"/>
  <c r="G126" i="2"/>
  <c r="F126" i="2"/>
  <c r="E126" i="2"/>
  <c r="D126" i="2"/>
  <c r="E74" i="2"/>
  <c r="E77" i="2"/>
  <c r="G80" i="2"/>
  <c r="F80" i="2"/>
  <c r="E80" i="2"/>
  <c r="E82" i="2" s="1"/>
  <c r="D80" i="2"/>
  <c r="G71" i="2"/>
  <c r="F71" i="2"/>
  <c r="E71" i="2"/>
  <c r="D71" i="2"/>
  <c r="F68" i="2"/>
  <c r="E68" i="2"/>
  <c r="D68" i="2"/>
  <c r="G68" i="2"/>
  <c r="G57" i="2"/>
  <c r="G8" i="4" s="1"/>
  <c r="F57" i="2"/>
  <c r="F8" i="4" s="1"/>
  <c r="E57" i="2"/>
  <c r="E61" i="2" s="1"/>
  <c r="D57" i="2"/>
  <c r="D4" i="7" s="1"/>
  <c r="L41" i="2"/>
  <c r="K41" i="2"/>
  <c r="J41" i="2"/>
  <c r="I41" i="2"/>
  <c r="H41" i="2"/>
  <c r="F43" i="2"/>
  <c r="F49" i="2" s="1"/>
  <c r="E43" i="2"/>
  <c r="E49" i="2" s="1"/>
  <c r="D43" i="2"/>
  <c r="D49" i="2" s="1"/>
  <c r="F42" i="2"/>
  <c r="E42" i="2"/>
  <c r="D42" i="2"/>
  <c r="F41" i="2"/>
  <c r="F48" i="2" s="1"/>
  <c r="E41" i="2"/>
  <c r="E48" i="2" s="1"/>
  <c r="D41" i="2"/>
  <c r="D48" i="2" s="1"/>
  <c r="F40" i="2"/>
  <c r="F10" i="4" s="1"/>
  <c r="E40" i="2"/>
  <c r="E10" i="4" s="1"/>
  <c r="D40" i="2"/>
  <c r="D10" i="4" s="1"/>
  <c r="G40" i="2"/>
  <c r="G7" i="7" s="1"/>
  <c r="G32" i="2"/>
  <c r="F32" i="2"/>
  <c r="E32" i="2"/>
  <c r="D32" i="2"/>
  <c r="G38" i="2"/>
  <c r="F38" i="2"/>
  <c r="E38" i="2"/>
  <c r="D38" i="2"/>
  <c r="F28" i="2"/>
  <c r="E28" i="2"/>
  <c r="D28" i="2"/>
  <c r="G28" i="2"/>
  <c r="E15" i="1"/>
  <c r="E92" i="2" s="1"/>
  <c r="D15" i="1"/>
  <c r="D32" i="1" s="1"/>
  <c r="K22" i="5"/>
  <c r="K150" i="2" s="1"/>
  <c r="L22" i="5"/>
  <c r="J22" i="5"/>
  <c r="J24" i="1" s="1"/>
  <c r="I22" i="5"/>
  <c r="I24" i="1" s="1"/>
  <c r="H22" i="5"/>
  <c r="H150" i="2" s="1"/>
  <c r="I33" i="1"/>
  <c r="J33" i="1"/>
  <c r="K33" i="1"/>
  <c r="L33" i="1"/>
  <c r="G13" i="1"/>
  <c r="F13" i="1"/>
  <c r="F15" i="1" s="1"/>
  <c r="F9" i="1"/>
  <c r="E9" i="1"/>
  <c r="E17" i="1" s="1"/>
  <c r="D9" i="1"/>
  <c r="D17" i="1" s="1"/>
  <c r="D74" i="2" s="1"/>
  <c r="G9" i="1"/>
  <c r="G19" i="5"/>
  <c r="G22" i="5" s="1"/>
  <c r="G150" i="2" s="1"/>
  <c r="F19" i="5"/>
  <c r="F22" i="5" s="1"/>
  <c r="F24" i="1" s="1"/>
  <c r="E19" i="5"/>
  <c r="E22" i="5" s="1"/>
  <c r="D19" i="5"/>
  <c r="D22" i="5" s="1"/>
  <c r="D150" i="2" s="1"/>
  <c r="G18" i="5"/>
  <c r="H18" i="5" s="1"/>
  <c r="I18" i="5" s="1"/>
  <c r="J18" i="5" s="1"/>
  <c r="K18" i="5" s="1"/>
  <c r="L18" i="5" s="1"/>
  <c r="E15" i="10" l="1"/>
  <c r="D20" i="10"/>
  <c r="G15" i="10"/>
  <c r="D15" i="10"/>
  <c r="F15" i="10"/>
  <c r="F2" i="10"/>
  <c r="E2" i="10" s="1"/>
  <c r="D2" i="10" s="1"/>
  <c r="H129" i="2"/>
  <c r="H12" i="7" s="1"/>
  <c r="I47" i="9"/>
  <c r="G132" i="2"/>
  <c r="G17" i="9" s="1"/>
  <c r="F7" i="9"/>
  <c r="F9" i="9"/>
  <c r="H28" i="9"/>
  <c r="J28" i="9"/>
  <c r="D28" i="9"/>
  <c r="F132" i="2"/>
  <c r="F17" i="9" s="1"/>
  <c r="G7" i="9"/>
  <c r="G9" i="9"/>
  <c r="E28" i="9"/>
  <c r="I28" i="9"/>
  <c r="D7" i="9"/>
  <c r="D9" i="9"/>
  <c r="F28" i="9"/>
  <c r="E7" i="9"/>
  <c r="E9" i="9"/>
  <c r="G28" i="9"/>
  <c r="K28" i="9"/>
  <c r="E36" i="9"/>
  <c r="E46" i="9"/>
  <c r="D36" i="9"/>
  <c r="F36" i="9"/>
  <c r="F46" i="9"/>
  <c r="G36" i="9"/>
  <c r="G45" i="9"/>
  <c r="G50" i="9"/>
  <c r="D45" i="9"/>
  <c r="E50" i="9"/>
  <c r="F50" i="9"/>
  <c r="J47" i="9"/>
  <c r="K47" i="9"/>
  <c r="H47" i="9"/>
  <c r="H64" i="9" s="1"/>
  <c r="E8" i="9"/>
  <c r="D55" i="4"/>
  <c r="E43" i="4"/>
  <c r="E40" i="9" s="1"/>
  <c r="D64" i="4"/>
  <c r="D50" i="9"/>
  <c r="E51" i="4"/>
  <c r="E53" i="4" s="1"/>
  <c r="E56" i="4"/>
  <c r="E59" i="4" s="1"/>
  <c r="F9" i="4"/>
  <c r="F8" i="9"/>
  <c r="G55" i="4"/>
  <c r="G46" i="9" s="1"/>
  <c r="D51" i="4"/>
  <c r="D53" i="4" s="1"/>
  <c r="D56" i="4"/>
  <c r="D37" i="4"/>
  <c r="D38" i="9" s="1"/>
  <c r="F37" i="4"/>
  <c r="F38" i="9" s="1"/>
  <c r="F39" i="4"/>
  <c r="G8" i="9"/>
  <c r="D8" i="9"/>
  <c r="I54" i="9"/>
  <c r="I33" i="9"/>
  <c r="J2" i="9"/>
  <c r="H54" i="9"/>
  <c r="H33" i="9"/>
  <c r="F2" i="9"/>
  <c r="G33" i="9"/>
  <c r="G54" i="9"/>
  <c r="G72" i="3"/>
  <c r="H72" i="3" s="1"/>
  <c r="I72" i="3" s="1"/>
  <c r="J72" i="3" s="1"/>
  <c r="K72" i="3" s="1"/>
  <c r="L72" i="3" s="1"/>
  <c r="L73" i="3" s="1"/>
  <c r="L46" i="7" s="1"/>
  <c r="H107" i="3"/>
  <c r="J89" i="3"/>
  <c r="K89" i="3"/>
  <c r="L89" i="3"/>
  <c r="H124" i="3"/>
  <c r="H127" i="3" s="1"/>
  <c r="H116" i="3" s="1"/>
  <c r="I124" i="3" s="1"/>
  <c r="I127" i="3" s="1"/>
  <c r="I116" i="3" s="1"/>
  <c r="J124" i="3" s="1"/>
  <c r="J127" i="3" s="1"/>
  <c r="J116" i="3" s="1"/>
  <c r="K124" i="3" s="1"/>
  <c r="K127" i="3" s="1"/>
  <c r="K116" i="3" s="1"/>
  <c r="L124" i="3" s="1"/>
  <c r="L127" i="3" s="1"/>
  <c r="L116" i="3" s="1"/>
  <c r="F73" i="3"/>
  <c r="F46" i="7" s="1"/>
  <c r="F54" i="7" s="1"/>
  <c r="H24" i="3"/>
  <c r="K73" i="3"/>
  <c r="K46" i="7" s="1"/>
  <c r="E132" i="2"/>
  <c r="G18" i="4"/>
  <c r="D132" i="2"/>
  <c r="F18" i="4"/>
  <c r="D45" i="5"/>
  <c r="D69" i="7"/>
  <c r="D84" i="4" s="1"/>
  <c r="G44" i="5"/>
  <c r="D54" i="7"/>
  <c r="F69" i="7"/>
  <c r="F84" i="4" s="1"/>
  <c r="F44" i="5"/>
  <c r="E69" i="7"/>
  <c r="E84" i="4" s="1"/>
  <c r="G69" i="7"/>
  <c r="G84" i="4" s="1"/>
  <c r="E45" i="5"/>
  <c r="E54" i="7"/>
  <c r="F18" i="5"/>
  <c r="E18" i="5" s="1"/>
  <c r="D18" i="5" s="1"/>
  <c r="J21" i="1"/>
  <c r="J4" i="1" s="1"/>
  <c r="G2" i="1"/>
  <c r="H2" i="1" s="1"/>
  <c r="I2" i="1" s="1"/>
  <c r="J2" i="1" s="1"/>
  <c r="K2" i="1" s="1"/>
  <c r="L2" i="1" s="1"/>
  <c r="L27" i="1" s="1"/>
  <c r="J147" i="2"/>
  <c r="J23" i="1"/>
  <c r="J6" i="1" s="1"/>
  <c r="I148" i="2"/>
  <c r="I103" i="2" s="1"/>
  <c r="G28" i="5"/>
  <c r="F28" i="5" s="1"/>
  <c r="E28" i="5" s="1"/>
  <c r="D28" i="5" s="1"/>
  <c r="D21" i="1"/>
  <c r="G56" i="7"/>
  <c r="H56" i="7" s="1"/>
  <c r="I56" i="7" s="1"/>
  <c r="J56" i="7" s="1"/>
  <c r="K56" i="7" s="1"/>
  <c r="L56" i="7" s="1"/>
  <c r="E7" i="7"/>
  <c r="G10" i="4"/>
  <c r="F4" i="7"/>
  <c r="F89" i="2"/>
  <c r="F13" i="2" s="1"/>
  <c r="D7" i="7"/>
  <c r="F7" i="7"/>
  <c r="F8" i="7"/>
  <c r="E4" i="7"/>
  <c r="D89" i="2"/>
  <c r="D13" i="2" s="1"/>
  <c r="G8" i="7"/>
  <c r="G4" i="7"/>
  <c r="E24" i="1"/>
  <c r="E23" i="1"/>
  <c r="E21" i="1"/>
  <c r="E25" i="1" s="1"/>
  <c r="E150" i="2"/>
  <c r="G2" i="3"/>
  <c r="H2" i="3" s="1"/>
  <c r="I2" i="3" s="1"/>
  <c r="J2" i="3" s="1"/>
  <c r="K2" i="3" s="1"/>
  <c r="L2" i="3" s="1"/>
  <c r="L20" i="3" s="1"/>
  <c r="F150" i="2"/>
  <c r="J150" i="2"/>
  <c r="K147" i="2"/>
  <c r="K144" i="2" s="1"/>
  <c r="K57" i="2" s="1"/>
  <c r="D23" i="1"/>
  <c r="G21" i="1"/>
  <c r="K21" i="1"/>
  <c r="K4" i="1" s="1"/>
  <c r="K70" i="2" s="1"/>
  <c r="G23" i="1"/>
  <c r="K23" i="1"/>
  <c r="K6" i="1" s="1"/>
  <c r="G24" i="1"/>
  <c r="K24" i="1"/>
  <c r="K15" i="1" s="1"/>
  <c r="G2" i="7"/>
  <c r="H2" i="7" s="1"/>
  <c r="I2" i="7" s="1"/>
  <c r="J2" i="7" s="1"/>
  <c r="K2" i="7" s="1"/>
  <c r="L2" i="7" s="1"/>
  <c r="G147" i="2"/>
  <c r="G50" i="3" s="1"/>
  <c r="I150" i="2"/>
  <c r="I33" i="3" s="1"/>
  <c r="I35" i="3" s="1"/>
  <c r="F21" i="1"/>
  <c r="F23" i="1"/>
  <c r="H147" i="2"/>
  <c r="H144" i="2" s="1"/>
  <c r="H57" i="2" s="1"/>
  <c r="L147" i="2"/>
  <c r="D24" i="1"/>
  <c r="H21" i="1"/>
  <c r="L21" i="1"/>
  <c r="L4" i="1" s="1"/>
  <c r="L70" i="2" s="1"/>
  <c r="H23" i="1"/>
  <c r="L23" i="1"/>
  <c r="L6" i="1" s="1"/>
  <c r="H24" i="1"/>
  <c r="L24" i="1"/>
  <c r="L15" i="1" s="1"/>
  <c r="G39" i="7"/>
  <c r="L150" i="2"/>
  <c r="I21" i="1"/>
  <c r="I23" i="1"/>
  <c r="I6" i="1" s="1"/>
  <c r="G2" i="4"/>
  <c r="H2" i="4" s="1"/>
  <c r="I2" i="4" s="1"/>
  <c r="J2" i="4" s="1"/>
  <c r="K2" i="4" s="1"/>
  <c r="L2" i="4" s="1"/>
  <c r="L34" i="4" s="1"/>
  <c r="G34" i="5"/>
  <c r="H63" i="3"/>
  <c r="H57" i="3" s="1"/>
  <c r="D5" i="7"/>
  <c r="F77" i="3"/>
  <c r="G77" i="3"/>
  <c r="G53" i="4"/>
  <c r="E5" i="7"/>
  <c r="F5" i="7"/>
  <c r="F53" i="4"/>
  <c r="G5" i="7"/>
  <c r="G21" i="7"/>
  <c r="G24" i="7" s="1"/>
  <c r="E37" i="7"/>
  <c r="E78" i="4" s="1"/>
  <c r="F148" i="2"/>
  <c r="F21" i="7"/>
  <c r="F24" i="7" s="1"/>
  <c r="E21" i="7"/>
  <c r="E24" i="7" s="1"/>
  <c r="F33" i="7"/>
  <c r="F77" i="4" s="1"/>
  <c r="D37" i="7"/>
  <c r="D78" i="4" s="1"/>
  <c r="F37" i="7"/>
  <c r="F78" i="4" s="1"/>
  <c r="E19" i="7"/>
  <c r="D33" i="7"/>
  <c r="D77" i="4" s="1"/>
  <c r="G19" i="7"/>
  <c r="F19" i="7"/>
  <c r="F59" i="4"/>
  <c r="D103" i="3"/>
  <c r="E100" i="3"/>
  <c r="E102" i="3" s="1"/>
  <c r="I75" i="3"/>
  <c r="E42" i="3"/>
  <c r="E44" i="9" s="1"/>
  <c r="L58" i="3"/>
  <c r="F42" i="3"/>
  <c r="F44" i="9" s="1"/>
  <c r="D42" i="3"/>
  <c r="D44" i="9" s="1"/>
  <c r="G42" i="3"/>
  <c r="G44" i="9" s="1"/>
  <c r="E89" i="2"/>
  <c r="E13" i="2" s="1"/>
  <c r="G45" i="2"/>
  <c r="G14" i="2" s="1"/>
  <c r="E8" i="4"/>
  <c r="F45" i="2"/>
  <c r="F14" i="2" s="1"/>
  <c r="F32" i="1"/>
  <c r="F92" i="2"/>
  <c r="G10" i="2"/>
  <c r="G170" i="2"/>
  <c r="G4" i="4"/>
  <c r="G74" i="2"/>
  <c r="G77" i="2"/>
  <c r="G15" i="1"/>
  <c r="D51" i="2"/>
  <c r="F61" i="2"/>
  <c r="F82" i="2"/>
  <c r="E4" i="4"/>
  <c r="E170" i="2"/>
  <c r="E10" i="2"/>
  <c r="G61" i="2"/>
  <c r="G82" i="2"/>
  <c r="E32" i="1"/>
  <c r="D92" i="2"/>
  <c r="D61" i="2"/>
  <c r="D82" i="2"/>
  <c r="D77" i="2"/>
  <c r="G89" i="2"/>
  <c r="D45" i="2"/>
  <c r="D14" i="2" s="1"/>
  <c r="E45" i="2"/>
  <c r="E14" i="2" s="1"/>
  <c r="D8" i="4"/>
  <c r="E87" i="2"/>
  <c r="G87" i="2"/>
  <c r="D87" i="2"/>
  <c r="F147" i="2"/>
  <c r="G148" i="2"/>
  <c r="H28" i="5"/>
  <c r="I28" i="5" s="1"/>
  <c r="J28" i="5" s="1"/>
  <c r="K28" i="5" s="1"/>
  <c r="L28" i="5" s="1"/>
  <c r="E51" i="2"/>
  <c r="L49" i="2"/>
  <c r="L43" i="2" s="1"/>
  <c r="I49" i="2"/>
  <c r="I43" i="2" s="1"/>
  <c r="K49" i="2"/>
  <c r="K43" i="2" s="1"/>
  <c r="J49" i="2"/>
  <c r="J43" i="2" s="1"/>
  <c r="H49" i="2"/>
  <c r="H43" i="2" s="1"/>
  <c r="G51" i="2"/>
  <c r="I15" i="1"/>
  <c r="J15" i="1"/>
  <c r="G2" i="2"/>
  <c r="I19" i="1"/>
  <c r="H19" i="5"/>
  <c r="H20" i="5" s="1"/>
  <c r="G19" i="1"/>
  <c r="K19" i="1"/>
  <c r="H19" i="1"/>
  <c r="L19" i="1"/>
  <c r="G27" i="1"/>
  <c r="H27" i="1"/>
  <c r="I27" i="1"/>
  <c r="F2" i="1"/>
  <c r="F19" i="1" s="1"/>
  <c r="I91" i="2" l="1"/>
  <c r="K91" i="2"/>
  <c r="J27" i="1"/>
  <c r="K27" i="1"/>
  <c r="J19" i="1"/>
  <c r="E48" i="9"/>
  <c r="F48" i="9"/>
  <c r="L17" i="1"/>
  <c r="L169" i="2" s="1"/>
  <c r="J64" i="9"/>
  <c r="K64" i="9"/>
  <c r="L64" i="9"/>
  <c r="I64" i="9"/>
  <c r="E11" i="4"/>
  <c r="E12" i="4" s="1"/>
  <c r="E10" i="9"/>
  <c r="E11" i="9" s="1"/>
  <c r="F11" i="4"/>
  <c r="F10" i="9"/>
  <c r="F11" i="9" s="1"/>
  <c r="D18" i="4"/>
  <c r="D17" i="9"/>
  <c r="D11" i="4"/>
  <c r="D10" i="9"/>
  <c r="D11" i="9" s="1"/>
  <c r="G11" i="4"/>
  <c r="G12" i="4" s="1"/>
  <c r="G10" i="9"/>
  <c r="G11" i="9" s="1"/>
  <c r="E18" i="4"/>
  <c r="E17" i="9"/>
  <c r="G59" i="4"/>
  <c r="G48" i="9"/>
  <c r="D46" i="9"/>
  <c r="D48" i="9" s="1"/>
  <c r="D59" i="4"/>
  <c r="I73" i="3"/>
  <c r="I46" i="7" s="1"/>
  <c r="D38" i="4"/>
  <c r="G74" i="4"/>
  <c r="F82" i="4"/>
  <c r="F12" i="4"/>
  <c r="G82" i="4"/>
  <c r="H39" i="4"/>
  <c r="E74" i="4"/>
  <c r="D82" i="4"/>
  <c r="E82" i="4"/>
  <c r="F74" i="4"/>
  <c r="H55" i="4"/>
  <c r="K87" i="3"/>
  <c r="K7" i="9"/>
  <c r="K2" i="9"/>
  <c r="J54" i="9"/>
  <c r="J33" i="9"/>
  <c r="H87" i="3"/>
  <c r="H7" i="9"/>
  <c r="F33" i="9"/>
  <c r="E2" i="9"/>
  <c r="F54" i="9"/>
  <c r="I107" i="3"/>
  <c r="H105" i="2"/>
  <c r="H6" i="7" s="1"/>
  <c r="I89" i="3"/>
  <c r="G162" i="2"/>
  <c r="G176" i="2"/>
  <c r="E8" i="7"/>
  <c r="E14" i="7" s="1"/>
  <c r="I24" i="3"/>
  <c r="J84" i="3"/>
  <c r="H23" i="3"/>
  <c r="G157" i="2"/>
  <c r="G160" i="2"/>
  <c r="I98" i="3"/>
  <c r="F158" i="2"/>
  <c r="F160" i="2"/>
  <c r="D8" i="7"/>
  <c r="D14" i="7" s="1"/>
  <c r="F155" i="2"/>
  <c r="G158" i="2"/>
  <c r="H134" i="2"/>
  <c r="G154" i="2"/>
  <c r="J33" i="3"/>
  <c r="J35" i="3" s="1"/>
  <c r="E7" i="2"/>
  <c r="E8" i="2" s="1"/>
  <c r="I139" i="2"/>
  <c r="I91" i="3" s="1"/>
  <c r="G14" i="7"/>
  <c r="J134" i="2"/>
  <c r="J91" i="2"/>
  <c r="G20" i="3"/>
  <c r="H53" i="3"/>
  <c r="F56" i="7"/>
  <c r="E56" i="7" s="1"/>
  <c r="D56" i="7" s="1"/>
  <c r="F2" i="3"/>
  <c r="F113" i="3" s="1"/>
  <c r="K25" i="1"/>
  <c r="L30" i="3"/>
  <c r="K98" i="3"/>
  <c r="F2" i="7"/>
  <c r="E2" i="7" s="1"/>
  <c r="D2" i="7" s="1"/>
  <c r="L125" i="2"/>
  <c r="L126" i="2" s="1"/>
  <c r="L25" i="1"/>
  <c r="H30" i="3"/>
  <c r="J98" i="3"/>
  <c r="J113" i="3"/>
  <c r="K17" i="1"/>
  <c r="K86" i="2" s="1"/>
  <c r="I125" i="2"/>
  <c r="I126" i="2" s="1"/>
  <c r="I59" i="7" s="1"/>
  <c r="G155" i="2"/>
  <c r="F14" i="7"/>
  <c r="I144" i="2"/>
  <c r="I57" i="2" s="1"/>
  <c r="I7" i="9" s="1"/>
  <c r="I134" i="2"/>
  <c r="L139" i="2"/>
  <c r="L91" i="3" s="1"/>
  <c r="F7" i="2"/>
  <c r="F8" i="2" s="1"/>
  <c r="J144" i="2"/>
  <c r="J57" i="2" s="1"/>
  <c r="J7" i="9" s="1"/>
  <c r="J139" i="2"/>
  <c r="J91" i="3" s="1"/>
  <c r="J125" i="2"/>
  <c r="J126" i="2" s="1"/>
  <c r="J59" i="7" s="1"/>
  <c r="L144" i="2"/>
  <c r="L57" i="2" s="1"/>
  <c r="L7" i="9" s="1"/>
  <c r="J38" i="3"/>
  <c r="J40" i="3" s="1"/>
  <c r="G152" i="2"/>
  <c r="H139" i="2"/>
  <c r="H91" i="3" s="1"/>
  <c r="H125" i="2"/>
  <c r="H126" i="2" s="1"/>
  <c r="H59" i="7" s="1"/>
  <c r="F157" i="2"/>
  <c r="G153" i="2"/>
  <c r="G51" i="3"/>
  <c r="G62" i="4"/>
  <c r="I51" i="4"/>
  <c r="K8" i="4"/>
  <c r="K4" i="7"/>
  <c r="K139" i="2"/>
  <c r="K91" i="3" s="1"/>
  <c r="J20" i="3"/>
  <c r="G30" i="3"/>
  <c r="K53" i="3"/>
  <c r="G98" i="3"/>
  <c r="L84" i="3"/>
  <c r="K84" i="3"/>
  <c r="H34" i="4"/>
  <c r="G34" i="4"/>
  <c r="H68" i="4"/>
  <c r="K68" i="4"/>
  <c r="L113" i="3"/>
  <c r="I113" i="3"/>
  <c r="L91" i="2"/>
  <c r="H33" i="3"/>
  <c r="H35" i="3" s="1"/>
  <c r="H38" i="3"/>
  <c r="H40" i="3" s="1"/>
  <c r="H39" i="7"/>
  <c r="I39" i="7" s="1"/>
  <c r="J39" i="7" s="1"/>
  <c r="K39" i="7" s="1"/>
  <c r="L39" i="7" s="1"/>
  <c r="F39" i="7"/>
  <c r="E39" i="7" s="1"/>
  <c r="D39" i="7" s="1"/>
  <c r="L33" i="3"/>
  <c r="L35" i="3" s="1"/>
  <c r="L38" i="3"/>
  <c r="L40" i="3" s="1"/>
  <c r="K33" i="3"/>
  <c r="K35" i="3" s="1"/>
  <c r="K38" i="3"/>
  <c r="K40" i="3" s="1"/>
  <c r="L134" i="2"/>
  <c r="H8" i="4"/>
  <c r="H4" i="7"/>
  <c r="F2" i="4"/>
  <c r="F68" i="4" s="1"/>
  <c r="I20" i="3"/>
  <c r="H20" i="3"/>
  <c r="J30" i="3"/>
  <c r="L98" i="3"/>
  <c r="G53" i="3"/>
  <c r="I84" i="3"/>
  <c r="H84" i="3"/>
  <c r="G84" i="3"/>
  <c r="J34" i="4"/>
  <c r="G68" i="4"/>
  <c r="K113" i="3"/>
  <c r="H34" i="5"/>
  <c r="I34" i="5" s="1"/>
  <c r="J34" i="5" s="1"/>
  <c r="K34" i="5" s="1"/>
  <c r="L34" i="5" s="1"/>
  <c r="F34" i="5"/>
  <c r="E34" i="5" s="1"/>
  <c r="D34" i="5" s="1"/>
  <c r="I38" i="3"/>
  <c r="I40" i="3" s="1"/>
  <c r="I42" i="3" s="1"/>
  <c r="K34" i="4"/>
  <c r="L68" i="4"/>
  <c r="I68" i="4"/>
  <c r="K134" i="2"/>
  <c r="K125" i="2"/>
  <c r="K126" i="2" s="1"/>
  <c r="K20" i="3"/>
  <c r="I30" i="3"/>
  <c r="K30" i="3"/>
  <c r="H98" i="3"/>
  <c r="J53" i="3"/>
  <c r="I53" i="3"/>
  <c r="L53" i="3"/>
  <c r="I34" i="4"/>
  <c r="J68" i="4"/>
  <c r="G113" i="3"/>
  <c r="H113" i="3"/>
  <c r="I77" i="3"/>
  <c r="I63" i="3"/>
  <c r="I65" i="3" s="1"/>
  <c r="E62" i="4"/>
  <c r="F62" i="4"/>
  <c r="D62" i="4"/>
  <c r="D12" i="4"/>
  <c r="F100" i="3"/>
  <c r="F102" i="3" s="1"/>
  <c r="E103" i="3"/>
  <c r="H65" i="3"/>
  <c r="J75" i="3"/>
  <c r="F152" i="2"/>
  <c r="F51" i="3"/>
  <c r="F50" i="3"/>
  <c r="G13" i="2"/>
  <c r="G12" i="2" s="1"/>
  <c r="G5" i="9" s="1"/>
  <c r="G13" i="9" s="1"/>
  <c r="G19" i="9" s="1"/>
  <c r="G23" i="9" s="1"/>
  <c r="G7" i="2"/>
  <c r="G8" i="2" s="1"/>
  <c r="F10" i="2"/>
  <c r="F170" i="2"/>
  <c r="F4" i="4"/>
  <c r="F74" i="2"/>
  <c r="F77" i="2"/>
  <c r="F87" i="2"/>
  <c r="F51" i="2"/>
  <c r="G92" i="2"/>
  <c r="G32" i="1"/>
  <c r="H32" i="1" s="1"/>
  <c r="H15" i="1" s="1"/>
  <c r="E12" i="2"/>
  <c r="E5" i="9" s="1"/>
  <c r="D7" i="2"/>
  <c r="D8" i="2" s="1"/>
  <c r="F12" i="2"/>
  <c r="F5" i="9" s="1"/>
  <c r="D12" i="2"/>
  <c r="D5" i="9" s="1"/>
  <c r="H55" i="2"/>
  <c r="K55" i="2"/>
  <c r="I25" i="1"/>
  <c r="I4" i="1"/>
  <c r="F154" i="2"/>
  <c r="F153" i="2"/>
  <c r="E33" i="1"/>
  <c r="J70" i="2"/>
  <c r="J17" i="1"/>
  <c r="D33" i="1"/>
  <c r="G101" i="2"/>
  <c r="G121" i="2"/>
  <c r="H2" i="2"/>
  <c r="G94" i="2"/>
  <c r="G53" i="2"/>
  <c r="G22" i="2"/>
  <c r="G64" i="2"/>
  <c r="F2" i="2"/>
  <c r="D25" i="1"/>
  <c r="J25" i="1"/>
  <c r="H31" i="1"/>
  <c r="H6" i="1" s="1"/>
  <c r="F25" i="1"/>
  <c r="F33" i="1"/>
  <c r="H25" i="1"/>
  <c r="G25" i="1"/>
  <c r="E2" i="1"/>
  <c r="E19" i="1" s="1"/>
  <c r="F27" i="1"/>
  <c r="L40" i="2" l="1"/>
  <c r="L9" i="9" s="1"/>
  <c r="L76" i="2"/>
  <c r="K4" i="4"/>
  <c r="K61" i="2"/>
  <c r="L19" i="2"/>
  <c r="L18" i="2" s="1"/>
  <c r="L17" i="2" s="1"/>
  <c r="H88" i="3"/>
  <c r="H43" i="7" s="1"/>
  <c r="H44" i="7" s="1"/>
  <c r="H54" i="7" s="1"/>
  <c r="K40" i="2"/>
  <c r="K9" i="9" s="1"/>
  <c r="K169" i="2"/>
  <c r="K9" i="7" s="1"/>
  <c r="K76" i="2"/>
  <c r="L73" i="2"/>
  <c r="L86" i="2"/>
  <c r="L80" i="2"/>
  <c r="L81" i="2" s="1"/>
  <c r="L4" i="4"/>
  <c r="H42" i="3"/>
  <c r="H44" i="3" s="1"/>
  <c r="D13" i="9"/>
  <c r="D19" i="9" s="1"/>
  <c r="D23" i="9" s="1"/>
  <c r="D27" i="9" s="1"/>
  <c r="D31" i="9" s="1"/>
  <c r="K73" i="2"/>
  <c r="K19" i="2"/>
  <c r="K18" i="2" s="1"/>
  <c r="K17" i="2" s="1"/>
  <c r="K80" i="2"/>
  <c r="K81" i="2" s="1"/>
  <c r="J8" i="3"/>
  <c r="J4" i="9"/>
  <c r="K8" i="3"/>
  <c r="K44" i="4" s="1"/>
  <c r="K36" i="9" s="1"/>
  <c r="K4" i="9"/>
  <c r="L8" i="3"/>
  <c r="L44" i="4" s="1"/>
  <c r="L36" i="9" s="1"/>
  <c r="L4" i="9"/>
  <c r="F13" i="9"/>
  <c r="F19" i="9" s="1"/>
  <c r="F23" i="9" s="1"/>
  <c r="E13" i="9"/>
  <c r="E19" i="9" s="1"/>
  <c r="E23" i="9" s="1"/>
  <c r="E27" i="9" s="1"/>
  <c r="E31" i="9" s="1"/>
  <c r="L16" i="9"/>
  <c r="L9" i="7"/>
  <c r="I59" i="3"/>
  <c r="G27" i="9"/>
  <c r="G31" i="9" s="1"/>
  <c r="F27" i="9"/>
  <c r="F31" i="9" s="1"/>
  <c r="G71" i="4"/>
  <c r="D41" i="4"/>
  <c r="D39" i="9"/>
  <c r="D71" i="4"/>
  <c r="I23" i="3"/>
  <c r="E71" i="4"/>
  <c r="E38" i="4"/>
  <c r="E39" i="9" s="1"/>
  <c r="F71" i="4"/>
  <c r="J24" i="3"/>
  <c r="K24" i="3" s="1"/>
  <c r="J107" i="3"/>
  <c r="J105" i="2" s="1"/>
  <c r="J6" i="7" s="1"/>
  <c r="L132" i="2"/>
  <c r="L8" i="7" s="1"/>
  <c r="L59" i="7"/>
  <c r="K132" i="2"/>
  <c r="K17" i="9" s="1"/>
  <c r="K59" i="7"/>
  <c r="J56" i="4"/>
  <c r="L2" i="9"/>
  <c r="K54" i="9"/>
  <c r="K33" i="9"/>
  <c r="I56" i="4"/>
  <c r="L56" i="4"/>
  <c r="H56" i="4"/>
  <c r="H59" i="4" s="1"/>
  <c r="J51" i="4"/>
  <c r="K56" i="4"/>
  <c r="H51" i="4"/>
  <c r="L36" i="4"/>
  <c r="L37" i="9" s="1"/>
  <c r="E54" i="9"/>
  <c r="E33" i="9"/>
  <c r="D2" i="9"/>
  <c r="E2" i="4"/>
  <c r="E68" i="4" s="1"/>
  <c r="F84" i="3"/>
  <c r="H59" i="3"/>
  <c r="E2" i="3"/>
  <c r="E113" i="3" s="1"/>
  <c r="I39" i="4"/>
  <c r="H107" i="2"/>
  <c r="I105" i="2"/>
  <c r="I6" i="7" s="1"/>
  <c r="H162" i="2"/>
  <c r="H176" i="2"/>
  <c r="F162" i="2"/>
  <c r="F176" i="2"/>
  <c r="I4" i="7"/>
  <c r="I87" i="3"/>
  <c r="J4" i="7"/>
  <c r="J87" i="3"/>
  <c r="L8" i="4"/>
  <c r="L87" i="3"/>
  <c r="I55" i="4"/>
  <c r="J36" i="4"/>
  <c r="J37" i="9" s="1"/>
  <c r="K86" i="3"/>
  <c r="K88" i="3" s="1"/>
  <c r="K43" i="7" s="1"/>
  <c r="K44" i="7" s="1"/>
  <c r="K54" i="7" s="1"/>
  <c r="H36" i="4"/>
  <c r="H37" i="9" s="1"/>
  <c r="I86" i="3"/>
  <c r="I36" i="4"/>
  <c r="I37" i="9" s="1"/>
  <c r="J86" i="3"/>
  <c r="K36" i="4"/>
  <c r="K37" i="9" s="1"/>
  <c r="L86" i="3"/>
  <c r="F98" i="3"/>
  <c r="F20" i="3"/>
  <c r="F30" i="3"/>
  <c r="F53" i="3"/>
  <c r="J132" i="2"/>
  <c r="J18" i="4" s="1"/>
  <c r="H132" i="2"/>
  <c r="I132" i="2"/>
  <c r="I8" i="4"/>
  <c r="I55" i="2"/>
  <c r="J55" i="2"/>
  <c r="J8" i="4"/>
  <c r="H91" i="2"/>
  <c r="J42" i="3"/>
  <c r="J44" i="3" s="1"/>
  <c r="L61" i="2"/>
  <c r="L4" i="7"/>
  <c r="L55" i="2"/>
  <c r="F34" i="4"/>
  <c r="L10" i="4"/>
  <c r="L7" i="7"/>
  <c r="K51" i="4"/>
  <c r="K42" i="3"/>
  <c r="K101" i="3"/>
  <c r="L17" i="4"/>
  <c r="L101" i="3"/>
  <c r="K10" i="4"/>
  <c r="K7" i="7"/>
  <c r="L51" i="4"/>
  <c r="L42" i="3"/>
  <c r="J77" i="3"/>
  <c r="J63" i="3"/>
  <c r="J65" i="3" s="1"/>
  <c r="I59" i="2"/>
  <c r="I5" i="7"/>
  <c r="H59" i="2"/>
  <c r="H5" i="7"/>
  <c r="G100" i="3"/>
  <c r="G102" i="3" s="1"/>
  <c r="G103" i="3" s="1"/>
  <c r="F103" i="3"/>
  <c r="K75" i="3"/>
  <c r="K77" i="3" s="1"/>
  <c r="E98" i="3"/>
  <c r="G16" i="2"/>
  <c r="G17" i="2" s="1"/>
  <c r="G18" i="2" s="1"/>
  <c r="G19" i="2" s="1"/>
  <c r="G20" i="2" s="1"/>
  <c r="G5" i="4"/>
  <c r="G14" i="4" s="1"/>
  <c r="G20" i="4" s="1"/>
  <c r="D16" i="2"/>
  <c r="D17" i="2" s="1"/>
  <c r="D5" i="4"/>
  <c r="D14" i="4" s="1"/>
  <c r="F16" i="2"/>
  <c r="F17" i="2" s="1"/>
  <c r="F18" i="2" s="1"/>
  <c r="F19" i="2" s="1"/>
  <c r="F20" i="2" s="1"/>
  <c r="F5" i="4"/>
  <c r="F14" i="4" s="1"/>
  <c r="E16" i="2"/>
  <c r="E17" i="2" s="1"/>
  <c r="E18" i="2" s="1"/>
  <c r="E19" i="2" s="1"/>
  <c r="E20" i="2" s="1"/>
  <c r="E5" i="4"/>
  <c r="E14" i="4" s="1"/>
  <c r="J61" i="2"/>
  <c r="J19" i="2"/>
  <c r="J18" i="2" s="1"/>
  <c r="J17" i="2" s="1"/>
  <c r="J169" i="2"/>
  <c r="J4" i="4"/>
  <c r="J86" i="2"/>
  <c r="K45" i="2"/>
  <c r="L45" i="2"/>
  <c r="J40" i="2"/>
  <c r="J9" i="9" s="1"/>
  <c r="J80" i="2"/>
  <c r="J81" i="2" s="1"/>
  <c r="J73" i="2"/>
  <c r="J76" i="2"/>
  <c r="I70" i="2"/>
  <c r="I17" i="1"/>
  <c r="F101" i="2"/>
  <c r="F121" i="2"/>
  <c r="H101" i="2"/>
  <c r="H121" i="2"/>
  <c r="E2" i="2"/>
  <c r="F64" i="2"/>
  <c r="F22" i="2"/>
  <c r="F94" i="2"/>
  <c r="F53" i="2"/>
  <c r="I2" i="2"/>
  <c r="H94" i="2"/>
  <c r="H53" i="2"/>
  <c r="H22" i="2"/>
  <c r="H64" i="2"/>
  <c r="G33" i="1"/>
  <c r="H29" i="1"/>
  <c r="H4" i="1" s="1"/>
  <c r="H17" i="1" s="1"/>
  <c r="D2" i="1"/>
  <c r="E27" i="1"/>
  <c r="K16" i="9" l="1"/>
  <c r="K17" i="4"/>
  <c r="L14" i="2"/>
  <c r="L10" i="9" s="1"/>
  <c r="K14" i="2"/>
  <c r="K10" i="9" s="1"/>
  <c r="I44" i="3"/>
  <c r="K10" i="3"/>
  <c r="K17" i="7" s="1"/>
  <c r="L10" i="3"/>
  <c r="L17" i="7" s="1"/>
  <c r="J44" i="4"/>
  <c r="J36" i="9" s="1"/>
  <c r="E53" i="3"/>
  <c r="E20" i="3"/>
  <c r="E84" i="3"/>
  <c r="E34" i="4"/>
  <c r="D2" i="3"/>
  <c r="D113" i="3" s="1"/>
  <c r="D2" i="4"/>
  <c r="L44" i="3"/>
  <c r="L67" i="7" s="1"/>
  <c r="L69" i="7" s="1"/>
  <c r="L70" i="9" s="1"/>
  <c r="H8" i="3"/>
  <c r="H44" i="4" s="1"/>
  <c r="H36" i="9" s="1"/>
  <c r="H4" i="9"/>
  <c r="I8" i="3"/>
  <c r="I4" i="9"/>
  <c r="K44" i="3"/>
  <c r="K67" i="7" s="1"/>
  <c r="K69" i="7" s="1"/>
  <c r="K8" i="7"/>
  <c r="K18" i="4"/>
  <c r="J9" i="7"/>
  <c r="J16" i="9"/>
  <c r="E30" i="3"/>
  <c r="H67" i="7"/>
  <c r="H69" i="7" s="1"/>
  <c r="H44" i="9"/>
  <c r="L44" i="9"/>
  <c r="I67" i="7"/>
  <c r="I69" i="7" s="1"/>
  <c r="I44" i="9"/>
  <c r="J67" i="7"/>
  <c r="J69" i="7" s="1"/>
  <c r="J44" i="9"/>
  <c r="K44" i="9"/>
  <c r="I59" i="4"/>
  <c r="J39" i="4"/>
  <c r="H37" i="4"/>
  <c r="H38" i="9" s="1"/>
  <c r="H9" i="4"/>
  <c r="H8" i="9"/>
  <c r="I37" i="4"/>
  <c r="I38" i="9" s="1"/>
  <c r="I9" i="4"/>
  <c r="I8" i="9"/>
  <c r="L24" i="3"/>
  <c r="L23" i="3" s="1"/>
  <c r="J23" i="3"/>
  <c r="E41" i="4"/>
  <c r="F38" i="4"/>
  <c r="F39" i="9" s="1"/>
  <c r="J55" i="4"/>
  <c r="K107" i="3"/>
  <c r="L54" i="9"/>
  <c r="L33" i="9"/>
  <c r="K68" i="9"/>
  <c r="D54" i="9"/>
  <c r="D33" i="9"/>
  <c r="H68" i="9"/>
  <c r="L11" i="4"/>
  <c r="I18" i="4"/>
  <c r="I17" i="9"/>
  <c r="J8" i="7"/>
  <c r="J17" i="9"/>
  <c r="H18" i="4"/>
  <c r="H17" i="9"/>
  <c r="L18" i="4"/>
  <c r="L17" i="9"/>
  <c r="J57" i="3"/>
  <c r="J88" i="3"/>
  <c r="J43" i="7" s="1"/>
  <c r="J44" i="7" s="1"/>
  <c r="J54" i="7" s="1"/>
  <c r="L88" i="3"/>
  <c r="L43" i="7" s="1"/>
  <c r="L44" i="7" s="1"/>
  <c r="L54" i="7" s="1"/>
  <c r="I88" i="3"/>
  <c r="I43" i="7" s="1"/>
  <c r="I44" i="7" s="1"/>
  <c r="I54" i="7" s="1"/>
  <c r="J107" i="2"/>
  <c r="J89" i="2" s="1"/>
  <c r="J7" i="2" s="1"/>
  <c r="J13" i="2" s="1"/>
  <c r="I107" i="2"/>
  <c r="E162" i="2"/>
  <c r="E176" i="2"/>
  <c r="I162" i="2"/>
  <c r="I176" i="2"/>
  <c r="K23" i="3"/>
  <c r="K55" i="4"/>
  <c r="H8" i="7"/>
  <c r="I8" i="7"/>
  <c r="J17" i="4"/>
  <c r="J101" i="3"/>
  <c r="J10" i="4"/>
  <c r="J7" i="7"/>
  <c r="J59" i="2"/>
  <c r="J5" i="7"/>
  <c r="D34" i="4"/>
  <c r="D68" i="4"/>
  <c r="G38" i="4"/>
  <c r="G39" i="9" s="1"/>
  <c r="H100" i="3"/>
  <c r="D98" i="3"/>
  <c r="D84" i="3"/>
  <c r="D53" i="3"/>
  <c r="L75" i="3"/>
  <c r="L77" i="3" s="1"/>
  <c r="K63" i="3"/>
  <c r="K65" i="3" s="1"/>
  <c r="G165" i="2"/>
  <c r="G164" i="2" s="1"/>
  <c r="G24" i="4"/>
  <c r="D20" i="3"/>
  <c r="D30" i="3"/>
  <c r="H61" i="2"/>
  <c r="H4" i="4"/>
  <c r="H86" i="2"/>
  <c r="H89" i="2" s="1"/>
  <c r="H19" i="2"/>
  <c r="H169" i="2"/>
  <c r="I61" i="2"/>
  <c r="I19" i="2"/>
  <c r="I18" i="2" s="1"/>
  <c r="I17" i="2" s="1"/>
  <c r="I16" i="2" s="1"/>
  <c r="I169" i="2"/>
  <c r="I4" i="4"/>
  <c r="I86" i="2"/>
  <c r="D18" i="2"/>
  <c r="D19" i="2" s="1"/>
  <c r="D20" i="2" s="1"/>
  <c r="F20" i="4"/>
  <c r="J45" i="2"/>
  <c r="J14" i="2" s="1"/>
  <c r="I76" i="2"/>
  <c r="I40" i="2"/>
  <c r="I9" i="9" s="1"/>
  <c r="I73" i="2"/>
  <c r="I80" i="2"/>
  <c r="I81" i="2" s="1"/>
  <c r="I101" i="2"/>
  <c r="I121" i="2"/>
  <c r="E101" i="2"/>
  <c r="E121" i="2"/>
  <c r="J2" i="2"/>
  <c r="I22" i="2"/>
  <c r="I64" i="2"/>
  <c r="I94" i="2"/>
  <c r="I53" i="2"/>
  <c r="D2" i="2"/>
  <c r="E22" i="2"/>
  <c r="E64" i="2"/>
  <c r="E53" i="2"/>
  <c r="E94" i="2"/>
  <c r="H33" i="1"/>
  <c r="D27" i="1"/>
  <c r="D19" i="1"/>
  <c r="H10" i="3" l="1"/>
  <c r="H17" i="7" s="1"/>
  <c r="K11" i="4"/>
  <c r="I10" i="3"/>
  <c r="I17" i="7" s="1"/>
  <c r="J10" i="3"/>
  <c r="J17" i="7" s="1"/>
  <c r="I44" i="4"/>
  <c r="I36" i="9" s="1"/>
  <c r="K70" i="9"/>
  <c r="I16" i="9"/>
  <c r="I9" i="7"/>
  <c r="H16" i="9"/>
  <c r="H101" i="3"/>
  <c r="H9" i="7"/>
  <c r="J70" i="9"/>
  <c r="I70" i="9"/>
  <c r="H70" i="9"/>
  <c r="K59" i="4"/>
  <c r="J59" i="4"/>
  <c r="L55" i="4"/>
  <c r="G41" i="4"/>
  <c r="J9" i="4"/>
  <c r="J8" i="9"/>
  <c r="F41" i="4"/>
  <c r="L107" i="3"/>
  <c r="K39" i="4"/>
  <c r="K105" i="2"/>
  <c r="J68" i="9"/>
  <c r="L68" i="9"/>
  <c r="J11" i="4"/>
  <c r="J10" i="9"/>
  <c r="I68" i="9"/>
  <c r="I89" i="2"/>
  <c r="I7" i="2" s="1"/>
  <c r="I13" i="2" s="1"/>
  <c r="K57" i="3"/>
  <c r="K59" i="3" s="1"/>
  <c r="D162" i="2"/>
  <c r="D176" i="2"/>
  <c r="J162" i="2"/>
  <c r="J176" i="2"/>
  <c r="G28" i="4"/>
  <c r="G32" i="4" s="1"/>
  <c r="G41" i="5"/>
  <c r="G42" i="5"/>
  <c r="J16" i="2"/>
  <c r="J14" i="7"/>
  <c r="G70" i="4"/>
  <c r="G72" i="4" s="1"/>
  <c r="G80" i="4" s="1"/>
  <c r="G88" i="4" s="1"/>
  <c r="I10" i="4"/>
  <c r="I7" i="7"/>
  <c r="I17" i="4"/>
  <c r="I101" i="3"/>
  <c r="H17" i="4"/>
  <c r="H102" i="3"/>
  <c r="K59" i="2"/>
  <c r="K5" i="7"/>
  <c r="L63" i="3"/>
  <c r="L65" i="3" s="1"/>
  <c r="J59" i="3"/>
  <c r="F165" i="2"/>
  <c r="F164" i="2" s="1"/>
  <c r="F24" i="4"/>
  <c r="H7" i="2"/>
  <c r="H13" i="2" s="1"/>
  <c r="E20" i="4"/>
  <c r="D20" i="4"/>
  <c r="I45" i="2"/>
  <c r="I14" i="2" s="1"/>
  <c r="H70" i="2"/>
  <c r="H18" i="2" s="1"/>
  <c r="H17" i="2" s="1"/>
  <c r="H16" i="2" s="1"/>
  <c r="D101" i="2"/>
  <c r="D121" i="2"/>
  <c r="J101" i="2"/>
  <c r="J121" i="2"/>
  <c r="D94" i="2"/>
  <c r="D53" i="2"/>
  <c r="D64" i="2"/>
  <c r="D22" i="2"/>
  <c r="K2" i="2"/>
  <c r="J64" i="2"/>
  <c r="J94" i="2"/>
  <c r="J53" i="2"/>
  <c r="J22" i="2"/>
  <c r="J12" i="4" l="1"/>
  <c r="J11" i="9"/>
  <c r="L59" i="4"/>
  <c r="J37" i="4"/>
  <c r="J38" i="9" s="1"/>
  <c r="L39" i="4"/>
  <c r="L105" i="2"/>
  <c r="K37" i="4"/>
  <c r="K38" i="9" s="1"/>
  <c r="K9" i="4"/>
  <c r="K12" i="4" s="1"/>
  <c r="K8" i="9"/>
  <c r="K11" i="9" s="1"/>
  <c r="K107" i="2"/>
  <c r="K89" i="2" s="1"/>
  <c r="K7" i="2" s="1"/>
  <c r="K13" i="2" s="1"/>
  <c r="K12" i="2" s="1"/>
  <c r="K6" i="7"/>
  <c r="K14" i="7"/>
  <c r="I11" i="4"/>
  <c r="I12" i="4" s="1"/>
  <c r="I10" i="9"/>
  <c r="I11" i="9" s="1"/>
  <c r="J57" i="9"/>
  <c r="L57" i="3"/>
  <c r="L59" i="3" s="1"/>
  <c r="K162" i="2"/>
  <c r="K176" i="2"/>
  <c r="F28" i="4"/>
  <c r="F32" i="4" s="1"/>
  <c r="F41" i="5"/>
  <c r="F42" i="5"/>
  <c r="K16" i="2"/>
  <c r="F70" i="4"/>
  <c r="F72" i="4" s="1"/>
  <c r="F80" i="4" s="1"/>
  <c r="F88" i="4" s="1"/>
  <c r="H103" i="3"/>
  <c r="I100" i="3"/>
  <c r="I102" i="3" s="1"/>
  <c r="I103" i="3" s="1"/>
  <c r="I14" i="7"/>
  <c r="L59" i="2"/>
  <c r="L5" i="7"/>
  <c r="E165" i="2"/>
  <c r="E164" i="2" s="1"/>
  <c r="E24" i="4"/>
  <c r="D165" i="2"/>
  <c r="D164" i="2" s="1"/>
  <c r="D24" i="4"/>
  <c r="J12" i="2"/>
  <c r="J6" i="2" s="1"/>
  <c r="J5" i="9" s="1"/>
  <c r="H73" i="2"/>
  <c r="H40" i="2"/>
  <c r="H80" i="2"/>
  <c r="H81" i="2" s="1"/>
  <c r="H76" i="2"/>
  <c r="K101" i="2"/>
  <c r="K121" i="2"/>
  <c r="L2" i="2"/>
  <c r="K22" i="2"/>
  <c r="K94" i="2"/>
  <c r="K53" i="2"/>
  <c r="K64" i="2"/>
  <c r="J13" i="9" l="1"/>
  <c r="H117" i="3"/>
  <c r="I117" i="3" s="1"/>
  <c r="J117" i="3" s="1"/>
  <c r="K117" i="3" s="1"/>
  <c r="L117" i="3" s="1"/>
  <c r="H9" i="9"/>
  <c r="H38" i="4"/>
  <c r="H39" i="9" s="1"/>
  <c r="I38" i="4"/>
  <c r="I39" i="9" s="1"/>
  <c r="K57" i="9"/>
  <c r="L37" i="4"/>
  <c r="L38" i="9" s="1"/>
  <c r="L9" i="4"/>
  <c r="L12" i="4" s="1"/>
  <c r="L8" i="9"/>
  <c r="L11" i="9" s="1"/>
  <c r="K6" i="2"/>
  <c r="K12" i="3" s="1"/>
  <c r="L6" i="7"/>
  <c r="L14" i="7" s="1"/>
  <c r="L107" i="2"/>
  <c r="L89" i="2" s="1"/>
  <c r="L7" i="2" s="1"/>
  <c r="L13" i="2" s="1"/>
  <c r="L12" i="2" s="1"/>
  <c r="I57" i="9"/>
  <c r="L162" i="2"/>
  <c r="L176" i="2"/>
  <c r="J100" i="3"/>
  <c r="J102" i="3" s="1"/>
  <c r="K100" i="3" s="1"/>
  <c r="K102" i="3" s="1"/>
  <c r="E28" i="4"/>
  <c r="E32" i="4" s="1"/>
  <c r="E41" i="5"/>
  <c r="E42" i="5"/>
  <c r="D28" i="4"/>
  <c r="D32" i="4" s="1"/>
  <c r="D41" i="5"/>
  <c r="D42" i="5"/>
  <c r="L16" i="2"/>
  <c r="E70" i="4"/>
  <c r="E72" i="4" s="1"/>
  <c r="E80" i="4" s="1"/>
  <c r="E88" i="4" s="1"/>
  <c r="D70" i="4"/>
  <c r="D72" i="4" s="1"/>
  <c r="D80" i="4" s="1"/>
  <c r="D88" i="4" s="1"/>
  <c r="D89" i="4" s="1"/>
  <c r="H10" i="4"/>
  <c r="H7" i="7"/>
  <c r="H14" i="7" s="1"/>
  <c r="J5" i="4"/>
  <c r="J14" i="4" s="1"/>
  <c r="J12" i="3"/>
  <c r="J4" i="3"/>
  <c r="J8" i="2"/>
  <c r="I12" i="2"/>
  <c r="I6" i="2" s="1"/>
  <c r="I5" i="9" s="1"/>
  <c r="I13" i="9" s="1"/>
  <c r="H45" i="2"/>
  <c r="H14" i="2" s="1"/>
  <c r="L101" i="2"/>
  <c r="L121" i="2"/>
  <c r="L94" i="2"/>
  <c r="L53" i="2"/>
  <c r="L22" i="2"/>
  <c r="L64" i="2"/>
  <c r="K4" i="3" l="1"/>
  <c r="K17" i="3" s="1"/>
  <c r="K5" i="9"/>
  <c r="K13" i="9" s="1"/>
  <c r="K8" i="2"/>
  <c r="K5" i="4"/>
  <c r="K14" i="4" s="1"/>
  <c r="L6" i="2"/>
  <c r="L5" i="4" s="1"/>
  <c r="L14" i="4" s="1"/>
  <c r="L57" i="9"/>
  <c r="H41" i="4"/>
  <c r="I41" i="4"/>
  <c r="H11" i="4"/>
  <c r="H12" i="4" s="1"/>
  <c r="H10" i="9"/>
  <c r="H11" i="9" s="1"/>
  <c r="H57" i="9"/>
  <c r="J103" i="3"/>
  <c r="D46" i="3"/>
  <c r="E86" i="4"/>
  <c r="K50" i="4"/>
  <c r="K45" i="9" s="1"/>
  <c r="K14" i="3"/>
  <c r="K18" i="7" s="1"/>
  <c r="K6" i="3"/>
  <c r="K16" i="7" s="1"/>
  <c r="J17" i="3"/>
  <c r="J50" i="4"/>
  <c r="J45" i="9" s="1"/>
  <c r="L100" i="3"/>
  <c r="L102" i="3" s="1"/>
  <c r="L103" i="3" s="1"/>
  <c r="K103" i="3"/>
  <c r="I5" i="4"/>
  <c r="I14" i="4" s="1"/>
  <c r="I12" i="3"/>
  <c r="I4" i="3"/>
  <c r="J6" i="3" s="1"/>
  <c r="J16" i="7" s="1"/>
  <c r="I8" i="2"/>
  <c r="L5" i="9" l="1"/>
  <c r="L13" i="9" s="1"/>
  <c r="L12" i="3"/>
  <c r="L14" i="3" s="1"/>
  <c r="L18" i="7" s="1"/>
  <c r="L8" i="2"/>
  <c r="L4" i="3"/>
  <c r="L17" i="3" s="1"/>
  <c r="L43" i="4" s="1"/>
  <c r="L40" i="9" s="1"/>
  <c r="K38" i="4"/>
  <c r="K39" i="9" s="1"/>
  <c r="L38" i="4"/>
  <c r="L39" i="9" s="1"/>
  <c r="J38" i="4"/>
  <c r="J39" i="9" s="1"/>
  <c r="J43" i="4"/>
  <c r="J40" i="9" s="1"/>
  <c r="K43" i="4"/>
  <c r="K40" i="9" s="1"/>
  <c r="E89" i="4"/>
  <c r="D48" i="3"/>
  <c r="J21" i="7"/>
  <c r="I50" i="4"/>
  <c r="I45" i="9" s="1"/>
  <c r="J14" i="3"/>
  <c r="K19" i="7"/>
  <c r="K21" i="7"/>
  <c r="I17" i="3"/>
  <c r="H12" i="2"/>
  <c r="L50" i="4" l="1"/>
  <c r="L45" i="9" s="1"/>
  <c r="L6" i="3"/>
  <c r="L16" i="7" s="1"/>
  <c r="L21" i="7" s="1"/>
  <c r="J18" i="7"/>
  <c r="J19" i="7" s="1"/>
  <c r="K60" i="9"/>
  <c r="L60" i="9"/>
  <c r="D45" i="4"/>
  <c r="L41" i="4"/>
  <c r="J41" i="4"/>
  <c r="K41" i="4"/>
  <c r="I43" i="4"/>
  <c r="I40" i="9" s="1"/>
  <c r="J60" i="9" s="1"/>
  <c r="F86" i="4"/>
  <c r="F89" i="4" s="1"/>
  <c r="G86" i="4" s="1"/>
  <c r="G89" i="4" s="1"/>
  <c r="E48" i="3"/>
  <c r="H6" i="2"/>
  <c r="L19" i="7" l="1"/>
  <c r="E45" i="4"/>
  <c r="E41" i="9" s="1"/>
  <c r="E42" i="9" s="1"/>
  <c r="E52" i="9" s="1"/>
  <c r="D46" i="4"/>
  <c r="D48" i="4" s="1"/>
  <c r="D66" i="4" s="1"/>
  <c r="D41" i="9"/>
  <c r="D42" i="9" s="1"/>
  <c r="D52" i="9" s="1"/>
  <c r="H8" i="2"/>
  <c r="H5" i="9"/>
  <c r="H13" i="9" s="1"/>
  <c r="F48" i="3"/>
  <c r="H5" i="4"/>
  <c r="H14" i="4" s="1"/>
  <c r="H4" i="3"/>
  <c r="H12" i="3"/>
  <c r="F45" i="4" l="1"/>
  <c r="F41" i="9" s="1"/>
  <c r="F42" i="9" s="1"/>
  <c r="F52" i="9" s="1"/>
  <c r="E46" i="4"/>
  <c r="E48" i="4" s="1"/>
  <c r="E66" i="4" s="1"/>
  <c r="G48" i="3"/>
  <c r="H14" i="3"/>
  <c r="H18" i="7" s="1"/>
  <c r="H50" i="4"/>
  <c r="H45" i="9" s="1"/>
  <c r="I14" i="3"/>
  <c r="I18" i="7" s="1"/>
  <c r="H17" i="3"/>
  <c r="H6" i="3"/>
  <c r="H16" i="7" s="1"/>
  <c r="I6" i="3"/>
  <c r="I16" i="7" s="1"/>
  <c r="G45" i="4" l="1"/>
  <c r="G41" i="9" s="1"/>
  <c r="F46" i="4"/>
  <c r="F48" i="4" s="1"/>
  <c r="F66" i="4" s="1"/>
  <c r="H43" i="4"/>
  <c r="H40" i="9" s="1"/>
  <c r="I21" i="7"/>
  <c r="I19" i="7"/>
  <c r="H21" i="7"/>
  <c r="H19" i="7"/>
  <c r="I60" i="9" l="1"/>
  <c r="H60" i="9"/>
  <c r="H72" i="9"/>
  <c r="G42" i="9"/>
  <c r="G52" i="9" s="1"/>
  <c r="G46" i="4"/>
  <c r="G48" i="4" s="1"/>
  <c r="G66" i="4" s="1"/>
  <c r="I19" i="5" l="1"/>
  <c r="I20" i="5" s="1"/>
  <c r="J19" i="5"/>
  <c r="J20" i="5" s="1"/>
  <c r="K19" i="5"/>
  <c r="K20" i="5" s="1"/>
  <c r="L19" i="5"/>
  <c r="L20" i="5" s="1"/>
  <c r="H27" i="7"/>
  <c r="H28" i="7" s="1"/>
  <c r="H16" i="4"/>
  <c r="H20" i="4" s="1"/>
  <c r="H165" i="2" s="1"/>
  <c r="H166" i="2" s="1"/>
  <c r="H22" i="4" s="1"/>
  <c r="H24" i="4" s="1"/>
  <c r="H15" i="9"/>
  <c r="H19" i="9" s="1"/>
  <c r="H41" i="5" l="1"/>
  <c r="H118" i="3"/>
  <c r="H42" i="5"/>
  <c r="H28" i="4"/>
  <c r="H31" i="7"/>
  <c r="H26" i="3"/>
  <c r="H52" i="4" s="1"/>
  <c r="H21" i="9"/>
  <c r="H23" i="9" s="1"/>
  <c r="H32" i="4" l="1"/>
  <c r="H12" i="10"/>
  <c r="H15" i="10" s="1"/>
  <c r="H46" i="3"/>
  <c r="H48" i="3" s="1"/>
  <c r="H53" i="4"/>
  <c r="H62" i="4" s="1"/>
  <c r="H46" i="9"/>
  <c r="H119" i="3"/>
  <c r="H121" i="3" s="1"/>
  <c r="H27" i="9"/>
  <c r="H31" i="9" s="1"/>
  <c r="H56" i="9"/>
  <c r="H58" i="9" s="1"/>
  <c r="H32" i="7"/>
  <c r="H33" i="7" s="1"/>
  <c r="H48" i="9" l="1"/>
  <c r="H63" i="9"/>
  <c r="H66" i="9" s="1"/>
  <c r="H64" i="4"/>
  <c r="H50" i="9"/>
  <c r="H74" i="9" l="1"/>
  <c r="H4" i="10"/>
  <c r="H5" i="10"/>
  <c r="I27" i="7"/>
  <c r="I28" i="7" s="1"/>
  <c r="J27" i="7"/>
  <c r="J28" i="7" s="1"/>
  <c r="K27" i="7"/>
  <c r="L27" i="7"/>
  <c r="L28" i="7" s="1"/>
  <c r="K28" i="7"/>
  <c r="I16" i="4"/>
  <c r="J16" i="4"/>
  <c r="K16" i="4"/>
  <c r="L16" i="4"/>
  <c r="I20" i="4"/>
  <c r="I165" i="2" s="1"/>
  <c r="I166" i="2" s="1"/>
  <c r="I21" i="9" s="1"/>
  <c r="J20" i="4"/>
  <c r="J165" i="2" s="1"/>
  <c r="J166" i="2" s="1"/>
  <c r="J21" i="9" s="1"/>
  <c r="K20" i="4"/>
  <c r="K165" i="2" s="1"/>
  <c r="K166" i="2" s="1"/>
  <c r="L20" i="4"/>
  <c r="L165" i="2" s="1"/>
  <c r="L166" i="2" s="1"/>
  <c r="I15" i="9"/>
  <c r="I19" i="9" s="1"/>
  <c r="J15" i="9"/>
  <c r="K15" i="9"/>
  <c r="L15" i="9"/>
  <c r="L19" i="9" s="1"/>
  <c r="J19" i="9"/>
  <c r="K19" i="9"/>
  <c r="H75" i="9" l="1"/>
  <c r="H7" i="10"/>
  <c r="I23" i="9"/>
  <c r="I27" i="9" s="1"/>
  <c r="I31" i="9" s="1"/>
  <c r="J23" i="9"/>
  <c r="J27" i="9" s="1"/>
  <c r="J31" i="9" s="1"/>
  <c r="L21" i="9"/>
  <c r="L23" i="9" s="1"/>
  <c r="L26" i="3"/>
  <c r="L52" i="4" s="1"/>
  <c r="L31" i="7"/>
  <c r="L22" i="4"/>
  <c r="L24" i="4" s="1"/>
  <c r="I26" i="3"/>
  <c r="I52" i="4" s="1"/>
  <c r="K21" i="9"/>
  <c r="K23" i="9" s="1"/>
  <c r="K26" i="3"/>
  <c r="K52" i="4" s="1"/>
  <c r="K31" i="7"/>
  <c r="K22" i="4"/>
  <c r="K24" i="4" s="1"/>
  <c r="I31" i="7"/>
  <c r="J26" i="3"/>
  <c r="J52" i="4" s="1"/>
  <c r="J31" i="7"/>
  <c r="J22" i="4"/>
  <c r="J24" i="4" s="1"/>
  <c r="I22" i="4"/>
  <c r="I24" i="4" s="1"/>
  <c r="I72" i="9" l="1"/>
  <c r="H41" i="9"/>
  <c r="J56" i="9"/>
  <c r="J58" i="9" s="1"/>
  <c r="I56" i="9"/>
  <c r="I58" i="9" s="1"/>
  <c r="L46" i="9"/>
  <c r="L53" i="4"/>
  <c r="L62" i="4" s="1"/>
  <c r="I46" i="9"/>
  <c r="I53" i="4"/>
  <c r="I62" i="4" s="1"/>
  <c r="L27" i="9"/>
  <c r="L56" i="9"/>
  <c r="L58" i="9" s="1"/>
  <c r="I41" i="5"/>
  <c r="I118" i="3"/>
  <c r="I42" i="5"/>
  <c r="I28" i="4"/>
  <c r="I32" i="7"/>
  <c r="I33" i="7" s="1"/>
  <c r="K32" i="7"/>
  <c r="K33" i="7" s="1"/>
  <c r="L41" i="5"/>
  <c r="L42" i="5"/>
  <c r="L28" i="4"/>
  <c r="J32" i="7"/>
  <c r="J33" i="7" s="1"/>
  <c r="K27" i="9"/>
  <c r="K31" i="9" s="1"/>
  <c r="K56" i="9"/>
  <c r="K58" i="9" s="1"/>
  <c r="J53" i="4"/>
  <c r="J62" i="4" s="1"/>
  <c r="J46" i="9"/>
  <c r="K41" i="5"/>
  <c r="K42" i="5"/>
  <c r="K28" i="4"/>
  <c r="J41" i="5"/>
  <c r="J42" i="5"/>
  <c r="J28" i="4"/>
  <c r="K46" i="9"/>
  <c r="K53" i="4"/>
  <c r="K62" i="4" s="1"/>
  <c r="L32" i="7"/>
  <c r="L33" i="7" s="1"/>
  <c r="L31" i="9" l="1"/>
  <c r="I9" i="5"/>
  <c r="K32" i="4"/>
  <c r="K12" i="10"/>
  <c r="K15" i="10" s="1"/>
  <c r="L32" i="4"/>
  <c r="L12" i="10"/>
  <c r="J32" i="4"/>
  <c r="J12" i="10"/>
  <c r="J15" i="10" s="1"/>
  <c r="I32" i="4"/>
  <c r="I12" i="10"/>
  <c r="I15" i="10" s="1"/>
  <c r="H42" i="9"/>
  <c r="H52" i="9" s="1"/>
  <c r="H45" i="4"/>
  <c r="H46" i="4" s="1"/>
  <c r="H48" i="4" s="1"/>
  <c r="I46" i="3"/>
  <c r="I48" i="3" s="1"/>
  <c r="I48" i="9"/>
  <c r="I63" i="9"/>
  <c r="I66" i="9" s="1"/>
  <c r="K48" i="9"/>
  <c r="K63" i="9"/>
  <c r="K66" i="9" s="1"/>
  <c r="J48" i="9"/>
  <c r="J63" i="9"/>
  <c r="J66" i="9" s="1"/>
  <c r="J118" i="3"/>
  <c r="I119" i="3"/>
  <c r="I121" i="3" s="1"/>
  <c r="L48" i="9"/>
  <c r="L63" i="9"/>
  <c r="L66" i="9" s="1"/>
  <c r="K74" i="9" l="1"/>
  <c r="K7" i="10" s="1"/>
  <c r="K5" i="10"/>
  <c r="K4" i="10"/>
  <c r="L33" i="10"/>
  <c r="L34" i="10" s="1"/>
  <c r="L15" i="10"/>
  <c r="L74" i="9"/>
  <c r="L7" i="10" s="1"/>
  <c r="L4" i="10"/>
  <c r="L5" i="10"/>
  <c r="J74" i="9"/>
  <c r="J7" i="10" s="1"/>
  <c r="J5" i="10"/>
  <c r="J4" i="10"/>
  <c r="I74" i="9"/>
  <c r="I4" i="10"/>
  <c r="I5" i="10"/>
  <c r="H66" i="4"/>
  <c r="H9" i="10"/>
  <c r="I50" i="9"/>
  <c r="I64" i="4"/>
  <c r="J119" i="3"/>
  <c r="J121" i="3" s="1"/>
  <c r="K118" i="3"/>
  <c r="J46" i="3"/>
  <c r="J48" i="3" s="1"/>
  <c r="H10" i="10" l="1"/>
  <c r="I75" i="9"/>
  <c r="I7" i="10"/>
  <c r="K46" i="3"/>
  <c r="K48" i="3" s="1"/>
  <c r="L46" i="3"/>
  <c r="L48" i="3" s="1"/>
  <c r="J64" i="4"/>
  <c r="J50" i="9"/>
  <c r="K119" i="3"/>
  <c r="K121" i="3" s="1"/>
  <c r="L118" i="3"/>
  <c r="L119" i="3" s="1"/>
  <c r="L121" i="3" s="1"/>
  <c r="J72" i="9" l="1"/>
  <c r="J75" i="9" s="1"/>
  <c r="I41" i="9"/>
  <c r="L50" i="9"/>
  <c r="L64" i="4"/>
  <c r="K50" i="9"/>
  <c r="K64" i="4"/>
  <c r="I45" i="4" l="1"/>
  <c r="I46" i="4" s="1"/>
  <c r="I48" i="4" s="1"/>
  <c r="I42" i="9"/>
  <c r="I52" i="9" s="1"/>
  <c r="J41" i="9"/>
  <c r="K72" i="9"/>
  <c r="K75" i="9" s="1"/>
  <c r="J45" i="4" l="1"/>
  <c r="J46" i="4" s="1"/>
  <c r="J48" i="4" s="1"/>
  <c r="J42" i="9"/>
  <c r="J52" i="9" s="1"/>
  <c r="I9" i="10"/>
  <c r="I66" i="4"/>
  <c r="L72" i="9"/>
  <c r="L75" i="9" s="1"/>
  <c r="L41" i="9" s="1"/>
  <c r="K41" i="9"/>
  <c r="I10" i="10" l="1"/>
  <c r="K42" i="9"/>
  <c r="K52" i="9" s="1"/>
  <c r="K45" i="4"/>
  <c r="K46" i="4" s="1"/>
  <c r="K48" i="4" s="1"/>
  <c r="L45" i="4"/>
  <c r="L46" i="4" s="1"/>
  <c r="L48" i="4" s="1"/>
  <c r="L42" i="9"/>
  <c r="L52" i="9" s="1"/>
  <c r="J66" i="4"/>
  <c r="J9" i="10"/>
  <c r="J10" i="10" s="1"/>
  <c r="K9" i="10" l="1"/>
  <c r="K10" i="10" s="1"/>
  <c r="K66" i="4"/>
  <c r="L66" i="4"/>
  <c r="L9" i="10"/>
  <c r="L10" i="10" s="1"/>
  <c r="I3" i="5" l="1"/>
  <c r="I2" i="5"/>
  <c r="J28" i="10" s="1"/>
  <c r="J29" i="10" s="1"/>
  <c r="J30" i="10" s="1"/>
  <c r="I28" i="10"/>
  <c r="I29" i="10" s="1"/>
  <c r="I30" i="10" s="1"/>
  <c r="L28" i="10"/>
  <c r="L29" i="10" s="1"/>
  <c r="L30" i="10" s="1"/>
  <c r="K28" i="10"/>
  <c r="K29" i="10" s="1"/>
  <c r="K30" i="10" s="1"/>
  <c r="H28" i="10"/>
  <c r="H29" i="10" s="1"/>
  <c r="H30" i="10" s="1"/>
  <c r="L36" i="10" l="1"/>
  <c r="L38" i="10" s="1"/>
  <c r="L41" i="10" s="1"/>
  <c r="I5" i="5" l="1"/>
  <c r="L3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E2" authorId="0" shapeId="0" xr:uid="{7962A21D-945E-494E-9BDC-29CB9D18EA5A}">
      <text>
        <r>
          <rPr>
            <b/>
            <sz val="9"/>
            <color indexed="81"/>
            <rFont val="Tahoma"/>
            <family val="2"/>
          </rPr>
          <t>Wei Xiang Leow:</t>
        </r>
        <r>
          <rPr>
            <sz val="9"/>
            <color indexed="81"/>
            <rFont val="Tahoma"/>
            <family val="2"/>
          </rPr>
          <t xml:space="preserve">
Based on Factsheet, however on inception. Assume no change in GFA since incpetion.
Source: stb
343,000 sq meters</t>
        </r>
      </text>
    </comment>
    <comment ref="H2" authorId="0" shapeId="0" xr:uid="{D0E12C99-23FD-4D8C-8A9B-516C7C84EDDB}">
      <text>
        <r>
          <rPr>
            <b/>
            <sz val="9"/>
            <color indexed="81"/>
            <rFont val="Tahoma"/>
            <family val="2"/>
          </rPr>
          <t>Wei Xiang Leow:</t>
        </r>
        <r>
          <rPr>
            <sz val="9"/>
            <color indexed="81"/>
            <rFont val="Tahoma"/>
            <family val="2"/>
          </rPr>
          <t xml:space="preserve">
Based on projected period.
No comparables used. Hence only 1 figure based on projection.
Under the assumption, no significant debt will be used.
Absent of RWS 2.0 and Japanese Venture nothing not confirm.</t>
        </r>
      </text>
    </comment>
    <comment ref="B4" authorId="0" shapeId="0" xr:uid="{90818421-C727-402A-B3DE-B32F7AF2BB2E}">
      <text>
        <r>
          <rPr>
            <b/>
            <sz val="9"/>
            <color indexed="81"/>
            <rFont val="Tahoma"/>
            <family val="2"/>
          </rPr>
          <t>Wei Xiang Leow:
No calendarization.
Only to see if recovery is possible</t>
        </r>
      </text>
    </comment>
    <comment ref="H5" authorId="0" shapeId="0" xr:uid="{748927CA-1EB3-4C38-A5BE-4D60880E97F7}">
      <text>
        <r>
          <rPr>
            <b/>
            <sz val="9"/>
            <color indexed="81"/>
            <rFont val="Tahoma"/>
            <family val="2"/>
          </rPr>
          <t>Wei Xiang Leow:</t>
        </r>
        <r>
          <rPr>
            <sz val="9"/>
            <color indexed="81"/>
            <rFont val="Tahoma"/>
            <family val="2"/>
          </rPr>
          <t xml:space="preserve">
Based on DCF.
This figure is more reliable, "forward looking", it considers CF and PV of valuation.
Based on this figure alone, we can conclude recovery is highly likely.
Given current share price is below this implied share value, buying it would be highly recommended.
However total return must also take into consideration for dividend issues.</t>
        </r>
      </text>
    </comment>
    <comment ref="H6" authorId="0" shapeId="0" xr:uid="{C2ECAE34-2462-43F8-AB76-DACD00664620}">
      <text>
        <r>
          <rPr>
            <b/>
            <sz val="9"/>
            <color indexed="81"/>
            <rFont val="Tahoma"/>
            <family val="2"/>
          </rPr>
          <t>Wei Xiang Leow:</t>
        </r>
        <r>
          <rPr>
            <sz val="9"/>
            <color indexed="81"/>
            <rFont val="Tahoma"/>
            <family val="2"/>
          </rPr>
          <t xml:space="preserve">
Based on 3 statement.
Obviously it means overvalued, since the market price is way above Equity Value estimate (EV/EBITDA).
However, no CF consideration and for future period. Hence it is much lower. Plus given the lack of debt going forward, EV is significantly lower.
Moreover, measures like this tend to be backward looking. Due to the numbers it's based on, but again this can be seen as a "Floor" price. Based on what we know anything below this price, we would have to consider selling.</t>
        </r>
      </text>
    </comment>
    <comment ref="H9" authorId="0" shapeId="0" xr:uid="{45DE79D1-72B5-439A-B3EF-F8FD39A68B3E}">
      <text>
        <r>
          <rPr>
            <b/>
            <sz val="9"/>
            <color indexed="81"/>
            <rFont val="Tahoma"/>
            <family val="2"/>
          </rPr>
          <t>Wei Xiang Leow:</t>
        </r>
        <r>
          <rPr>
            <sz val="9"/>
            <color indexed="81"/>
            <rFont val="Tahoma"/>
            <family val="2"/>
          </rPr>
          <t xml:space="preserve">
The different case will represent different growth for the 5Y projection period.
Worst case which has the highest growth would only mean in-between the 5Y periods, the recovery is very slow.</t>
        </r>
      </text>
    </comment>
    <comment ref="G20" authorId="0" shapeId="0" xr:uid="{93CB66EC-1FE8-4611-8502-3AC5CBB8A122}">
      <text>
        <r>
          <rPr>
            <b/>
            <sz val="9"/>
            <color indexed="81"/>
            <rFont val="Tahoma"/>
            <family val="2"/>
          </rPr>
          <t>Wei Xiang Leow:</t>
        </r>
        <r>
          <rPr>
            <sz val="9"/>
            <color indexed="81"/>
            <rFont val="Tahoma"/>
            <family val="2"/>
          </rPr>
          <t xml:space="preserve">
Based on COVID lock down period 4/4/2020 - 1/7/2020 (ard 86)
Travel restriction until phase 2. Started around Early April till EOY.
Both dates are mutally inclusive.</t>
        </r>
      </text>
    </comment>
    <comment ref="B29" authorId="0" shapeId="0" xr:uid="{9990EFFB-D0F5-404B-8BA2-1A52F89CA0D9}">
      <text>
        <r>
          <rPr>
            <b/>
            <sz val="9"/>
            <color indexed="81"/>
            <rFont val="Tahoma"/>
            <family val="2"/>
          </rPr>
          <t>Wei Xiang Leow:</t>
        </r>
        <r>
          <rPr>
            <sz val="9"/>
            <color indexed="81"/>
            <rFont val="Tahoma"/>
            <family val="2"/>
          </rPr>
          <t xml:space="preserve">
Based on Factsheet, however on inception. Assume no change in GFA since incpetion.
Source: stb
343,000 sq meters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4" authorId="0" shapeId="0" xr:uid="{CE661CD6-4E0A-4601-80F8-28E85F26B0B6}">
      <text>
        <r>
          <rPr>
            <b/>
            <sz val="9"/>
            <color indexed="81"/>
            <rFont val="Tahoma"/>
            <family val="2"/>
          </rPr>
          <t>Wei Xiang Leow:</t>
        </r>
        <r>
          <rPr>
            <sz val="9"/>
            <color indexed="81"/>
            <rFont val="Tahoma"/>
            <family val="2"/>
          </rPr>
          <t xml:space="preserve">
Although there was a retrenchment and up to 30% cash pay cut for key management &amp; executive directors. 
But the pay cut for mgmt estimated around 2M.
For directors it seems that instead of cash they were compensated (PIK) resulting in a bump in other emoluments. Suspect subjective to KPI. Estimate 8M
Overall impact too small to include in model.</t>
        </r>
      </text>
    </comment>
    <comment ref="B7" authorId="0" shapeId="0" xr:uid="{4CEF13D1-BA53-4E2E-BAEC-95FA5D7AA0C2}">
      <text>
        <r>
          <rPr>
            <b/>
            <sz val="9"/>
            <color indexed="81"/>
            <rFont val="Tahoma"/>
            <family val="2"/>
          </rPr>
          <t>Wei Xiang Leow:</t>
        </r>
        <r>
          <rPr>
            <sz val="9"/>
            <color indexed="81"/>
            <rFont val="Tahoma"/>
            <family val="2"/>
          </rPr>
          <t xml:space="preserve">
Marketing &amp; admin</t>
        </r>
      </text>
    </comment>
    <comment ref="B76" authorId="0" shapeId="0" xr:uid="{619F4750-229E-4E56-9F7E-5882097AF349}">
      <text>
        <r>
          <rPr>
            <b/>
            <sz val="9"/>
            <color indexed="81"/>
            <rFont val="Tahoma"/>
            <family val="2"/>
          </rPr>
          <t>Wei Xiang Leow:</t>
        </r>
        <r>
          <rPr>
            <sz val="9"/>
            <color indexed="81"/>
            <rFont val="Tahoma"/>
            <family val="2"/>
          </rPr>
          <t xml:space="preserve">
Maintain presence only. Very mature company, moreover duoploy in SG</t>
        </r>
      </text>
    </comment>
    <comment ref="B107" authorId="0" shapeId="0" xr:uid="{3223BC69-6871-41B0-B94F-36FC804D2E61}">
      <text>
        <r>
          <rPr>
            <b/>
            <sz val="9"/>
            <color indexed="81"/>
            <rFont val="Tahoma"/>
            <family val="2"/>
          </rPr>
          <t>Wei Xiang Leow:</t>
        </r>
        <r>
          <rPr>
            <sz val="9"/>
            <color indexed="81"/>
            <rFont val="Tahoma"/>
            <family val="2"/>
          </rPr>
          <t xml:space="preserve">
No sales of financial assets.
Only PPE disposal.
Financial Assets are unquoted securities. T-bills most likely.</t>
        </r>
      </text>
    </comment>
    <comment ref="B115" authorId="0" shapeId="0" xr:uid="{99740D4F-EF87-4B46-8F5D-D4FB590F6ECF}">
      <text>
        <r>
          <rPr>
            <b/>
            <sz val="9"/>
            <color indexed="81"/>
            <rFont val="Tahoma"/>
            <family val="2"/>
          </rPr>
          <t xml:space="preserve">Wei Xiang Leow:
Asumption:
</t>
        </r>
        <r>
          <rPr>
            <sz val="9"/>
            <color indexed="81"/>
            <rFont val="Tahoma"/>
            <family val="2"/>
          </rPr>
          <t xml:space="preserve">
All "Assets" impairment or write-off recorded are only PPE 
Loss might be due to financial assets. But no loss recorded for FY20 onwards</t>
        </r>
      </text>
    </comment>
    <comment ref="D121" authorId="0" shapeId="0" xr:uid="{C9362755-1416-42C1-BA05-66C5E7F4CA62}">
      <text>
        <r>
          <rPr>
            <b/>
            <sz val="9"/>
            <color indexed="81"/>
            <rFont val="Tahoma"/>
            <family val="2"/>
          </rPr>
          <t>Wei Xiang Leow:</t>
        </r>
        <r>
          <rPr>
            <sz val="9"/>
            <color indexed="81"/>
            <rFont val="Tahoma"/>
            <family val="2"/>
          </rPr>
          <t xml:space="preserve">
ROU carry value not available for FY 2017, change in accounting reporting</t>
        </r>
      </text>
    </comment>
    <comment ref="B160" authorId="0" shapeId="0" xr:uid="{498B4E6C-2041-4E49-B9A8-E22898BEA880}">
      <text>
        <r>
          <rPr>
            <b/>
            <sz val="9"/>
            <color indexed="81"/>
            <rFont val="Tahoma"/>
            <family val="2"/>
          </rPr>
          <t>Wei Xiang Leow:</t>
        </r>
        <r>
          <rPr>
            <sz val="9"/>
            <color indexed="81"/>
            <rFont val="Tahoma"/>
            <family val="2"/>
          </rPr>
          <t xml:space="preserve">
assume disposal of only what you own</t>
        </r>
      </text>
    </comment>
    <comment ref="B172" authorId="0" shapeId="0" xr:uid="{7798356B-7A5D-4ED5-9391-30DFF03409E3}">
      <text>
        <r>
          <rPr>
            <b/>
            <sz val="9"/>
            <color indexed="81"/>
            <rFont val="Tahoma"/>
            <family val="2"/>
          </rPr>
          <t>Wei Xiang Leow:</t>
        </r>
        <r>
          <rPr>
            <sz val="9"/>
            <color indexed="81"/>
            <rFont val="Tahoma"/>
            <family val="2"/>
          </rPr>
          <t xml:space="preserve">
By right, we need a debt schedule.
But because net debt for this company is non-existent.
So We assume about 1% given this low interest rate enviroment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27" authorId="0" shapeId="0" xr:uid="{E3250183-0F27-4BB7-B447-CB94594BF49B}">
      <text>
        <r>
          <rPr>
            <b/>
            <sz val="9"/>
            <color indexed="81"/>
            <rFont val="Tahoma"/>
            <family val="2"/>
          </rPr>
          <t>Wei Xiang Leow:</t>
        </r>
        <r>
          <rPr>
            <sz val="9"/>
            <color indexed="81"/>
            <rFont val="Tahoma"/>
            <family val="2"/>
          </rPr>
          <t xml:space="preserve">
Includes gaming tax, property tax. (Part of COGS)
Usually only DTL (LT) available so I suspect industry related tax contributed to this item.
Take note gov grants are also included in gaming tax figures.</t>
        </r>
      </text>
    </comment>
    <comment ref="B34" authorId="0" shapeId="0" xr:uid="{D1B2A46B-C436-451B-8FA3-76F5E5226C75}">
      <text>
        <r>
          <rPr>
            <b/>
            <sz val="9"/>
            <color indexed="81"/>
            <rFont val="Tahoma"/>
            <family val="2"/>
          </rPr>
          <t>Wei Xiang Leow:</t>
        </r>
        <r>
          <rPr>
            <sz val="9"/>
            <color indexed="81"/>
            <rFont val="Tahoma"/>
            <family val="2"/>
          </rPr>
          <t xml:space="preserve">
JPY Bond Repayment due FY21
No. Taken from mgmt forecast</t>
        </r>
      </text>
    </comment>
    <comment ref="B50" authorId="0" shapeId="0" xr:uid="{A581A089-AD85-41AA-862E-5214FA5664A8}">
      <text>
        <r>
          <rPr>
            <b/>
            <sz val="9"/>
            <color indexed="81"/>
            <rFont val="Tahoma"/>
            <family val="2"/>
          </rPr>
          <t>Wei Xiang Leow:</t>
        </r>
        <r>
          <rPr>
            <sz val="9"/>
            <color indexed="81"/>
            <rFont val="Tahoma"/>
            <family val="2"/>
          </rPr>
          <t xml:space="preserve">
Only FY19 &amp; FY20 UGFA available</t>
        </r>
      </text>
    </comment>
    <comment ref="B53" authorId="0" shapeId="0" xr:uid="{AC60ECBD-1252-4C08-93EF-ECB298615964}">
      <text>
        <r>
          <rPr>
            <b/>
            <sz val="9"/>
            <color indexed="81"/>
            <rFont val="Tahoma"/>
            <family val="2"/>
          </rPr>
          <t>Wei Xiang Leow:</t>
        </r>
        <r>
          <rPr>
            <sz val="9"/>
            <color indexed="81"/>
            <rFont val="Tahoma"/>
            <family val="2"/>
          </rPr>
          <t xml:space="preserve">
Can skip and express % growth every 3 years</t>
        </r>
      </text>
    </comment>
    <comment ref="B57" authorId="0" shapeId="0" xr:uid="{616B68D4-2091-4F48-B424-BFDEA94ADCEE}">
      <text>
        <r>
          <rPr>
            <b/>
            <sz val="9"/>
            <color indexed="81"/>
            <rFont val="Tahoma"/>
            <family val="2"/>
          </rPr>
          <t>Wei Xiang Leow:</t>
        </r>
        <r>
          <rPr>
            <sz val="9"/>
            <color indexed="81"/>
            <rFont val="Tahoma"/>
            <family val="2"/>
          </rPr>
          <t xml:space="preserve">
Base value of license.
FY19 87.162M</t>
        </r>
      </text>
    </comment>
    <comment ref="B68" authorId="0" shapeId="0" xr:uid="{10AA3B16-C02C-4C64-BA8A-9B5691CCFCE3}">
      <text>
        <r>
          <rPr>
            <b/>
            <sz val="9"/>
            <color indexed="81"/>
            <rFont val="Tahoma"/>
            <family val="2"/>
          </rPr>
          <t>Wei Xiang Leow:</t>
        </r>
        <r>
          <rPr>
            <sz val="9"/>
            <color indexed="81"/>
            <rFont val="Tahoma"/>
            <family val="2"/>
          </rPr>
          <t xml:space="preserve">
Licenses will renew every 3 years. This may not impact the revenue.
But without license, the gaming revenue cannot work.</t>
        </r>
      </text>
    </comment>
    <comment ref="B105" authorId="0" shapeId="0" xr:uid="{5D4EEEA2-5047-44A1-819C-5312B8902A47}">
      <text>
        <r>
          <rPr>
            <b/>
            <sz val="9"/>
            <color indexed="81"/>
            <rFont val="Tahoma"/>
            <family val="2"/>
          </rPr>
          <t>Wei Xiang Leow:</t>
        </r>
        <r>
          <rPr>
            <sz val="9"/>
            <color indexed="81"/>
            <rFont val="Tahoma"/>
            <family val="2"/>
          </rPr>
          <t xml:space="preserve">
Not enough information FY17</t>
        </r>
      </text>
    </comment>
    <comment ref="B109" authorId="0" shapeId="0" xr:uid="{D02CB02F-0BD9-4F1F-8EA5-7ABB009A7C78}">
      <text>
        <r>
          <rPr>
            <b/>
            <sz val="9"/>
            <color indexed="81"/>
            <rFont val="Tahoma"/>
            <family val="2"/>
          </rPr>
          <t>Wei Xiang Leow:</t>
        </r>
        <r>
          <rPr>
            <sz val="9"/>
            <color indexed="81"/>
            <rFont val="Tahoma"/>
            <family val="2"/>
          </rPr>
          <t xml:space="preserve">
This is more like debt to subsidaries except no actual repayment date and interest free..
My assumption is based on how well the market is doing which is reflected in total revenue.
The lower growth, the higher the borrowings.</t>
        </r>
      </text>
    </comment>
    <comment ref="B111" authorId="0" shapeId="0" xr:uid="{C1D32935-D68C-40E0-B0D5-AEB4BD544E83}">
      <text>
        <r>
          <rPr>
            <b/>
            <sz val="9"/>
            <color indexed="81"/>
            <rFont val="Tahoma"/>
            <family val="2"/>
          </rPr>
          <t>Wei Xiang Leow:</t>
        </r>
        <r>
          <rPr>
            <sz val="9"/>
            <color indexed="81"/>
            <rFont val="Tahoma"/>
            <family val="2"/>
          </rPr>
          <t xml:space="preserve">
Deposit from customers &amp; other contract liabilities. This is not asset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12" authorId="0" shapeId="0" xr:uid="{7B88F3A8-75F0-450C-977D-474BAFD5F5BA}">
      <text>
        <r>
          <rPr>
            <b/>
            <sz val="9"/>
            <color indexed="81"/>
            <rFont val="Tahoma"/>
            <family val="2"/>
          </rPr>
          <t>Wei Xiang Leow:</t>
        </r>
        <r>
          <rPr>
            <sz val="9"/>
            <color indexed="81"/>
            <rFont val="Tahoma"/>
            <family val="2"/>
          </rPr>
          <t xml:space="preserve">
Even in the event where there is no FX provision assumption.
This portion represents items that contain such FX changes.
1. Any Gains/ Loss found within Revenue statement.
2. Confirm nothing from BS</t>
        </r>
      </text>
    </comment>
    <comment ref="B14" authorId="0" shapeId="0" xr:uid="{11FA2860-3A72-41E0-A3D4-3912A13DC7B6}">
      <text>
        <r>
          <rPr>
            <b/>
            <sz val="9"/>
            <color indexed="81"/>
            <rFont val="Tahoma"/>
            <family val="2"/>
          </rPr>
          <t>Wei Xiang Leow:</t>
        </r>
        <r>
          <rPr>
            <sz val="9"/>
            <color indexed="81"/>
            <rFont val="Tahoma"/>
            <family val="2"/>
          </rPr>
          <t xml:space="preserve">
included in FY17 loss in disposal of subsidary</t>
        </r>
      </text>
    </comment>
    <comment ref="B19" authorId="0" shapeId="0" xr:uid="{F22095E5-31A7-4B56-A287-B45C824A7DA8}">
      <text>
        <r>
          <rPr>
            <b/>
            <sz val="9"/>
            <color indexed="81"/>
            <rFont val="Tahoma"/>
            <family val="2"/>
          </rPr>
          <t>Wei Xiang Leow:</t>
        </r>
        <r>
          <rPr>
            <sz val="9"/>
            <color indexed="81"/>
            <rFont val="Tahoma"/>
            <family val="2"/>
          </rPr>
          <t xml:space="preserve">
This is what I calculate given by BS, tried to use it in CF.</t>
        </r>
      </text>
    </comment>
    <comment ref="B24" authorId="0" shapeId="0" xr:uid="{658C72F2-520B-49A8-A1A5-FD535436F661}">
      <text>
        <r>
          <rPr>
            <b/>
            <sz val="9"/>
            <color indexed="81"/>
            <rFont val="Tahoma"/>
            <family val="2"/>
          </rPr>
          <t>Wei Xiang Leow:</t>
        </r>
        <r>
          <rPr>
            <sz val="9"/>
            <color indexed="81"/>
            <rFont val="Tahoma"/>
            <family val="2"/>
          </rPr>
          <t xml:space="preserve">
This amt is given by CF statement. Apart from inventory, the rest cannot be reconcilated.</t>
        </r>
      </text>
    </comment>
    <comment ref="B42" authorId="0" shapeId="0" xr:uid="{913BA648-3AAD-46E4-8833-317EE6324632}">
      <text>
        <r>
          <rPr>
            <b/>
            <sz val="9"/>
            <color indexed="81"/>
            <rFont val="Tahoma"/>
            <family val="2"/>
          </rPr>
          <t>Wei Xiang Leow:</t>
        </r>
        <r>
          <rPr>
            <sz val="9"/>
            <color indexed="81"/>
            <rFont val="Tahoma"/>
            <family val="2"/>
          </rPr>
          <t xml:space="preserve">
In the given statement, there is unrealized FX profit. This amount includes disposal and other items. Hence for projection can choose not to include since the assumption Is no FX diff</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26" authorId="0" shapeId="0" xr:uid="{5A2CD4EA-209C-44DA-80E3-53665228DFBF}">
      <text>
        <r>
          <rPr>
            <b/>
            <sz val="9"/>
            <color indexed="81"/>
            <rFont val="Tahoma"/>
            <family val="2"/>
          </rPr>
          <t>Wei Xiang Leow:</t>
        </r>
        <r>
          <rPr>
            <sz val="9"/>
            <color indexed="81"/>
            <rFont val="Tahoma"/>
            <family val="2"/>
          </rPr>
          <t xml:space="preserve">
FY17 changes made to reporting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25" authorId="0" shapeId="0" xr:uid="{43433877-0FF1-4863-8284-D2D3F07449B1}">
      <text>
        <r>
          <rPr>
            <b/>
            <sz val="9"/>
            <color indexed="81"/>
            <rFont val="Tahoma"/>
            <family val="2"/>
          </rPr>
          <t>Wei Xiang Leow:</t>
        </r>
        <r>
          <rPr>
            <sz val="9"/>
            <color indexed="81"/>
            <rFont val="Tahoma"/>
            <family val="2"/>
          </rPr>
          <t xml:space="preserve">
FY17 changes made to reporting</t>
        </r>
      </text>
    </comment>
    <comment ref="B28" authorId="0" shapeId="0" xr:uid="{150B6582-F5AF-4509-8470-F22A562B95FB}">
      <text>
        <r>
          <rPr>
            <b/>
            <sz val="9"/>
            <color indexed="81"/>
            <rFont val="Tahoma"/>
            <family val="2"/>
          </rPr>
          <t>Wei Xiang Leow:</t>
        </r>
        <r>
          <rPr>
            <sz val="9"/>
            <color indexed="81"/>
            <rFont val="Tahoma"/>
            <family val="2"/>
          </rPr>
          <t xml:space="preserve">
Too little information, only provision is known and perhapes the grants. Hence ignored.</t>
        </r>
      </text>
    </comment>
    <comment ref="B41" authorId="0" shapeId="0" xr:uid="{10116545-268D-4014-97A6-16DFA6E0FF93}">
      <text>
        <r>
          <rPr>
            <b/>
            <sz val="9"/>
            <color indexed="81"/>
            <rFont val="Tahoma"/>
            <family val="2"/>
          </rPr>
          <t>Wei Xiang Leow:</t>
        </r>
        <r>
          <rPr>
            <sz val="9"/>
            <color indexed="81"/>
            <rFont val="Tahoma"/>
            <family val="2"/>
          </rPr>
          <t xml:space="preserve">
Always use ending cash from projected CF statement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Wei Xiang Leow</author>
  </authors>
  <commentList>
    <comment ref="B13" authorId="0" shapeId="0" xr:uid="{0B1E1881-1225-4E6E-8115-C8BDA91F9BD7}">
      <text>
        <r>
          <rPr>
            <b/>
            <sz val="9"/>
            <color indexed="81"/>
            <rFont val="Tahoma"/>
            <family val="2"/>
          </rPr>
          <t>Wei Xiang Leow:</t>
        </r>
        <r>
          <rPr>
            <sz val="9"/>
            <color indexed="81"/>
            <rFont val="Tahoma"/>
            <family val="2"/>
          </rPr>
          <t xml:space="preserve">
EV Forecast must use multiple method.
Requires CF work-back</t>
        </r>
      </text>
    </comment>
    <comment ref="B18" authorId="0" shapeId="0" xr:uid="{A53D93D3-6C11-4700-98C2-4C0B76E4C392}">
      <text>
        <r>
          <rPr>
            <b/>
            <sz val="9"/>
            <color indexed="81"/>
            <rFont val="Tahoma"/>
            <family val="2"/>
          </rPr>
          <t>Wei Xiang Leow:</t>
        </r>
        <r>
          <rPr>
            <sz val="9"/>
            <color indexed="81"/>
            <rFont val="Tahoma"/>
            <family val="2"/>
          </rPr>
          <t xml:space="preserve">
Set a EBITDA/interest and guess bond rating and use it as benchmark.</t>
        </r>
      </text>
    </comment>
    <comment ref="B22" authorId="0" shapeId="0" xr:uid="{35DF9A61-09C8-43C3-A170-025E96A1B8F9}">
      <text>
        <r>
          <rPr>
            <b/>
            <sz val="9"/>
            <color indexed="81"/>
            <rFont val="Tahoma"/>
            <family val="2"/>
          </rPr>
          <t>Wei Xiang Leow:</t>
        </r>
        <r>
          <rPr>
            <sz val="9"/>
            <color indexed="81"/>
            <rFont val="Tahoma"/>
            <family val="2"/>
          </rPr>
          <t xml:space="preserve">
by right should use CAPM formula:
Risk-free SG bond annual: 1.33%
STI return YTD 2021: 9.1%
Yahoo Beta estimate last 5 mth: 1.18
1.33% + 1.18(9.1% - 1.33%) = 7.8386%</t>
        </r>
      </text>
    </comment>
    <comment ref="B23" authorId="0" shapeId="0" xr:uid="{3D4C945D-19D3-4647-BB1A-285AB7003B57}">
      <text>
        <r>
          <rPr>
            <b/>
            <sz val="9"/>
            <color indexed="81"/>
            <rFont val="Tahoma"/>
            <family val="2"/>
          </rPr>
          <t>Wei Xiang Leow:</t>
        </r>
        <r>
          <rPr>
            <sz val="9"/>
            <color indexed="81"/>
            <rFont val="Tahoma"/>
            <family val="2"/>
          </rPr>
          <t xml:space="preserve">
By right, should look for all the public comparables to get this. But I skipped.</t>
        </r>
      </text>
    </comment>
    <comment ref="B32" authorId="0" shapeId="0" xr:uid="{DB9BA4D1-D8D0-453C-9E90-4E111E3C94E7}">
      <text>
        <r>
          <rPr>
            <b/>
            <sz val="9"/>
            <color indexed="81"/>
            <rFont val="Tahoma"/>
            <family val="2"/>
          </rPr>
          <t>Wei Xiang Leow:</t>
        </r>
        <r>
          <rPr>
            <sz val="9"/>
            <color indexed="81"/>
            <rFont val="Tahoma"/>
            <family val="2"/>
          </rPr>
          <t xml:space="preserve">
Choose lower baseline as estimate.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CE2AEF1-21ED-4BBC-B1D7-C7F5393E555D}"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<sst xmlns="http://schemas.openxmlformats.org/spreadsheetml/2006/main" count="654" uniqueCount="370">
  <si>
    <t>Company</t>
  </si>
  <si>
    <t>Date</t>
  </si>
  <si>
    <t>Last FY</t>
  </si>
  <si>
    <t>Units</t>
  </si>
  <si>
    <t>Types</t>
  </si>
  <si>
    <t>Exercise Price</t>
  </si>
  <si>
    <t>Dilution</t>
  </si>
  <si>
    <t>Total Share Outstanding</t>
  </si>
  <si>
    <t>Options</t>
  </si>
  <si>
    <t>Warrants</t>
  </si>
  <si>
    <t>Conversion Debt</t>
  </si>
  <si>
    <t>$</t>
  </si>
  <si>
    <t>Total</t>
  </si>
  <si>
    <t>Conversion $</t>
  </si>
  <si>
    <t>Non-Operational</t>
  </si>
  <si>
    <t>Operational</t>
  </si>
  <si>
    <t>Days</t>
  </si>
  <si>
    <t>Operational %</t>
  </si>
  <si>
    <t>Revenue Assumption</t>
  </si>
  <si>
    <t>Expense Assumption</t>
  </si>
  <si>
    <t>BS Assumption</t>
  </si>
  <si>
    <t>Gaming</t>
  </si>
  <si>
    <t>Hotel</t>
  </si>
  <si>
    <t>Attraction</t>
  </si>
  <si>
    <t>Others</t>
  </si>
  <si>
    <t>Rental Income</t>
  </si>
  <si>
    <t>Support Services</t>
  </si>
  <si>
    <t>Total Non-Gaming</t>
  </si>
  <si>
    <t>Total Other Revenue</t>
  </si>
  <si>
    <t>Total Revenue</t>
  </si>
  <si>
    <t>$M</t>
  </si>
  <si>
    <t>Conversion</t>
  </si>
  <si>
    <t>Other Non-Gaming</t>
  </si>
  <si>
    <t>Revenue per Utilised GFA</t>
  </si>
  <si>
    <t>Utilised GFA</t>
  </si>
  <si>
    <t>$M/UGFA</t>
  </si>
  <si>
    <t>UGFA</t>
  </si>
  <si>
    <t>Base</t>
  </si>
  <si>
    <t>Optimal</t>
  </si>
  <si>
    <t>Worst</t>
  </si>
  <si>
    <t>Case</t>
  </si>
  <si>
    <t>Attraction &amp; Others</t>
  </si>
  <si>
    <t>COGS</t>
  </si>
  <si>
    <t>SBC</t>
  </si>
  <si>
    <t>Unfunded Pension</t>
  </si>
  <si>
    <t>Employee</t>
  </si>
  <si>
    <t>Thousands</t>
  </si>
  <si>
    <t>Cash</t>
  </si>
  <si>
    <t>Total Employee Cost</t>
  </si>
  <si>
    <t>Retirement Provision</t>
  </si>
  <si>
    <t>Employee Cost</t>
  </si>
  <si>
    <t>Cash allowance</t>
  </si>
  <si>
    <t>Non-Executive Cost</t>
  </si>
  <si>
    <t>Executive Fee Cost</t>
  </si>
  <si>
    <t>Total SBC</t>
  </si>
  <si>
    <t>Total Cash</t>
  </si>
  <si>
    <t>Total Cash Allowance</t>
  </si>
  <si>
    <t>Total Unfunded Pension</t>
  </si>
  <si>
    <t xml:space="preserve">Cash cost </t>
  </si>
  <si>
    <t>Cash Cost per employee</t>
  </si>
  <si>
    <t>SBC % Revenue</t>
  </si>
  <si>
    <t>Employee Assumption</t>
  </si>
  <si>
    <t>DA Assumption</t>
  </si>
  <si>
    <t>OpEx</t>
  </si>
  <si>
    <t>Amortization</t>
  </si>
  <si>
    <t>Deprec % Total Revenue</t>
  </si>
  <si>
    <t>OpEx Assumption</t>
  </si>
  <si>
    <t>Audit Fees</t>
  </si>
  <si>
    <t>Non-Audit Fees (Advisory)</t>
  </si>
  <si>
    <t>Duties and Taxes</t>
  </si>
  <si>
    <t>% Gaming Revenue</t>
  </si>
  <si>
    <t>Provision Assumption</t>
  </si>
  <si>
    <t>Mgmt Fees (Advisory)</t>
  </si>
  <si>
    <t>Sales &amp; Promotion</t>
  </si>
  <si>
    <t>Utilities</t>
  </si>
  <si>
    <t>Variable</t>
  </si>
  <si>
    <t>Variable % Total Revenue</t>
  </si>
  <si>
    <t>% Total Revenue</t>
  </si>
  <si>
    <t>Fixed (Minimal)</t>
  </si>
  <si>
    <t>Trade Receivable</t>
  </si>
  <si>
    <t>(+)/- Inventory Write-Down</t>
  </si>
  <si>
    <t>(+)/ - Trade Receivable Impairment</t>
  </si>
  <si>
    <t>Disposal</t>
  </si>
  <si>
    <t>Financial Asset</t>
  </si>
  <si>
    <t>Total Other Income</t>
  </si>
  <si>
    <t>Financial Asset Disposal Gain</t>
  </si>
  <si>
    <t>PPE Disposal Gain</t>
  </si>
  <si>
    <t>PPE Write-off</t>
  </si>
  <si>
    <t>PPE Impairment</t>
  </si>
  <si>
    <t>FX Loss</t>
  </si>
  <si>
    <t xml:space="preserve">Loss on Asset disposal </t>
  </si>
  <si>
    <t xml:space="preserve"> Asset Impairment</t>
  </si>
  <si>
    <t xml:space="preserve"> Asset Disposal Gain</t>
  </si>
  <si>
    <t>Total Other Expense</t>
  </si>
  <si>
    <t>Lease &amp; Interest Assumption</t>
  </si>
  <si>
    <t>Bank Borrowing</t>
  </si>
  <si>
    <t>Bond</t>
  </si>
  <si>
    <t>Lease Liabilities</t>
  </si>
  <si>
    <t>Total Interest Expense</t>
  </si>
  <si>
    <t>Total Finance Cost</t>
  </si>
  <si>
    <t>Leasehold Land</t>
  </si>
  <si>
    <t>Leasehold Properties</t>
  </si>
  <si>
    <t>Machinery</t>
  </si>
  <si>
    <t>Rental Lease (OL)</t>
  </si>
  <si>
    <t>Total ROU Assets (FL)</t>
  </si>
  <si>
    <t>Total Depreciation</t>
  </si>
  <si>
    <t>Total Depreciation (FL)</t>
  </si>
  <si>
    <t>Total ROU % Total PPE</t>
  </si>
  <si>
    <t>Inventory</t>
  </si>
  <si>
    <t>Trade and Other Receivables</t>
  </si>
  <si>
    <t>Trade and Other Payable</t>
  </si>
  <si>
    <t>Net PPE</t>
  </si>
  <si>
    <t>Lease GFA</t>
  </si>
  <si>
    <t>Owned GFA</t>
  </si>
  <si>
    <t>Rental Lease per UGFA</t>
  </si>
  <si>
    <t>ROU per UGFA</t>
  </si>
  <si>
    <t>Lease Depreciation per UGFA</t>
  </si>
  <si>
    <t>Utilization Rate</t>
  </si>
  <si>
    <t>$/ sqm</t>
  </si>
  <si>
    <t>Amortization of Borrow Cost</t>
  </si>
  <si>
    <t>sqm</t>
  </si>
  <si>
    <t>Calendar Days</t>
  </si>
  <si>
    <t>Gross Floor Area (GFA)</t>
  </si>
  <si>
    <t>Current GFA</t>
  </si>
  <si>
    <t>Genting</t>
  </si>
  <si>
    <t>Owned Depreciation per UGFA</t>
  </si>
  <si>
    <t>%</t>
  </si>
  <si>
    <t>Income Statement</t>
  </si>
  <si>
    <t>Revenue</t>
  </si>
  <si>
    <t>Depreciation</t>
  </si>
  <si>
    <t>Selling &amp; Distribution</t>
  </si>
  <si>
    <t>Administrative</t>
  </si>
  <si>
    <t>Amortization intangible</t>
  </si>
  <si>
    <t>Inventories</t>
  </si>
  <si>
    <t>Total SGA (OpEx)</t>
  </si>
  <si>
    <t>% Non-Gaming Revenue</t>
  </si>
  <si>
    <t>Total Segment Expenses</t>
  </si>
  <si>
    <t>Interest Income</t>
  </si>
  <si>
    <t>Interest subsidary</t>
  </si>
  <si>
    <t>Finance Cost</t>
  </si>
  <si>
    <t>Tax Provision</t>
  </si>
  <si>
    <t>Tax</t>
  </si>
  <si>
    <t>Effective Tax</t>
  </si>
  <si>
    <t>Addition GFA</t>
  </si>
  <si>
    <t>Tax Rate</t>
  </si>
  <si>
    <t>Total Expenses</t>
  </si>
  <si>
    <t>Gross Profit</t>
  </si>
  <si>
    <t>Gross Operating Profit</t>
  </si>
  <si>
    <t>Tax and subsidary Assumption</t>
  </si>
  <si>
    <t>Interest in Subsidary</t>
  </si>
  <si>
    <t>Total Retirement Provision</t>
  </si>
  <si>
    <t>COGS (Less SGA, DA)</t>
  </si>
  <si>
    <t>SGA (Less SBC)</t>
  </si>
  <si>
    <t>Total OpEX</t>
  </si>
  <si>
    <t>Total SGA Expense</t>
  </si>
  <si>
    <t>SGA (COGS)</t>
  </si>
  <si>
    <t>COGS (Less SGA)</t>
  </si>
  <si>
    <t>COGS (Less SGA, DA, Inventory)</t>
  </si>
  <si>
    <t>COGS (Less SGA, DA, Inventory, DT)</t>
  </si>
  <si>
    <t>COGS (Less DA, SGA)</t>
  </si>
  <si>
    <t>Operating Profit</t>
  </si>
  <si>
    <t>SGA (OpEx less Depreciation)</t>
  </si>
  <si>
    <t>Total Taxation (Provision)</t>
  </si>
  <si>
    <t>Operating Profit Before Tax</t>
  </si>
  <si>
    <t>DTL</t>
  </si>
  <si>
    <t>Net DTL</t>
  </si>
  <si>
    <t>% COGS</t>
  </si>
  <si>
    <t>DTL Assumption</t>
  </si>
  <si>
    <t>Cash &amp; Debt Assumption</t>
  </si>
  <si>
    <t>ST Borrowing</t>
  </si>
  <si>
    <t>LT Borrowing</t>
  </si>
  <si>
    <t>ST Income Tax Liabilities</t>
  </si>
  <si>
    <t>%  Revenue Related Tax</t>
  </si>
  <si>
    <t>Debt</t>
  </si>
  <si>
    <t>Lease Liabilities Interest per UGFA</t>
  </si>
  <si>
    <t>Bank Borrowings</t>
  </si>
  <si>
    <t>Bonds</t>
  </si>
  <si>
    <t>Total Debt</t>
  </si>
  <si>
    <t>ST Lease Liabilities per UGFA</t>
  </si>
  <si>
    <t>LT Lease Liabilities per UGFA</t>
  </si>
  <si>
    <t>$/sqm</t>
  </si>
  <si>
    <t>Net Income</t>
  </si>
  <si>
    <t>Exchange Diff (Provision)</t>
  </si>
  <si>
    <t>Intangible</t>
  </si>
  <si>
    <t>Addition</t>
  </si>
  <si>
    <t>Open PPE</t>
  </si>
  <si>
    <t>Trademark</t>
  </si>
  <si>
    <t>Goodwill Acquisition</t>
  </si>
  <si>
    <t>Licenses</t>
  </si>
  <si>
    <t>PC Software</t>
  </si>
  <si>
    <t>Total Intangible</t>
  </si>
  <si>
    <t>Total Amortization</t>
  </si>
  <si>
    <t>Net Addition/ Write-off</t>
  </si>
  <si>
    <t>Licenses Value</t>
  </si>
  <si>
    <t>Min Value</t>
  </si>
  <si>
    <t>Intangible Assumption</t>
  </si>
  <si>
    <t>PPE Assumption</t>
  </si>
  <si>
    <t>DTA (Provision)</t>
  </si>
  <si>
    <t>Interest in JV</t>
  </si>
  <si>
    <t>Quoted</t>
  </si>
  <si>
    <t>Unquoted</t>
  </si>
  <si>
    <t>Financial Assets</t>
  </si>
  <si>
    <t>Deferred Revenue</t>
  </si>
  <si>
    <t>Close Carry Value</t>
  </si>
  <si>
    <t>Profit after tax</t>
  </si>
  <si>
    <t>Open Carry Value</t>
  </si>
  <si>
    <t>JV Ownership</t>
  </si>
  <si>
    <t>Net Cash</t>
  </si>
  <si>
    <t>Restricted Cash</t>
  </si>
  <si>
    <t>EBITDA</t>
  </si>
  <si>
    <t>Provisional &amp;NR adjustment</t>
  </si>
  <si>
    <t>Adjusted EBITDA</t>
  </si>
  <si>
    <t>Intangible Asset</t>
  </si>
  <si>
    <t>Total NC Assets</t>
  </si>
  <si>
    <t>Balance Sheet</t>
  </si>
  <si>
    <t>Change YoY</t>
  </si>
  <si>
    <t>Inventory &amp; Others</t>
  </si>
  <si>
    <t>Trade Receivables &amp; Others</t>
  </si>
  <si>
    <t>Total Current Assets</t>
  </si>
  <si>
    <t>Total Assets</t>
  </si>
  <si>
    <t>Trade Payables &amp; Others</t>
  </si>
  <si>
    <t>Income Tax Liabilities</t>
  </si>
  <si>
    <t>Total Current Liabilities</t>
  </si>
  <si>
    <t>LT Borrowings</t>
  </si>
  <si>
    <t>ST Borrowings</t>
  </si>
  <si>
    <t>Payables</t>
  </si>
  <si>
    <t>Deferred Expenses</t>
  </si>
  <si>
    <t>Total Liabilities</t>
  </si>
  <si>
    <t>Total NC Liabilities</t>
  </si>
  <si>
    <t>Total Equity</t>
  </si>
  <si>
    <t>Equity Assumption</t>
  </si>
  <si>
    <t>Share Capital</t>
  </si>
  <si>
    <t>Treasury Shares</t>
  </si>
  <si>
    <t>Other Reserve (Provisional)</t>
  </si>
  <si>
    <t>Retain Earnings</t>
  </si>
  <si>
    <t>Total Common Equity</t>
  </si>
  <si>
    <t>Non-Control</t>
  </si>
  <si>
    <t>Balance Check</t>
  </si>
  <si>
    <t>Cashflow Assumption</t>
  </si>
  <si>
    <t>Amotization</t>
  </si>
  <si>
    <t>Net PPE Non-Cash Change</t>
  </si>
  <si>
    <t>Total Adjustments</t>
  </si>
  <si>
    <t>Trade Payable</t>
  </si>
  <si>
    <t>Changes in Working Capital</t>
  </si>
  <si>
    <t>Unrealized FX loss/ (gain)</t>
  </si>
  <si>
    <t>Interest Received</t>
  </si>
  <si>
    <t>Book Tax</t>
  </si>
  <si>
    <t>Cash Tax</t>
  </si>
  <si>
    <t>Accrued Tax liabilties</t>
  </si>
  <si>
    <t>Total Adjustment</t>
  </si>
  <si>
    <t>Operating Cashflow</t>
  </si>
  <si>
    <t>Retirement Paid</t>
  </si>
  <si>
    <t>Inventory Write-down</t>
  </si>
  <si>
    <t>Receivable Impairment</t>
  </si>
  <si>
    <t>Net Working Capital Changes</t>
  </si>
  <si>
    <t>Net Cashflow from Operation</t>
  </si>
  <si>
    <t>Investing Assumption</t>
  </si>
  <si>
    <t>PPE Addition</t>
  </si>
  <si>
    <t>PPE Disposal</t>
  </si>
  <si>
    <t>Intangible Asset Addition</t>
  </si>
  <si>
    <t>Disposal of Assets</t>
  </si>
  <si>
    <t>Disposal of Financial Assets</t>
  </si>
  <si>
    <t>Purchase of Financial Assets</t>
  </si>
  <si>
    <t>Net CF from investing activities</t>
  </si>
  <si>
    <t>Net licenses Value</t>
  </si>
  <si>
    <t>CF Addition</t>
  </si>
  <si>
    <t>Financing Assumption</t>
  </si>
  <si>
    <t>Bond issuance</t>
  </si>
  <si>
    <t>Interest Paid</t>
  </si>
  <si>
    <t>Dividend Paid</t>
  </si>
  <si>
    <t>Redemption of perpetual securities</t>
  </si>
  <si>
    <t>Perpetual securities distribution</t>
  </si>
  <si>
    <t>Financial lease liabilities</t>
  </si>
  <si>
    <t>Net CF from financing activities</t>
  </si>
  <si>
    <t>Undiluted</t>
  </si>
  <si>
    <t>Diluted</t>
  </si>
  <si>
    <t>M</t>
  </si>
  <si>
    <t>EPS</t>
  </si>
  <si>
    <t>Diluted EPS</t>
  </si>
  <si>
    <t>Exchange Loss</t>
  </si>
  <si>
    <t>Non-recurring</t>
  </si>
  <si>
    <t>Exchange Effect</t>
  </si>
  <si>
    <t>Net Investing CF</t>
  </si>
  <si>
    <t>Net Financing CF</t>
  </si>
  <si>
    <t>Beginning Cash</t>
  </si>
  <si>
    <t>Closing Cash</t>
  </si>
  <si>
    <t>Total Inflow/ (Outflow)</t>
  </si>
  <si>
    <t>Accrued Tax Expense/ (Benefits)</t>
  </si>
  <si>
    <t>Other LT Assets &amp; Liabilities Assumption</t>
  </si>
  <si>
    <t>Repurchase</t>
  </si>
  <si>
    <t>Reissue</t>
  </si>
  <si>
    <t>Close Treasury Shares</t>
  </si>
  <si>
    <t>Open Treasury Shares</t>
  </si>
  <si>
    <t>Minimum</t>
  </si>
  <si>
    <t>DPS</t>
  </si>
  <si>
    <t>Diluted DPS</t>
  </si>
  <si>
    <t>$ cents</t>
  </si>
  <si>
    <t>Total Auditor Fees</t>
  </si>
  <si>
    <t>Net Adjustment (EBITDA)</t>
  </si>
  <si>
    <t>Owned Net PPE per UGFA</t>
  </si>
  <si>
    <t>Total Non-interest Expense</t>
  </si>
  <si>
    <t>PPE Disposal per UFGA</t>
  </si>
  <si>
    <t>Net Close PPE</t>
  </si>
  <si>
    <t>Others (FX loss, impairment, write-off)</t>
  </si>
  <si>
    <t>Other OpEx &amp; OpIn Assumption</t>
  </si>
  <si>
    <t xml:space="preserve"> FX Assumption</t>
  </si>
  <si>
    <t>Investment FX Gain/ (loss)</t>
  </si>
  <si>
    <t>PPE FX Gain/ (Loss)</t>
  </si>
  <si>
    <t>Retirement Paid/ Wrote-back</t>
  </si>
  <si>
    <t>Interest Received/ (Receivable)</t>
  </si>
  <si>
    <t>Gratitude Paid/ (Payable)</t>
  </si>
  <si>
    <t>Net Financial Assets Disposal/ (Purchase)</t>
  </si>
  <si>
    <t>Net PPE Change</t>
  </si>
  <si>
    <t>Cashflow</t>
  </si>
  <si>
    <t>Initial Estimate License Value</t>
  </si>
  <si>
    <t>(Adjusted) Net Changes in Working Capital</t>
  </si>
  <si>
    <t>Bank borrowing &amp; Bond</t>
  </si>
  <si>
    <t>Net Debt</t>
  </si>
  <si>
    <t>Total Asset</t>
  </si>
  <si>
    <t>Trade Receivable and others</t>
  </si>
  <si>
    <t>PPE</t>
  </si>
  <si>
    <t>Interest in JV &amp; Financial Assets</t>
  </si>
  <si>
    <t>Trade payables &amp; Others</t>
  </si>
  <si>
    <t>Gross Tax liabilities</t>
  </si>
  <si>
    <t>Total inflow/ (Outflow)</t>
  </si>
  <si>
    <t>Financial Asset loss/ (gain)</t>
  </si>
  <si>
    <t>Minimum Cash</t>
  </si>
  <si>
    <t>% Minimum Cash</t>
  </si>
  <si>
    <t>(-) less borrow amortization</t>
  </si>
  <si>
    <t>Debt Estimated Value</t>
  </si>
  <si>
    <t>Issuance Fee</t>
  </si>
  <si>
    <t>Borrowing cost amotization</t>
  </si>
  <si>
    <t>Borrowing bank</t>
  </si>
  <si>
    <t>Note:</t>
  </si>
  <si>
    <t>This view if you want the old format back</t>
  </si>
  <si>
    <t>Discounted Cashflow</t>
  </si>
  <si>
    <t>FCF</t>
  </si>
  <si>
    <t>Lever FCF</t>
  </si>
  <si>
    <t>Unlever FCF</t>
  </si>
  <si>
    <t>Debt % Total Cap</t>
  </si>
  <si>
    <t>Equity % Total Cap</t>
  </si>
  <si>
    <t>EV</t>
  </si>
  <si>
    <t>EV/ EBITDA</t>
  </si>
  <si>
    <t>Ave Debt %</t>
  </si>
  <si>
    <t>Ave Equity %</t>
  </si>
  <si>
    <t>Estimate Debt Rate (Historical)</t>
  </si>
  <si>
    <t>Estimate Debt Rate (EBITDA Multiple)</t>
  </si>
  <si>
    <t>Average Debt Rate</t>
  </si>
  <si>
    <t>Estimate Equity (Yahoo)</t>
  </si>
  <si>
    <t>Estimate Equity (Comparable)</t>
  </si>
  <si>
    <t>Average Equity Rate</t>
  </si>
  <si>
    <t>WACC</t>
  </si>
  <si>
    <t>Discount Factor</t>
  </si>
  <si>
    <t>PV Unlevered FCF</t>
  </si>
  <si>
    <t>No. of Years</t>
  </si>
  <si>
    <t>Terminal Value (EBITDA)</t>
  </si>
  <si>
    <t>Total PV Accumulated UFCF</t>
  </si>
  <si>
    <t>Baseline Terminal Multiple</t>
  </si>
  <si>
    <t>Implied Enterprise Value</t>
  </si>
  <si>
    <t>% Implied TV</t>
  </si>
  <si>
    <t>Implied Terminal Value (TV)</t>
  </si>
  <si>
    <t>Implied Equity Value</t>
  </si>
  <si>
    <t>Implied Price</t>
  </si>
  <si>
    <t>Expected Price</t>
  </si>
  <si>
    <t>Current Price</t>
  </si>
  <si>
    <t>5Y Growth</t>
  </si>
  <si>
    <t>EBITDA Multiple</t>
  </si>
  <si>
    <t>Implied Terminal Value</t>
  </si>
  <si>
    <t>Baseline multiple</t>
  </si>
  <si>
    <t>Equity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</si>
</sst>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quot;FY&quot;yy"/>
    <numFmt numFmtId="165" formatCode="0.0%"/>
    <numFmt numFmtId="166" formatCode="#,##0.0"/>
    <numFmt numFmtId="167" formatCode="0.0"/>
    <numFmt numFmtId="168" formatCode="&quot;$&quot;#,##0.000;\(&quot;$&quot;#,##0.000\);&quot;OK!&quot;;&quot;ERROR&quot;"/>
    <numFmt numFmtId="169" formatCode="#,##0.0;[Red]\(#,##0.0\)"/>
    <numFmt numFmtId="170" formatCode="#,##0.000;[Red]#,##0.000"/>
    <numFmt numFmtId="171" formatCode="#,##0.##;[Red]\(#,##0.##\)"/>
    <numFmt numFmtId="172" formatCode="#,##0.0;[Red]\(#,##0.0\);\-"/>
    <numFmt numFmtId="173" formatCode="#,###;[Red]\(#,###\);\-"/>
    <numFmt numFmtId="174" formatCode="#,##0.0#;[Red]\(#,##0.0#\);\-"/>
    <numFmt numFmtId="175" formatCode="#,##0.0##;[Red]\(#,##0.0##\);\-"/>
    <numFmt numFmtId="176" formatCode="#,##0.00000000000000;[Red]#,##0.00000000000000"/>
    <numFmt numFmtId="177" formatCode="&quot;$&quot;#,##0.00"/>
    <numFmt numFmtId="178" formatCode="#,##0.0000000;[Red]#,##0.0000000"/>
    <numFmt numFmtId="179" formatCode="#,##0.0;[Red]#,##0.00000000000000"/>
    <numFmt numFmtId="180" formatCode="0.0000"/>
    <numFmt numFmtId="183" formatCode="#,##0.0&quot;x&quot;;[Red]\(#,##0.0\)&quot;x&quot;;\-"/>
    <numFmt numFmtId="184" formatCode="#,##0.000;[Red]\(#,##0.000\);\-"/>
    <numFmt numFmtId="187" formatCode="0.0&quot;x&quot;"/>
    <numFmt numFmtId="188" formatCode="&quot;FY&quot;yyyy"/>
    <numFmt numFmtId="189" formatCode="#0.0&quot;x&quot;"/>
  </numFmts>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s>
  <borders count="13">
    <border>
      <left/>
      <right/>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4">
    <xf numFmtId="0" fontId="0" fillId="0" borderId="0" xfId="0"/>
    <xf numFmtId="0" fontId="0" fillId="0" borderId="0" xfId="0" applyAlignment="1">
      <alignment horizontal="left" indent="1"/>
    </xf>
    <xf numFmtId="164" fontId="0" fillId="0" borderId="0" xfId="0" applyNumberFormat="1"/>
    <xf numFmtId="0" fontId="0" fillId="0" borderId="0" xfId="0" applyAlignment="1">
      <alignment horizontal="left"/>
    </xf>
    <xf numFmtId="0" fontId="0" fillId="2" borderId="0" xfId="0" applyFill="1"/>
    <xf numFmtId="165" fontId="0" fillId="0" borderId="0" xfId="0" applyNumberFormat="1"/>
    <xf numFmtId="0" fontId="4" fillId="0" borderId="0" xfId="0" applyFont="1" applyAlignment="1">
      <alignment horizontal="center"/>
    </xf>
    <xf numFmtId="0" fontId="0" fillId="0" borderId="0" xfId="0" applyFill="1"/>
    <xf numFmtId="165" fontId="0" fillId="2" borderId="0" xfId="0" applyNumberFormat="1" applyFill="1"/>
    <xf numFmtId="10" fontId="0" fillId="2" borderId="0" xfId="0" applyNumberFormat="1" applyFill="1"/>
    <xf numFmtId="0" fontId="1" fillId="0" borderId="0" xfId="0" applyFont="1"/>
    <xf numFmtId="0" fontId="1" fillId="0" borderId="1" xfId="0" applyFont="1" applyBorder="1"/>
    <xf numFmtId="0" fontId="4" fillId="0" borderId="1" xfId="0" applyFont="1" applyBorder="1" applyAlignment="1">
      <alignment horizontal="center"/>
    </xf>
    <xf numFmtId="0" fontId="0" fillId="0" borderId="1" xfId="0" applyBorder="1"/>
    <xf numFmtId="0" fontId="1" fillId="3" borderId="0" xfId="0" applyFont="1" applyFill="1"/>
    <xf numFmtId="0" fontId="5" fillId="3" borderId="0" xfId="0" applyFont="1" applyFill="1" applyAlignment="1">
      <alignment horizontal="center"/>
    </xf>
    <xf numFmtId="164" fontId="1" fillId="3" borderId="0" xfId="0" applyNumberFormat="1" applyFont="1" applyFill="1"/>
    <xf numFmtId="0" fontId="4" fillId="0" borderId="0" xfId="0" applyFont="1" applyAlignment="1">
      <alignment horizontal="left" indent="1"/>
    </xf>
    <xf numFmtId="0" fontId="4" fillId="0" borderId="0" xfId="0" applyFont="1"/>
    <xf numFmtId="10" fontId="0" fillId="0" borderId="0" xfId="0" applyNumberFormat="1"/>
    <xf numFmtId="0" fontId="1" fillId="4" borderId="0" xfId="0" applyFont="1" applyFill="1"/>
    <xf numFmtId="164" fontId="1" fillId="4" borderId="0" xfId="0" applyNumberFormat="1" applyFont="1" applyFill="1"/>
    <xf numFmtId="10" fontId="0" fillId="0" borderId="0" xfId="0" applyNumberFormat="1" applyFill="1"/>
    <xf numFmtId="166" fontId="0" fillId="0" borderId="0" xfId="0" applyNumberFormat="1"/>
    <xf numFmtId="166" fontId="0" fillId="2" borderId="0" xfId="0" applyNumberFormat="1" applyFill="1"/>
    <xf numFmtId="167" fontId="0" fillId="0" borderId="0" xfId="0" applyNumberFormat="1"/>
    <xf numFmtId="167" fontId="0" fillId="2" borderId="0" xfId="0" applyNumberFormat="1" applyFill="1"/>
    <xf numFmtId="167" fontId="0" fillId="0" borderId="1" xfId="0" applyNumberFormat="1" applyBorder="1"/>
    <xf numFmtId="0" fontId="5" fillId="4" borderId="0" xfId="0" applyFont="1" applyFill="1" applyAlignment="1">
      <alignment horizontal="center"/>
    </xf>
    <xf numFmtId="0" fontId="1" fillId="0" borderId="0" xfId="0" applyFont="1" applyAlignment="1">
      <alignment horizontal="left"/>
    </xf>
    <xf numFmtId="0" fontId="1" fillId="0" borderId="1" xfId="0" applyFont="1" applyBorder="1" applyAlignment="1">
      <alignment horizontal="left"/>
    </xf>
    <xf numFmtId="168" fontId="4" fillId="0" borderId="0" xfId="0" applyNumberFormat="1" applyFont="1"/>
    <xf numFmtId="169" fontId="0" fillId="0" borderId="0" xfId="0" applyNumberFormat="1"/>
    <xf numFmtId="170" fontId="0" fillId="0" borderId="0" xfId="0" applyNumberFormat="1"/>
    <xf numFmtId="171" fontId="0" fillId="0" borderId="0" xfId="0" applyNumberFormat="1"/>
    <xf numFmtId="172" fontId="0" fillId="0" borderId="0" xfId="0" applyNumberFormat="1"/>
    <xf numFmtId="172" fontId="0" fillId="2" borderId="0" xfId="0" applyNumberFormat="1" applyFill="1"/>
    <xf numFmtId="172" fontId="0" fillId="0" borderId="0" xfId="0" applyNumberFormat="1" applyFill="1"/>
    <xf numFmtId="173" fontId="0" fillId="0" borderId="0" xfId="0" applyNumberFormat="1"/>
    <xf numFmtId="173" fontId="0" fillId="0" borderId="0" xfId="0" applyNumberFormat="1" applyFill="1"/>
    <xf numFmtId="174" fontId="0" fillId="0" borderId="0" xfId="0" applyNumberFormat="1"/>
    <xf numFmtId="174" fontId="0" fillId="2" borderId="0" xfId="0" applyNumberFormat="1" applyFill="1"/>
    <xf numFmtId="0" fontId="4" fillId="0" borderId="3" xfId="0" applyFont="1" applyBorder="1" applyAlignment="1">
      <alignment horizontal="center"/>
    </xf>
    <xf numFmtId="165" fontId="0" fillId="0" borderId="3" xfId="0" applyNumberFormat="1" applyBorder="1"/>
    <xf numFmtId="165" fontId="0" fillId="0" borderId="4" xfId="0" applyNumberFormat="1" applyBorder="1"/>
    <xf numFmtId="0" fontId="1" fillId="0" borderId="2" xfId="0" applyFont="1" applyBorder="1"/>
    <xf numFmtId="172" fontId="0" fillId="0" borderId="1" xfId="0" applyNumberFormat="1" applyBorder="1"/>
    <xf numFmtId="172" fontId="0" fillId="2" borderId="1" xfId="0" applyNumberFormat="1" applyFill="1" applyBorder="1"/>
    <xf numFmtId="175" fontId="0" fillId="0" borderId="0" xfId="0" applyNumberFormat="1"/>
    <xf numFmtId="175" fontId="0" fillId="2" borderId="0" xfId="0" applyNumberFormat="1" applyFill="1"/>
    <xf numFmtId="176" fontId="0" fillId="0" borderId="0" xfId="0" applyNumberFormat="1"/>
    <xf numFmtId="0" fontId="0" fillId="0" borderId="0" xfId="0" applyBorder="1" applyAlignment="1">
      <alignment horizontal="left" indent="1"/>
    </xf>
    <xf numFmtId="0" fontId="0" fillId="0" borderId="0" xfId="0" applyBorder="1"/>
    <xf numFmtId="172" fontId="0" fillId="0" borderId="0" xfId="0" applyNumberFormat="1" applyBorder="1"/>
    <xf numFmtId="0" fontId="1" fillId="0" borderId="0" xfId="0" applyFont="1" applyBorder="1" applyAlignment="1">
      <alignment horizontal="left"/>
    </xf>
    <xf numFmtId="0" fontId="0" fillId="0" borderId="0" xfId="0" applyFont="1" applyBorder="1" applyAlignment="1">
      <alignment horizontal="left" indent="1"/>
    </xf>
    <xf numFmtId="0" fontId="0" fillId="0" borderId="0" xfId="0" applyFont="1" applyFill="1" applyBorder="1" applyAlignment="1">
      <alignment horizontal="left" indent="1"/>
    </xf>
    <xf numFmtId="177" fontId="0" fillId="0" borderId="0" xfId="0" applyNumberFormat="1"/>
    <xf numFmtId="178" fontId="0" fillId="0" borderId="0" xfId="0" applyNumberFormat="1"/>
    <xf numFmtId="179" fontId="0" fillId="0" borderId="0" xfId="0" applyNumberFormat="1"/>
    <xf numFmtId="180" fontId="0" fillId="0" borderId="0" xfId="0" applyNumberFormat="1"/>
    <xf numFmtId="0" fontId="1" fillId="0" borderId="1" xfId="0" applyFont="1" applyFill="1" applyBorder="1" applyAlignment="1">
      <alignment horizontal="left"/>
    </xf>
    <xf numFmtId="183" fontId="0" fillId="0" borderId="0" xfId="0" applyNumberFormat="1"/>
    <xf numFmtId="184" fontId="0" fillId="0" borderId="0" xfId="0" applyNumberFormat="1"/>
    <xf numFmtId="0" fontId="0" fillId="0" borderId="2" xfId="0" applyBorder="1"/>
    <xf numFmtId="0" fontId="0" fillId="0" borderId="3" xfId="0" applyBorder="1"/>
    <xf numFmtId="172" fontId="0" fillId="0" borderId="3" xfId="0" applyNumberFormat="1" applyBorder="1"/>
    <xf numFmtId="172" fontId="0" fillId="0" borderId="4" xfId="0" applyNumberFormat="1" applyBorder="1"/>
    <xf numFmtId="0" fontId="0" fillId="0" borderId="0" xfId="0" applyFill="1" applyBorder="1"/>
    <xf numFmtId="187" fontId="0" fillId="2" borderId="0" xfId="0" applyNumberFormat="1" applyFill="1"/>
    <xf numFmtId="0" fontId="1" fillId="0" borderId="2" xfId="0" applyFont="1" applyBorder="1" applyAlignment="1">
      <alignment horizontal="center"/>
    </xf>
    <xf numFmtId="0" fontId="0" fillId="0" borderId="5" xfId="0" applyBorder="1"/>
    <xf numFmtId="0" fontId="0" fillId="0" borderId="6" xfId="0" applyBorder="1"/>
    <xf numFmtId="10" fontId="0" fillId="0" borderId="6" xfId="0" applyNumberFormat="1" applyBorder="1"/>
    <xf numFmtId="0" fontId="0" fillId="0" borderId="7" xfId="0" applyBorder="1"/>
    <xf numFmtId="0" fontId="0" fillId="0" borderId="8" xfId="0" applyBorder="1"/>
    <xf numFmtId="14" fontId="0" fillId="0" borderId="0" xfId="0" applyNumberFormat="1" applyBorder="1"/>
    <xf numFmtId="10" fontId="0" fillId="0" borderId="0" xfId="0" applyNumberFormat="1" applyBorder="1"/>
    <xf numFmtId="0" fontId="0" fillId="0" borderId="9" xfId="0" applyBorder="1"/>
    <xf numFmtId="188" fontId="0" fillId="0" borderId="0" xfId="0" applyNumberFormat="1" applyBorder="1" applyAlignment="1">
      <alignment horizontal="center"/>
    </xf>
    <xf numFmtId="165" fontId="0" fillId="0" borderId="0" xfId="0" applyNumberFormat="1" applyBorder="1"/>
    <xf numFmtId="4" fontId="0" fillId="0" borderId="0" xfId="0" applyNumberFormat="1" applyBorder="1"/>
    <xf numFmtId="0" fontId="4" fillId="0" borderId="0" xfId="0" applyFont="1" applyBorder="1" applyAlignment="1">
      <alignment horizontal="center"/>
    </xf>
    <xf numFmtId="0" fontId="0" fillId="0" borderId="8" xfId="0" applyBorder="1" applyAlignment="1">
      <alignment horizontal="left" indent="1"/>
    </xf>
    <xf numFmtId="0" fontId="0" fillId="0" borderId="0" xfId="0" applyBorder="1" applyAlignment="1">
      <alignment horizontal="center"/>
    </xf>
    <xf numFmtId="0" fontId="0" fillId="0" borderId="10" xfId="0" applyBorder="1"/>
    <xf numFmtId="172" fontId="0" fillId="0" borderId="11" xfId="0" applyNumberFormat="1" applyBorder="1"/>
    <xf numFmtId="0" fontId="0" fillId="0" borderId="11" xfId="0" applyBorder="1"/>
    <xf numFmtId="0" fontId="0" fillId="0" borderId="12" xfId="0" applyBorder="1"/>
    <xf numFmtId="0" fontId="0" fillId="0" borderId="4" xfId="0" applyBorder="1" applyAlignment="1">
      <alignment horizontal="center"/>
    </xf>
    <xf numFmtId="189" fontId="0" fillId="0" borderId="0" xfId="0" applyNumberFormat="1"/>
    <xf numFmtId="172" fontId="1" fillId="4" borderId="0" xfId="0" applyNumberFormat="1" applyFont="1" applyFill="1"/>
    <xf numFmtId="166" fontId="1" fillId="4" borderId="0" xfId="0" applyNumberFormat="1" applyFont="1" applyFill="1"/>
    <xf numFmtId="18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CE100-A4CC-4D31-A469-FA530909EA8A}">
  <dimension ref="B1:L49"/>
  <sheetViews>
    <sheetView workbookViewId="0">
      <selection activeCell="K11" sqref="K11"/>
    </sheetView>
  </sheetViews>
  <sheetFormatPr defaultRowHeight="14.5" x14ac:dyDescent="0.35"/>
  <cols>
    <col min="2" max="2" width="20.6328125" bestFit="1" customWidth="1"/>
    <col min="3" max="4" width="11.36328125" customWidth="1"/>
    <col min="5" max="5" width="11.7265625" bestFit="1" customWidth="1"/>
    <col min="8" max="8" width="12.26953125" customWidth="1"/>
    <col min="9" max="9" width="9.08984375" bestFit="1" customWidth="1"/>
    <col min="10" max="12" width="9.6328125" bestFit="1" customWidth="1"/>
  </cols>
  <sheetData>
    <row r="1" spans="2:10" ht="15" thickBot="1" x14ac:dyDescent="0.4"/>
    <row r="2" spans="2:10" x14ac:dyDescent="0.35">
      <c r="B2" s="71" t="s">
        <v>0</v>
      </c>
      <c r="C2" s="72" t="s">
        <v>124</v>
      </c>
      <c r="D2" s="72"/>
      <c r="E2" s="72" t="s">
        <v>123</v>
      </c>
      <c r="F2" s="72">
        <v>343000</v>
      </c>
      <c r="G2" s="72"/>
      <c r="H2" s="72" t="s">
        <v>343</v>
      </c>
      <c r="I2" s="73">
        <f>AVERAGE(DCF!H9:L9)</f>
        <v>9.8667456541475795E-2</v>
      </c>
      <c r="J2" s="74"/>
    </row>
    <row r="3" spans="2:10" x14ac:dyDescent="0.35">
      <c r="B3" s="75" t="s">
        <v>1</v>
      </c>
      <c r="C3" s="76">
        <v>44437</v>
      </c>
      <c r="D3" s="52"/>
      <c r="E3" s="52" t="s">
        <v>143</v>
      </c>
      <c r="F3" s="52"/>
      <c r="G3" s="52"/>
      <c r="H3" s="52" t="s">
        <v>344</v>
      </c>
      <c r="I3" s="77">
        <f>AVERAGE(DCF!H10:L10)</f>
        <v>0.9013325434585242</v>
      </c>
      <c r="J3" s="78"/>
    </row>
    <row r="4" spans="2:10" x14ac:dyDescent="0.35">
      <c r="B4" s="75" t="s">
        <v>2</v>
      </c>
      <c r="C4" s="79">
        <f>DATE(2020,12,31)</f>
        <v>44196</v>
      </c>
      <c r="D4" s="52"/>
      <c r="E4" s="52"/>
      <c r="F4" s="52"/>
      <c r="G4" s="52"/>
      <c r="H4" s="52"/>
      <c r="I4" s="52"/>
      <c r="J4" s="78"/>
    </row>
    <row r="5" spans="2:10" x14ac:dyDescent="0.35">
      <c r="B5" s="75"/>
      <c r="C5" s="52"/>
      <c r="D5" s="52"/>
      <c r="E5" s="52" t="s">
        <v>144</v>
      </c>
      <c r="F5" s="80">
        <v>0.17</v>
      </c>
      <c r="G5" s="52"/>
      <c r="H5" s="52" t="s">
        <v>362</v>
      </c>
      <c r="I5" s="81">
        <f>DCF!L41/Basic!C10</f>
        <v>0.87983903097486349</v>
      </c>
      <c r="J5" s="78"/>
    </row>
    <row r="6" spans="2:10" ht="15" thickBot="1" x14ac:dyDescent="0.4">
      <c r="B6" s="75" t="s">
        <v>31</v>
      </c>
      <c r="C6" s="82"/>
      <c r="D6" s="52"/>
      <c r="E6" s="52"/>
      <c r="F6" s="52"/>
      <c r="G6" s="52"/>
      <c r="H6" s="52" t="s">
        <v>363</v>
      </c>
      <c r="I6" s="81">
        <f>Projection!C93/Basic!G38</f>
        <v>0.63345344407426396</v>
      </c>
      <c r="J6" s="78"/>
    </row>
    <row r="7" spans="2:10" ht="15" thickBot="1" x14ac:dyDescent="0.4">
      <c r="B7" s="83" t="s">
        <v>30</v>
      </c>
      <c r="C7" s="84">
        <v>1000000</v>
      </c>
      <c r="D7" s="52"/>
      <c r="E7" s="70" t="s">
        <v>40</v>
      </c>
      <c r="F7" s="89" t="s">
        <v>37</v>
      </c>
      <c r="G7" s="52"/>
      <c r="H7" s="68" t="s">
        <v>364</v>
      </c>
      <c r="I7" s="52">
        <v>0.76</v>
      </c>
      <c r="J7" s="78"/>
    </row>
    <row r="8" spans="2:10" x14ac:dyDescent="0.35">
      <c r="B8" s="83" t="s">
        <v>11</v>
      </c>
      <c r="C8" s="84">
        <v>100</v>
      </c>
      <c r="D8" s="52"/>
      <c r="E8" s="52"/>
      <c r="F8" s="52"/>
      <c r="G8" s="52"/>
      <c r="H8" s="52"/>
      <c r="I8" s="52"/>
      <c r="J8" s="78"/>
    </row>
    <row r="9" spans="2:10" x14ac:dyDescent="0.35">
      <c r="B9" s="75"/>
      <c r="C9" s="52"/>
      <c r="D9" s="52"/>
      <c r="E9" s="52" t="s">
        <v>206</v>
      </c>
      <c r="F9" s="77">
        <v>0.8</v>
      </c>
      <c r="G9" s="52"/>
      <c r="H9" s="68" t="s">
        <v>365</v>
      </c>
      <c r="I9" s="77">
        <f>((Projection!L27/Projection!H27)-1)^(1/5)-1</f>
        <v>9.0326298142600292E-2</v>
      </c>
      <c r="J9" s="78"/>
    </row>
    <row r="10" spans="2:10" ht="15" thickBot="1" x14ac:dyDescent="0.4">
      <c r="B10" s="85" t="s">
        <v>7</v>
      </c>
      <c r="C10" s="86">
        <f>G38</f>
        <v>12109.102999999999</v>
      </c>
      <c r="D10" s="87"/>
      <c r="E10" s="87"/>
      <c r="F10" s="87"/>
      <c r="G10" s="87"/>
      <c r="H10" s="87"/>
      <c r="I10" s="87"/>
      <c r="J10" s="88"/>
    </row>
    <row r="12" spans="2:10" x14ac:dyDescent="0.35">
      <c r="B12" t="s">
        <v>4</v>
      </c>
      <c r="C12" s="6" t="s">
        <v>3</v>
      </c>
      <c r="D12" t="s">
        <v>13</v>
      </c>
      <c r="E12" t="s">
        <v>5</v>
      </c>
      <c r="F12" t="s">
        <v>6</v>
      </c>
    </row>
    <row r="13" spans="2:10" x14ac:dyDescent="0.35">
      <c r="B13" s="1" t="s">
        <v>8</v>
      </c>
      <c r="C13" s="6">
        <v>0</v>
      </c>
      <c r="D13" s="6">
        <v>0</v>
      </c>
      <c r="E13" s="6">
        <v>0</v>
      </c>
      <c r="F13" s="6">
        <v>0</v>
      </c>
    </row>
    <row r="14" spans="2:10" x14ac:dyDescent="0.35">
      <c r="B14" s="1" t="s">
        <v>9</v>
      </c>
      <c r="C14" s="6">
        <v>0</v>
      </c>
      <c r="D14" s="6">
        <v>0</v>
      </c>
      <c r="E14" s="6">
        <v>0</v>
      </c>
      <c r="F14" s="6">
        <v>0</v>
      </c>
    </row>
    <row r="15" spans="2:10" x14ac:dyDescent="0.35">
      <c r="B15" s="1" t="s">
        <v>10</v>
      </c>
      <c r="C15" s="6">
        <v>0</v>
      </c>
      <c r="D15" s="6">
        <v>0</v>
      </c>
      <c r="E15" s="6">
        <v>0</v>
      </c>
      <c r="F15" s="6">
        <v>0</v>
      </c>
    </row>
    <row r="16" spans="2:10" x14ac:dyDescent="0.35">
      <c r="B16" s="1" t="s">
        <v>12</v>
      </c>
      <c r="C16" s="6">
        <f>SUM(C13:C15)</f>
        <v>0</v>
      </c>
      <c r="D16" s="6">
        <f t="shared" ref="D16:F16" si="0">SUM(D13:D15)</f>
        <v>0</v>
      </c>
      <c r="E16" s="6">
        <f t="shared" si="0"/>
        <v>0</v>
      </c>
      <c r="F16" s="6">
        <f t="shared" si="0"/>
        <v>0</v>
      </c>
    </row>
    <row r="17" spans="2:12" x14ac:dyDescent="0.35">
      <c r="C17" s="6"/>
    </row>
    <row r="18" spans="2:12" x14ac:dyDescent="0.35">
      <c r="B18" s="3" t="s">
        <v>121</v>
      </c>
      <c r="C18" s="6" t="s">
        <v>3</v>
      </c>
      <c r="D18" s="2">
        <f t="shared" ref="D18:E18" si="1">EOMONTH(E18,-12)</f>
        <v>43100</v>
      </c>
      <c r="E18" s="2">
        <f t="shared" si="1"/>
        <v>43465</v>
      </c>
      <c r="F18" s="2">
        <f>EOMONTH(G18,-12)</f>
        <v>43830</v>
      </c>
      <c r="G18" s="2">
        <f>Hist_Yr</f>
        <v>44196</v>
      </c>
      <c r="H18" s="2">
        <f>EOMONTH(G18,12)</f>
        <v>44561</v>
      </c>
      <c r="I18" s="2">
        <f t="shared" ref="I18:L18" si="2">EOMONTH(H18,12)</f>
        <v>44926</v>
      </c>
      <c r="J18" s="2">
        <f t="shared" si="2"/>
        <v>45291</v>
      </c>
      <c r="K18" s="2">
        <f t="shared" si="2"/>
        <v>45657</v>
      </c>
      <c r="L18" s="2">
        <f t="shared" si="2"/>
        <v>46022</v>
      </c>
    </row>
    <row r="19" spans="2:12" x14ac:dyDescent="0.35">
      <c r="B19" s="1" t="s">
        <v>15</v>
      </c>
      <c r="C19" s="6" t="s">
        <v>16</v>
      </c>
      <c r="D19" s="38">
        <f>D21-D20</f>
        <v>365</v>
      </c>
      <c r="E19" s="38">
        <f t="shared" ref="E19:G19" si="3">E21-E20</f>
        <v>365</v>
      </c>
      <c r="F19" s="38">
        <f t="shared" si="3"/>
        <v>365</v>
      </c>
      <c r="G19" s="38">
        <f t="shared" si="3"/>
        <v>146</v>
      </c>
      <c r="H19" s="39">
        <f>H21*H22</f>
        <v>219</v>
      </c>
      <c r="I19" s="39">
        <f t="shared" ref="I19:L19" si="4">I21*I22</f>
        <v>292</v>
      </c>
      <c r="J19" s="39">
        <f t="shared" si="4"/>
        <v>365</v>
      </c>
      <c r="K19" s="39">
        <f t="shared" si="4"/>
        <v>365</v>
      </c>
      <c r="L19" s="39">
        <f t="shared" si="4"/>
        <v>365</v>
      </c>
    </row>
    <row r="20" spans="2:12" x14ac:dyDescent="0.35">
      <c r="B20" s="1" t="s">
        <v>14</v>
      </c>
      <c r="C20" s="6" t="s">
        <v>16</v>
      </c>
      <c r="D20" s="38">
        <v>0</v>
      </c>
      <c r="E20" s="38">
        <v>0</v>
      </c>
      <c r="F20" s="38">
        <v>0</v>
      </c>
      <c r="G20" s="38">
        <v>220</v>
      </c>
      <c r="H20" s="39">
        <f>H21-H19</f>
        <v>146</v>
      </c>
      <c r="I20" s="39">
        <f t="shared" ref="I20:L20" si="5">I21-I19</f>
        <v>73</v>
      </c>
      <c r="J20" s="39">
        <f t="shared" si="5"/>
        <v>0</v>
      </c>
      <c r="K20" s="39">
        <f t="shared" si="5"/>
        <v>0</v>
      </c>
      <c r="L20" s="39">
        <f t="shared" si="5"/>
        <v>0</v>
      </c>
    </row>
    <row r="21" spans="2:12" x14ac:dyDescent="0.35">
      <c r="B21" s="3" t="s">
        <v>12</v>
      </c>
      <c r="C21" s="6" t="s">
        <v>16</v>
      </c>
      <c r="D21" s="38">
        <v>365</v>
      </c>
      <c r="E21" s="38">
        <v>365</v>
      </c>
      <c r="F21" s="38">
        <v>365</v>
      </c>
      <c r="G21" s="38">
        <v>366</v>
      </c>
      <c r="H21" s="38">
        <v>365</v>
      </c>
      <c r="I21" s="38">
        <v>365</v>
      </c>
      <c r="J21" s="38">
        <v>365</v>
      </c>
      <c r="K21" s="38">
        <v>365</v>
      </c>
      <c r="L21" s="38">
        <v>365</v>
      </c>
    </row>
    <row r="22" spans="2:12" x14ac:dyDescent="0.35">
      <c r="B22" s="1" t="s">
        <v>17</v>
      </c>
      <c r="C22" s="6"/>
      <c r="D22" s="5">
        <f>D19/D21</f>
        <v>1</v>
      </c>
      <c r="E22" s="5">
        <f t="shared" ref="E22:G22" si="6">E19/E21</f>
        <v>1</v>
      </c>
      <c r="F22" s="5">
        <f t="shared" si="6"/>
        <v>1</v>
      </c>
      <c r="G22" s="5">
        <f t="shared" si="6"/>
        <v>0.39890710382513661</v>
      </c>
      <c r="H22" s="8">
        <f>INDEX(H24:H26,MATCH($F$7,$B$24:$B$26,0),1)</f>
        <v>0.6</v>
      </c>
      <c r="I22" s="8">
        <f t="shared" ref="I22:L22" si="7">INDEX(I24:I26,MATCH($F$7,$B$24:$B$26,0),1)</f>
        <v>0.8</v>
      </c>
      <c r="J22" s="8">
        <f t="shared" si="7"/>
        <v>1</v>
      </c>
      <c r="K22" s="8">
        <f>INDEX(K24:K26,MATCH($F$7,$B$24:$B$26,0),1)</f>
        <v>1</v>
      </c>
      <c r="L22" s="8">
        <f t="shared" si="7"/>
        <v>1</v>
      </c>
    </row>
    <row r="23" spans="2:12" x14ac:dyDescent="0.35">
      <c r="B23" s="1"/>
      <c r="C23" s="6"/>
    </row>
    <row r="24" spans="2:12" x14ac:dyDescent="0.35">
      <c r="B24" s="1" t="s">
        <v>39</v>
      </c>
      <c r="C24" s="6"/>
      <c r="H24" s="8">
        <v>0.5</v>
      </c>
      <c r="I24" s="8">
        <v>0.7</v>
      </c>
      <c r="J24" s="8">
        <v>0.9</v>
      </c>
      <c r="K24" s="8">
        <v>1</v>
      </c>
      <c r="L24" s="8">
        <v>1</v>
      </c>
    </row>
    <row r="25" spans="2:12" x14ac:dyDescent="0.35">
      <c r="B25" s="1" t="s">
        <v>37</v>
      </c>
      <c r="C25" s="6"/>
      <c r="H25" s="8">
        <v>0.6</v>
      </c>
      <c r="I25" s="8">
        <v>0.8</v>
      </c>
      <c r="J25" s="8">
        <v>1</v>
      </c>
      <c r="K25" s="8">
        <v>1</v>
      </c>
      <c r="L25" s="8">
        <v>1</v>
      </c>
    </row>
    <row r="26" spans="2:12" x14ac:dyDescent="0.35">
      <c r="B26" s="1" t="s">
        <v>38</v>
      </c>
      <c r="C26" s="6"/>
      <c r="H26" s="8">
        <v>0.7</v>
      </c>
      <c r="I26" s="8">
        <v>0.9</v>
      </c>
      <c r="J26" s="8">
        <v>1</v>
      </c>
      <c r="K26" s="8">
        <v>1</v>
      </c>
      <c r="L26" s="8">
        <v>1</v>
      </c>
    </row>
    <row r="27" spans="2:12" x14ac:dyDescent="0.35">
      <c r="C27" s="6"/>
    </row>
    <row r="28" spans="2:12" x14ac:dyDescent="0.35">
      <c r="B28" t="s">
        <v>122</v>
      </c>
      <c r="C28" s="6" t="s">
        <v>3</v>
      </c>
      <c r="D28" s="2">
        <f t="shared" ref="D28:E28" si="8">EOMONTH(E28,-12)</f>
        <v>43100</v>
      </c>
      <c r="E28" s="2">
        <f t="shared" si="8"/>
        <v>43465</v>
      </c>
      <c r="F28" s="2">
        <f>EOMONTH(G28,-12)</f>
        <v>43830</v>
      </c>
      <c r="G28" s="2">
        <f>Hist_Yr</f>
        <v>44196</v>
      </c>
      <c r="H28" s="2">
        <f>EOMONTH(G28,12)</f>
        <v>44561</v>
      </c>
      <c r="I28" s="2">
        <f t="shared" ref="I28:L28" si="9">EOMONTH(H28,12)</f>
        <v>44926</v>
      </c>
      <c r="J28" s="2">
        <f t="shared" si="9"/>
        <v>45291</v>
      </c>
      <c r="K28" s="2">
        <f t="shared" si="9"/>
        <v>45657</v>
      </c>
      <c r="L28" s="2">
        <f t="shared" si="9"/>
        <v>46022</v>
      </c>
    </row>
    <row r="29" spans="2:12" x14ac:dyDescent="0.35">
      <c r="B29" t="s">
        <v>21</v>
      </c>
      <c r="C29" s="6" t="s">
        <v>120</v>
      </c>
      <c r="D29" s="32">
        <v>15000</v>
      </c>
      <c r="E29" s="32">
        <v>15000</v>
      </c>
      <c r="F29" s="32">
        <v>15000</v>
      </c>
      <c r="G29" s="32">
        <v>15000</v>
      </c>
      <c r="H29" s="32">
        <v>15000</v>
      </c>
      <c r="I29" s="32">
        <v>15000</v>
      </c>
      <c r="J29" s="32">
        <v>15000</v>
      </c>
      <c r="K29" s="32">
        <v>15000</v>
      </c>
      <c r="L29" s="32">
        <v>15000</v>
      </c>
    </row>
    <row r="30" spans="2:12" x14ac:dyDescent="0.35">
      <c r="B30" t="s">
        <v>22</v>
      </c>
      <c r="C30" s="6" t="s">
        <v>120</v>
      </c>
      <c r="D30" s="32">
        <v>152000</v>
      </c>
      <c r="E30" s="32">
        <v>152000</v>
      </c>
      <c r="F30" s="32">
        <v>152000</v>
      </c>
      <c r="G30" s="32">
        <v>152000</v>
      </c>
      <c r="H30" s="32">
        <v>152000</v>
      </c>
      <c r="I30" s="32">
        <v>152000</v>
      </c>
      <c r="J30" s="32">
        <v>152000</v>
      </c>
      <c r="K30" s="32">
        <v>152000</v>
      </c>
      <c r="L30" s="32">
        <v>152000</v>
      </c>
    </row>
    <row r="31" spans="2:12" x14ac:dyDescent="0.35">
      <c r="B31" t="s">
        <v>24</v>
      </c>
      <c r="C31" s="6" t="s">
        <v>120</v>
      </c>
      <c r="D31" s="32">
        <v>176000</v>
      </c>
      <c r="E31" s="32">
        <v>176000</v>
      </c>
      <c r="F31" s="32">
        <v>176000</v>
      </c>
      <c r="G31" s="32">
        <v>176000</v>
      </c>
      <c r="H31" s="32">
        <v>176000</v>
      </c>
      <c r="I31" s="32">
        <v>176000</v>
      </c>
      <c r="J31" s="32">
        <v>176000</v>
      </c>
      <c r="K31" s="32">
        <v>176000</v>
      </c>
      <c r="L31" s="32">
        <v>176000</v>
      </c>
    </row>
    <row r="32" spans="2:12" x14ac:dyDescent="0.35">
      <c r="B32" t="s">
        <v>12</v>
      </c>
      <c r="C32" s="6" t="s">
        <v>120</v>
      </c>
      <c r="D32" s="32">
        <f>SUM(D29:D31)</f>
        <v>343000</v>
      </c>
      <c r="E32" s="32">
        <f t="shared" ref="E32:L32" si="10">SUM(E29:E31)</f>
        <v>343000</v>
      </c>
      <c r="F32" s="32">
        <f t="shared" si="10"/>
        <v>343000</v>
      </c>
      <c r="G32" s="32">
        <f t="shared" si="10"/>
        <v>343000</v>
      </c>
      <c r="H32" s="32">
        <f t="shared" si="10"/>
        <v>343000</v>
      </c>
      <c r="I32" s="32">
        <f t="shared" si="10"/>
        <v>343000</v>
      </c>
      <c r="J32" s="32">
        <f t="shared" si="10"/>
        <v>343000</v>
      </c>
      <c r="K32" s="32">
        <f t="shared" si="10"/>
        <v>343000</v>
      </c>
      <c r="L32" s="32">
        <f t="shared" si="10"/>
        <v>343000</v>
      </c>
    </row>
    <row r="33" spans="2:12" x14ac:dyDescent="0.35">
      <c r="C33" s="6"/>
    </row>
    <row r="34" spans="2:12" x14ac:dyDescent="0.35">
      <c r="C34" s="6" t="s">
        <v>3</v>
      </c>
      <c r="D34" s="2">
        <f t="shared" ref="D34:E34" si="11">EOMONTH(E34,-12)</f>
        <v>43100</v>
      </c>
      <c r="E34" s="2">
        <f t="shared" si="11"/>
        <v>43465</v>
      </c>
      <c r="F34" s="2">
        <f>EOMONTH(G34,-12)</f>
        <v>43830</v>
      </c>
      <c r="G34" s="2">
        <f>Hist_Yr</f>
        <v>44196</v>
      </c>
      <c r="H34" s="2">
        <f>EOMONTH(G34,12)</f>
        <v>44561</v>
      </c>
      <c r="I34" s="2">
        <f t="shared" ref="I34:L34" si="12">EOMONTH(H34,12)</f>
        <v>44926</v>
      </c>
      <c r="J34" s="2">
        <f t="shared" si="12"/>
        <v>45291</v>
      </c>
      <c r="K34" s="2">
        <f t="shared" si="12"/>
        <v>45657</v>
      </c>
      <c r="L34" s="2">
        <f t="shared" si="12"/>
        <v>46022</v>
      </c>
    </row>
    <row r="35" spans="2:12" x14ac:dyDescent="0.35">
      <c r="B35" t="s">
        <v>274</v>
      </c>
      <c r="C35" s="6" t="s">
        <v>276</v>
      </c>
      <c r="D35" s="35">
        <v>12024.712</v>
      </c>
      <c r="E35" s="35">
        <v>12044.308999999999</v>
      </c>
      <c r="F35" s="35">
        <v>12056.144</v>
      </c>
      <c r="G35" s="35">
        <v>12063.666999999999</v>
      </c>
      <c r="H35" s="36">
        <v>12063.666999999999</v>
      </c>
      <c r="I35" s="36">
        <v>12063.666999999999</v>
      </c>
      <c r="J35" s="36">
        <v>12063.666999999999</v>
      </c>
      <c r="K35" s="36">
        <v>12063.666999999999</v>
      </c>
      <c r="L35" s="36">
        <v>12063.666999999999</v>
      </c>
    </row>
    <row r="36" spans="2:12" x14ac:dyDescent="0.35">
      <c r="B36" s="1" t="s">
        <v>43</v>
      </c>
      <c r="C36" s="6" t="s">
        <v>276</v>
      </c>
      <c r="D36" s="35">
        <v>25.024000000000001</v>
      </c>
      <c r="E36" s="35">
        <v>11.704000000000001</v>
      </c>
      <c r="F36" s="35">
        <v>11.839</v>
      </c>
      <c r="G36" s="35">
        <v>45.436</v>
      </c>
      <c r="H36" s="36">
        <v>0</v>
      </c>
      <c r="I36" s="36">
        <v>0</v>
      </c>
      <c r="J36" s="36">
        <v>0</v>
      </c>
      <c r="K36" s="36">
        <v>0</v>
      </c>
      <c r="L36" s="36">
        <v>0</v>
      </c>
    </row>
    <row r="37" spans="2:12" x14ac:dyDescent="0.35">
      <c r="B37" s="1" t="s">
        <v>24</v>
      </c>
      <c r="C37" s="6" t="s">
        <v>276</v>
      </c>
      <c r="D37" s="35">
        <v>0</v>
      </c>
      <c r="E37" s="35">
        <v>0</v>
      </c>
      <c r="F37" s="35">
        <v>0</v>
      </c>
      <c r="G37" s="35">
        <f>F16</f>
        <v>0</v>
      </c>
      <c r="H37" s="36">
        <v>0</v>
      </c>
      <c r="I37" s="36">
        <v>0</v>
      </c>
      <c r="J37" s="36">
        <v>0</v>
      </c>
      <c r="K37" s="36">
        <v>0</v>
      </c>
      <c r="L37" s="36">
        <v>0</v>
      </c>
    </row>
    <row r="38" spans="2:12" x14ac:dyDescent="0.35">
      <c r="B38" t="s">
        <v>275</v>
      </c>
      <c r="C38" s="6" t="s">
        <v>276</v>
      </c>
      <c r="D38" s="35">
        <f>D35+D36</f>
        <v>12049.735999999999</v>
      </c>
      <c r="E38" s="35">
        <f t="shared" ref="E38:G38" si="13">E35+E36</f>
        <v>12056.012999999999</v>
      </c>
      <c r="F38" s="35">
        <f t="shared" si="13"/>
        <v>12067.983</v>
      </c>
      <c r="G38" s="35">
        <f t="shared" si="13"/>
        <v>12109.102999999999</v>
      </c>
      <c r="H38" s="36">
        <v>12109.102999999999</v>
      </c>
      <c r="I38" s="36">
        <v>12109.102999999999</v>
      </c>
      <c r="J38" s="36">
        <v>12109.102999999999</v>
      </c>
      <c r="K38" s="36">
        <v>12109.102999999999</v>
      </c>
      <c r="L38" s="36">
        <v>12109.102999999999</v>
      </c>
    </row>
    <row r="39" spans="2:12" x14ac:dyDescent="0.35">
      <c r="C39" s="6"/>
    </row>
    <row r="40" spans="2:12" x14ac:dyDescent="0.35">
      <c r="C40" s="6"/>
    </row>
    <row r="41" spans="2:12" x14ac:dyDescent="0.35">
      <c r="B41" t="s">
        <v>277</v>
      </c>
      <c r="C41" s="6" t="s">
        <v>296</v>
      </c>
      <c r="D41" s="34">
        <f>Combined!D24/Basic!D35*cent</f>
        <v>5.7012176258358638</v>
      </c>
      <c r="E41" s="34">
        <f>Combined!E24/Basic!E35*cent</f>
        <v>6.271783628267924</v>
      </c>
      <c r="F41" s="34">
        <f>Combined!F24/Basic!F35*cent</f>
        <v>5.7116437892579919</v>
      </c>
      <c r="G41" s="34">
        <f>Combined!G24/Basic!G35*cent</f>
        <v>0.57396312414790585</v>
      </c>
      <c r="H41" s="34">
        <f>Combined!H24/Basic!H35*cent</f>
        <v>1.6359818595672668</v>
      </c>
      <c r="I41" s="34">
        <f>Combined!I24/Basic!I35*cent</f>
        <v>4.6122487090383331</v>
      </c>
      <c r="J41" s="34">
        <f>Combined!J24/Basic!J35*cent</f>
        <v>6.4493146437286137</v>
      </c>
      <c r="K41" s="34">
        <f>Combined!K24/Basic!K35*cent</f>
        <v>6.498615442359486</v>
      </c>
      <c r="L41" s="34">
        <f>Combined!L24/Basic!L35*cent</f>
        <v>6.4589069465789368</v>
      </c>
    </row>
    <row r="42" spans="2:12" x14ac:dyDescent="0.35">
      <c r="B42" t="s">
        <v>278</v>
      </c>
      <c r="C42" s="6" t="s">
        <v>296</v>
      </c>
      <c r="D42" s="34">
        <f>Combined!D24/Basic!D38*cent</f>
        <v>5.6893777589816095</v>
      </c>
      <c r="E42" s="34">
        <f>Combined!E24/Basic!E38*cent</f>
        <v>6.2656949689752324</v>
      </c>
      <c r="F42" s="34">
        <f>Combined!F24/Basic!F38*cent</f>
        <v>5.7060405206072966</v>
      </c>
      <c r="G42" s="34">
        <f>Combined!G24/Basic!G38*cent</f>
        <v>0.57180948910914331</v>
      </c>
      <c r="H42" s="34">
        <f>Combined!H24/Basic!H38*cent</f>
        <v>1.6298432982079905</v>
      </c>
      <c r="I42" s="34">
        <f>Combined!I24/Basic!I38*cent</f>
        <v>4.5949425442180436</v>
      </c>
      <c r="J42" s="34">
        <f>Combined!J24/Basic!J38*cent</f>
        <v>6.4251154061672144</v>
      </c>
      <c r="K42" s="34">
        <f>Combined!K24/Basic!K38*cent</f>
        <v>6.4742312174305994</v>
      </c>
      <c r="L42" s="34">
        <f>Combined!L24/Basic!L38*cent</f>
        <v>6.4346717166015583</v>
      </c>
    </row>
    <row r="43" spans="2:12" x14ac:dyDescent="0.35">
      <c r="C43" s="6"/>
    </row>
    <row r="44" spans="2:12" x14ac:dyDescent="0.35">
      <c r="B44" t="s">
        <v>294</v>
      </c>
      <c r="C44" s="6" t="s">
        <v>296</v>
      </c>
      <c r="D44" s="40">
        <f>-CF!D60/Basic!D35*cent</f>
        <v>3.0000801682402036</v>
      </c>
      <c r="E44" s="40">
        <f>-CF!E60/Basic!E35*cent</f>
        <v>3.5002008002285563</v>
      </c>
      <c r="F44" s="40">
        <f>-CF!F60/Basic!F35*cent</f>
        <v>3.5003148602073764</v>
      </c>
      <c r="G44" s="40">
        <f>-CF!G60/Basic!G35*cent</f>
        <v>2.5002347959372555</v>
      </c>
      <c r="H44" s="41">
        <v>2.5</v>
      </c>
      <c r="I44" s="41">
        <v>2.5</v>
      </c>
      <c r="J44" s="41">
        <v>3</v>
      </c>
      <c r="K44" s="41">
        <v>3</v>
      </c>
      <c r="L44" s="41">
        <v>3</v>
      </c>
    </row>
    <row r="45" spans="2:12" x14ac:dyDescent="0.35">
      <c r="B45" t="s">
        <v>295</v>
      </c>
      <c r="C45" s="6" t="s">
        <v>296</v>
      </c>
      <c r="D45" s="40">
        <f>-CF!D60/Basic!D38*cent</f>
        <v>2.9938498237637736</v>
      </c>
      <c r="E45" s="40">
        <f>-CF!E60/Basic!E38*cent</f>
        <v>3.4968027987361991</v>
      </c>
      <c r="F45" s="40">
        <f>-CF!F60/Basic!F38*cent</f>
        <v>3.4968809617978414</v>
      </c>
      <c r="G45" s="40">
        <f>-CF!G60/Basic!G38*cent</f>
        <v>2.4908533687425076</v>
      </c>
      <c r="H45" s="41">
        <v>2.5</v>
      </c>
      <c r="I45" s="41">
        <v>2.5</v>
      </c>
      <c r="J45" s="41">
        <v>3</v>
      </c>
      <c r="K45" s="41">
        <v>3</v>
      </c>
      <c r="L45" s="41">
        <v>3</v>
      </c>
    </row>
    <row r="46" spans="2:12" x14ac:dyDescent="0.35">
      <c r="C46" s="6"/>
    </row>
    <row r="47" spans="2:12" x14ac:dyDescent="0.35">
      <c r="C47" s="6"/>
    </row>
    <row r="48" spans="2:12" x14ac:dyDescent="0.35">
      <c r="C48" s="6"/>
    </row>
    <row r="49" spans="3:3" x14ac:dyDescent="0.35">
      <c r="C49" s="6"/>
    </row>
  </sheetData>
  <dataValidations count="1">
    <dataValidation type="list" allowBlank="1" showInputMessage="1" showErrorMessage="1" sqref="F7" xr:uid="{02F35AEA-2CCE-4E4C-B936-C98FE1BB8F60}">
      <formula1>$B$24:$B$26</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A6E0F-88BA-4539-AA76-59F67F018265}">
  <dimension ref="B2:L39"/>
  <sheetViews>
    <sheetView workbookViewId="0">
      <selection activeCell="H36" sqref="H36"/>
    </sheetView>
  </sheetViews>
  <sheetFormatPr defaultRowHeight="14.5" x14ac:dyDescent="0.35"/>
  <cols>
    <col min="2" max="2" width="21.36328125" bestFit="1" customWidth="1"/>
    <col min="3" max="3" width="9.08984375" style="6"/>
  </cols>
  <sheetData>
    <row r="2" spans="2:12" x14ac:dyDescent="0.35">
      <c r="B2" s="14" t="s">
        <v>18</v>
      </c>
      <c r="C2" s="15" t="s">
        <v>3</v>
      </c>
      <c r="D2" s="16">
        <f t="shared" ref="D2:E2" si="0">EOMONTH(E2,-12)</f>
        <v>43100</v>
      </c>
      <c r="E2" s="16">
        <f t="shared" si="0"/>
        <v>43465</v>
      </c>
      <c r="F2" s="16">
        <f>EOMONTH(G2,-12)</f>
        <v>43830</v>
      </c>
      <c r="G2" s="16">
        <f>Hist_Yr</f>
        <v>44196</v>
      </c>
      <c r="H2" s="16">
        <f>EOMONTH(G2,12)</f>
        <v>44561</v>
      </c>
      <c r="I2" s="16">
        <f t="shared" ref="I2:L2" si="1">EOMONTH(H2,12)</f>
        <v>44926</v>
      </c>
      <c r="J2" s="16">
        <f t="shared" si="1"/>
        <v>45291</v>
      </c>
      <c r="K2" s="16">
        <f t="shared" si="1"/>
        <v>45657</v>
      </c>
      <c r="L2" s="16">
        <f t="shared" si="1"/>
        <v>46022</v>
      </c>
    </row>
    <row r="3" spans="2:12" x14ac:dyDescent="0.35">
      <c r="D3" s="2"/>
      <c r="E3" s="2"/>
      <c r="F3" s="2"/>
      <c r="G3" s="2"/>
      <c r="H3" s="2"/>
      <c r="I3" s="2"/>
      <c r="J3" s="2"/>
      <c r="K3" s="2"/>
      <c r="L3" s="2"/>
    </row>
    <row r="4" spans="2:12" x14ac:dyDescent="0.35">
      <c r="B4" s="18" t="s">
        <v>21</v>
      </c>
      <c r="C4" s="6" t="s">
        <v>30</v>
      </c>
      <c r="D4" s="35">
        <v>1588.903</v>
      </c>
      <c r="E4" s="35">
        <v>1678.9870000000001</v>
      </c>
      <c r="F4" s="35">
        <v>1619.6669999999999</v>
      </c>
      <c r="G4" s="35">
        <v>700.81600000000003</v>
      </c>
      <c r="H4" s="35">
        <f>H29*H21</f>
        <v>838.2559500000001</v>
      </c>
      <c r="I4" s="35">
        <f t="shared" ref="I4:L4" si="2">I29*I21</f>
        <v>1343.2794219178081</v>
      </c>
      <c r="J4" s="35">
        <f t="shared" si="2"/>
        <v>1679.0992773972603</v>
      </c>
      <c r="K4" s="35">
        <f t="shared" si="2"/>
        <v>1679.0992773972603</v>
      </c>
      <c r="L4" s="35">
        <f t="shared" si="2"/>
        <v>1679.0992773972603</v>
      </c>
    </row>
    <row r="5" spans="2:12" x14ac:dyDescent="0.35">
      <c r="D5" s="35"/>
      <c r="E5" s="35"/>
      <c r="F5" s="35"/>
      <c r="G5" s="35"/>
      <c r="H5" s="35"/>
      <c r="I5" s="35"/>
      <c r="J5" s="35"/>
      <c r="K5" s="35"/>
      <c r="L5" s="35"/>
    </row>
    <row r="6" spans="2:12" x14ac:dyDescent="0.35">
      <c r="B6" s="17" t="s">
        <v>22</v>
      </c>
      <c r="C6" s="6" t="s">
        <v>30</v>
      </c>
      <c r="D6" s="35">
        <v>222.613</v>
      </c>
      <c r="E6" s="35">
        <v>225.09399999999999</v>
      </c>
      <c r="F6" s="35">
        <v>225.34800000000001</v>
      </c>
      <c r="G6" s="35">
        <v>112.879</v>
      </c>
      <c r="H6" s="35">
        <f>H31*H23</f>
        <v>117.89010000000002</v>
      </c>
      <c r="I6" s="35">
        <f t="shared" ref="I6:L6" si="3">I31*I23</f>
        <v>191.20512876712331</v>
      </c>
      <c r="J6" s="35">
        <f t="shared" si="3"/>
        <v>239.00641095890413</v>
      </c>
      <c r="K6" s="35">
        <f t="shared" si="3"/>
        <v>239.00641095890413</v>
      </c>
      <c r="L6" s="35">
        <f t="shared" si="3"/>
        <v>239.00641095890413</v>
      </c>
    </row>
    <row r="7" spans="2:12" x14ac:dyDescent="0.35">
      <c r="B7" s="1" t="s">
        <v>23</v>
      </c>
      <c r="C7" s="6" t="s">
        <v>30</v>
      </c>
      <c r="D7" s="35">
        <v>407.00799999999998</v>
      </c>
      <c r="E7" s="35">
        <v>446.14499999999998</v>
      </c>
      <c r="F7" s="35">
        <v>467.411</v>
      </c>
      <c r="G7" s="35">
        <v>104.53700000000001</v>
      </c>
      <c r="H7" s="35"/>
      <c r="I7" s="35"/>
      <c r="J7" s="35"/>
      <c r="K7" s="35"/>
      <c r="L7" s="35"/>
    </row>
    <row r="8" spans="2:12" x14ac:dyDescent="0.35">
      <c r="B8" s="1" t="s">
        <v>24</v>
      </c>
      <c r="C8" s="6" t="s">
        <v>30</v>
      </c>
      <c r="D8" s="35">
        <v>148.25200000000001</v>
      </c>
      <c r="E8" s="35">
        <v>162.99600000000001</v>
      </c>
      <c r="F8" s="35">
        <v>139.63</v>
      </c>
      <c r="G8" s="35">
        <v>67.102999999999994</v>
      </c>
      <c r="H8" s="35"/>
      <c r="I8" s="35"/>
      <c r="J8" s="35"/>
      <c r="K8" s="35"/>
      <c r="L8" s="35"/>
    </row>
    <row r="9" spans="2:12" x14ac:dyDescent="0.35">
      <c r="B9" t="s">
        <v>27</v>
      </c>
      <c r="C9" s="6" t="s">
        <v>30</v>
      </c>
      <c r="D9" s="35">
        <f t="shared" ref="D9:F9" si="4">SUM(D6:D8)</f>
        <v>777.87300000000005</v>
      </c>
      <c r="E9" s="35">
        <f t="shared" si="4"/>
        <v>834.23500000000001</v>
      </c>
      <c r="F9" s="35">
        <f t="shared" si="4"/>
        <v>832.38900000000001</v>
      </c>
      <c r="G9" s="35">
        <f>SUM(G6:G8)</f>
        <v>284.51900000000001</v>
      </c>
      <c r="H9" s="35"/>
      <c r="I9" s="35"/>
      <c r="J9" s="35"/>
      <c r="K9" s="35"/>
      <c r="L9" s="35"/>
    </row>
    <row r="10" spans="2:12" x14ac:dyDescent="0.35">
      <c r="D10" s="35"/>
      <c r="E10" s="35"/>
      <c r="F10" s="35"/>
      <c r="G10" s="35"/>
      <c r="H10" s="35"/>
      <c r="I10" s="35"/>
      <c r="J10" s="35"/>
      <c r="K10" s="35"/>
      <c r="L10" s="35"/>
    </row>
    <row r="11" spans="2:12" x14ac:dyDescent="0.35">
      <c r="B11" s="1" t="s">
        <v>25</v>
      </c>
      <c r="C11" s="6" t="s">
        <v>30</v>
      </c>
      <c r="D11" s="35"/>
      <c r="E11" s="35"/>
      <c r="F11" s="35">
        <v>27.495000000000001</v>
      </c>
      <c r="G11" s="35">
        <v>16.815999999999999</v>
      </c>
      <c r="H11" s="35"/>
      <c r="I11" s="35"/>
      <c r="J11" s="35"/>
      <c r="K11" s="35"/>
      <c r="L11" s="35"/>
    </row>
    <row r="12" spans="2:12" x14ac:dyDescent="0.35">
      <c r="B12" s="1" t="s">
        <v>26</v>
      </c>
      <c r="C12" s="6" t="s">
        <v>30</v>
      </c>
      <c r="D12" s="35"/>
      <c r="E12" s="35"/>
      <c r="F12" s="35">
        <v>0.78900000000000003</v>
      </c>
      <c r="G12" s="35">
        <v>61.597999999999999</v>
      </c>
      <c r="H12" s="35"/>
      <c r="I12" s="35"/>
      <c r="J12" s="35"/>
      <c r="K12" s="35"/>
      <c r="L12" s="35"/>
    </row>
    <row r="13" spans="2:12" x14ac:dyDescent="0.35">
      <c r="B13" t="s">
        <v>28</v>
      </c>
      <c r="C13" s="6" t="s">
        <v>30</v>
      </c>
      <c r="D13" s="35">
        <v>25.783000000000001</v>
      </c>
      <c r="E13" s="35">
        <v>26.013000000000002</v>
      </c>
      <c r="F13" s="35">
        <f>SUM(F11:F12)</f>
        <v>28.284000000000002</v>
      </c>
      <c r="G13" s="35">
        <f t="shared" ref="G13" si="5">SUM(G11:G12)</f>
        <v>78.414000000000001</v>
      </c>
      <c r="H13" s="35"/>
      <c r="I13" s="35"/>
      <c r="J13" s="35"/>
      <c r="K13" s="35"/>
      <c r="L13" s="35"/>
    </row>
    <row r="14" spans="2:12" x14ac:dyDescent="0.35">
      <c r="D14" s="35"/>
      <c r="E14" s="35"/>
      <c r="F14" s="35"/>
      <c r="G14" s="35"/>
      <c r="H14" s="35"/>
      <c r="I14" s="35"/>
      <c r="J14" s="35"/>
      <c r="K14" s="35"/>
      <c r="L14" s="35"/>
    </row>
    <row r="15" spans="2:12" x14ac:dyDescent="0.35">
      <c r="B15" s="17" t="s">
        <v>41</v>
      </c>
      <c r="C15" s="6" t="s">
        <v>30</v>
      </c>
      <c r="D15" s="35">
        <f>D7+D8+D13</f>
        <v>581.04300000000001</v>
      </c>
      <c r="E15" s="35">
        <f t="shared" ref="E15:G15" si="6">E7+E8+E13</f>
        <v>635.154</v>
      </c>
      <c r="F15" s="35">
        <f t="shared" si="6"/>
        <v>635.32499999999993</v>
      </c>
      <c r="G15" s="35">
        <f t="shared" si="6"/>
        <v>250.05399999999997</v>
      </c>
      <c r="H15" s="35">
        <f>H24*H32</f>
        <v>315.2364</v>
      </c>
      <c r="I15" s="35">
        <f t="shared" ref="I15:L15" si="7">I24*I32</f>
        <v>495.67393972602736</v>
      </c>
      <c r="J15" s="35">
        <f t="shared" si="7"/>
        <v>619.59242465753425</v>
      </c>
      <c r="K15" s="35">
        <f t="shared" si="7"/>
        <v>619.59242465753425</v>
      </c>
      <c r="L15" s="35">
        <f t="shared" si="7"/>
        <v>619.59242465753425</v>
      </c>
    </row>
    <row r="16" spans="2:12" x14ac:dyDescent="0.35">
      <c r="D16" s="35"/>
      <c r="E16" s="35"/>
      <c r="F16" s="35"/>
      <c r="G16" s="35"/>
      <c r="H16" s="35"/>
      <c r="I16" s="35"/>
      <c r="J16" s="35"/>
      <c r="K16" s="35"/>
      <c r="L16" s="35"/>
    </row>
    <row r="17" spans="2:12" x14ac:dyDescent="0.35">
      <c r="B17" s="11" t="s">
        <v>29</v>
      </c>
      <c r="C17" s="12" t="s">
        <v>30</v>
      </c>
      <c r="D17" s="46">
        <f>D13+D9+D4</f>
        <v>2392.5590000000002</v>
      </c>
      <c r="E17" s="46">
        <f t="shared" ref="E17" si="8">E13+E9+E4</f>
        <v>2539.2350000000001</v>
      </c>
      <c r="F17" s="46">
        <f>F13+F9+F4</f>
        <v>2480.34</v>
      </c>
      <c r="G17" s="46">
        <f>G13+G9+G4</f>
        <v>1063.749</v>
      </c>
      <c r="H17" s="46">
        <f>H4+H6+H15</f>
        <v>1271.3824500000001</v>
      </c>
      <c r="I17" s="46">
        <f t="shared" ref="I17:L17" si="9">I4+I6+I15</f>
        <v>2030.1584904109588</v>
      </c>
      <c r="J17" s="46">
        <f t="shared" si="9"/>
        <v>2537.6981130136987</v>
      </c>
      <c r="K17" s="46">
        <f t="shared" si="9"/>
        <v>2537.6981130136987</v>
      </c>
      <c r="L17" s="46">
        <f t="shared" si="9"/>
        <v>2537.6981130136987</v>
      </c>
    </row>
    <row r="19" spans="2:12" x14ac:dyDescent="0.35">
      <c r="B19" s="14" t="s">
        <v>34</v>
      </c>
      <c r="C19" s="15" t="s">
        <v>36</v>
      </c>
      <c r="D19" s="16">
        <f>D2</f>
        <v>43100</v>
      </c>
      <c r="E19" s="16">
        <f t="shared" ref="E19:L19" si="10">E2</f>
        <v>43465</v>
      </c>
      <c r="F19" s="16">
        <f t="shared" si="10"/>
        <v>43830</v>
      </c>
      <c r="G19" s="16">
        <f t="shared" si="10"/>
        <v>44196</v>
      </c>
      <c r="H19" s="16">
        <f t="shared" si="10"/>
        <v>44561</v>
      </c>
      <c r="I19" s="16">
        <f t="shared" si="10"/>
        <v>44926</v>
      </c>
      <c r="J19" s="16">
        <f t="shared" si="10"/>
        <v>45291</v>
      </c>
      <c r="K19" s="16">
        <f t="shared" si="10"/>
        <v>45657</v>
      </c>
      <c r="L19" s="16">
        <f t="shared" si="10"/>
        <v>46022</v>
      </c>
    </row>
    <row r="20" spans="2:12" x14ac:dyDescent="0.35">
      <c r="D20" s="2"/>
      <c r="E20" s="2"/>
      <c r="F20" s="2"/>
      <c r="G20" s="2"/>
      <c r="H20" s="2"/>
      <c r="I20" s="2"/>
      <c r="J20" s="2"/>
      <c r="K20" s="2"/>
      <c r="L20" s="2"/>
    </row>
    <row r="21" spans="2:12" x14ac:dyDescent="0.35">
      <c r="B21" t="s">
        <v>21</v>
      </c>
      <c r="C21" s="6" t="s">
        <v>36</v>
      </c>
      <c r="D21" s="35">
        <f>Basic!D29*Basic!D22</f>
        <v>15000</v>
      </c>
      <c r="E21" s="35">
        <f>Basic!E29*Basic!E22</f>
        <v>15000</v>
      </c>
      <c r="F21" s="35">
        <f>Basic!F29*Basic!F22</f>
        <v>15000</v>
      </c>
      <c r="G21" s="35">
        <f>Basic!G29*Basic!G22</f>
        <v>5983.6065573770493</v>
      </c>
      <c r="H21" s="35">
        <f>Basic!H29*Basic!H22</f>
        <v>9000</v>
      </c>
      <c r="I21" s="35">
        <f>Basic!I29*Basic!I22</f>
        <v>12000</v>
      </c>
      <c r="J21" s="35">
        <f>Basic!J29*Basic!J22</f>
        <v>15000</v>
      </c>
      <c r="K21" s="35">
        <f>Basic!K29*Basic!K22</f>
        <v>15000</v>
      </c>
      <c r="L21" s="35">
        <f>Basic!L29*Basic!L22</f>
        <v>15000</v>
      </c>
    </row>
    <row r="22" spans="2:12" x14ac:dyDescent="0.35">
      <c r="D22" s="35"/>
      <c r="E22" s="35"/>
      <c r="F22" s="35"/>
      <c r="G22" s="35"/>
      <c r="H22" s="35"/>
      <c r="I22" s="35"/>
      <c r="J22" s="35"/>
      <c r="K22" s="35"/>
      <c r="L22" s="35"/>
    </row>
    <row r="23" spans="2:12" x14ac:dyDescent="0.35">
      <c r="B23" t="s">
        <v>22</v>
      </c>
      <c r="C23" s="6" t="s">
        <v>36</v>
      </c>
      <c r="D23" s="35">
        <f>Basic!D30*Basic!D22</f>
        <v>152000</v>
      </c>
      <c r="E23" s="35">
        <f>Basic!E30*Basic!E22</f>
        <v>152000</v>
      </c>
      <c r="F23" s="35">
        <f>Basic!F30*Basic!F22</f>
        <v>152000</v>
      </c>
      <c r="G23" s="35">
        <f>Basic!G30*Basic!G22</f>
        <v>60633.879781420765</v>
      </c>
      <c r="H23" s="35">
        <f>Basic!H30*Basic!H22</f>
        <v>91200</v>
      </c>
      <c r="I23" s="35">
        <f>Basic!I30*Basic!I22</f>
        <v>121600</v>
      </c>
      <c r="J23" s="35">
        <f>Basic!J30*Basic!J22</f>
        <v>152000</v>
      </c>
      <c r="K23" s="35">
        <f>Basic!K30*Basic!K22</f>
        <v>152000</v>
      </c>
      <c r="L23" s="35">
        <f>Basic!L30*Basic!L22</f>
        <v>152000</v>
      </c>
    </row>
    <row r="24" spans="2:12" x14ac:dyDescent="0.35">
      <c r="B24" t="s">
        <v>32</v>
      </c>
      <c r="C24" s="6" t="s">
        <v>36</v>
      </c>
      <c r="D24" s="35">
        <f>Basic!D31*Basic!D22</f>
        <v>176000</v>
      </c>
      <c r="E24" s="35">
        <f>Basic!E31*Basic!E22</f>
        <v>176000</v>
      </c>
      <c r="F24" s="35">
        <f>Basic!F31*Basic!F22</f>
        <v>176000</v>
      </c>
      <c r="G24" s="35">
        <f>Basic!G31*Basic!G22</f>
        <v>70207.650273224048</v>
      </c>
      <c r="H24" s="35">
        <f>Basic!H31*Basic!H22</f>
        <v>105600</v>
      </c>
      <c r="I24" s="35">
        <f>Basic!I31*Basic!I22</f>
        <v>140800</v>
      </c>
      <c r="J24" s="35">
        <f>Basic!J31*Basic!J22</f>
        <v>176000</v>
      </c>
      <c r="K24" s="35">
        <f>Basic!K31*Basic!K22</f>
        <v>176000</v>
      </c>
      <c r="L24" s="35">
        <f>Basic!L31*Basic!L22</f>
        <v>176000</v>
      </c>
    </row>
    <row r="25" spans="2:12" x14ac:dyDescent="0.35">
      <c r="B25" t="s">
        <v>12</v>
      </c>
      <c r="C25" s="6" t="s">
        <v>36</v>
      </c>
      <c r="D25" s="35">
        <f>SUM(D21:D24)</f>
        <v>343000</v>
      </c>
      <c r="E25" s="35">
        <f t="shared" ref="E25:G25" si="11">SUM(E21:E24)</f>
        <v>343000</v>
      </c>
      <c r="F25" s="35">
        <f t="shared" si="11"/>
        <v>343000</v>
      </c>
      <c r="G25" s="35">
        <f t="shared" si="11"/>
        <v>136825.13661202186</v>
      </c>
      <c r="H25" s="35">
        <f t="shared" ref="H25" si="12">SUM(H21:H24)</f>
        <v>205800</v>
      </c>
      <c r="I25" s="35">
        <f t="shared" ref="I25" si="13">SUM(I21:I24)</f>
        <v>274400</v>
      </c>
      <c r="J25" s="35">
        <f t="shared" ref="J25" si="14">SUM(J21:J24)</f>
        <v>343000</v>
      </c>
      <c r="K25" s="35">
        <f t="shared" ref="K25" si="15">SUM(K21:K24)</f>
        <v>343000</v>
      </c>
      <c r="L25" s="35">
        <f t="shared" ref="L25" si="16">SUM(L21:L24)</f>
        <v>343000</v>
      </c>
    </row>
    <row r="27" spans="2:12" x14ac:dyDescent="0.35">
      <c r="B27" s="14" t="s">
        <v>33</v>
      </c>
      <c r="C27" s="15" t="s">
        <v>35</v>
      </c>
      <c r="D27" s="16">
        <f>D2</f>
        <v>43100</v>
      </c>
      <c r="E27" s="16">
        <f t="shared" ref="E27:L27" si="17">E2</f>
        <v>43465</v>
      </c>
      <c r="F27" s="16">
        <f t="shared" si="17"/>
        <v>43830</v>
      </c>
      <c r="G27" s="16">
        <f t="shared" si="17"/>
        <v>44196</v>
      </c>
      <c r="H27" s="16">
        <f t="shared" si="17"/>
        <v>44561</v>
      </c>
      <c r="I27" s="16">
        <f t="shared" si="17"/>
        <v>44926</v>
      </c>
      <c r="J27" s="16">
        <f t="shared" si="17"/>
        <v>45291</v>
      </c>
      <c r="K27" s="16">
        <f t="shared" si="17"/>
        <v>45657</v>
      </c>
      <c r="L27" s="16">
        <f t="shared" si="17"/>
        <v>46022</v>
      </c>
    </row>
    <row r="29" spans="2:12" x14ac:dyDescent="0.35">
      <c r="B29" t="s">
        <v>21</v>
      </c>
      <c r="C29" s="6" t="s">
        <v>35</v>
      </c>
      <c r="D29" s="48">
        <f>D4/Basic!D29</f>
        <v>0.10592686666666667</v>
      </c>
      <c r="E29" s="48">
        <f>E4/Basic!E29</f>
        <v>0.11193246666666667</v>
      </c>
      <c r="F29" s="48">
        <f>F4/Basic!F29</f>
        <v>0.1079778</v>
      </c>
      <c r="G29" s="48">
        <f>G4/Basic!G29</f>
        <v>4.6721066666666672E-2</v>
      </c>
      <c r="H29" s="49">
        <f>AVERAGE($D$29:$G$29)</f>
        <v>9.3139550000000015E-2</v>
      </c>
      <c r="I29" s="49">
        <v>0.11193995182648402</v>
      </c>
      <c r="J29" s="49">
        <v>0.11193995182648402</v>
      </c>
      <c r="K29" s="49">
        <v>0.11193995182648402</v>
      </c>
      <c r="L29" s="49">
        <v>0.11193995182648402</v>
      </c>
    </row>
    <row r="30" spans="2:12" x14ac:dyDescent="0.35">
      <c r="D30" s="48"/>
      <c r="E30" s="48"/>
      <c r="F30" s="48"/>
      <c r="G30" s="48"/>
      <c r="H30" s="48"/>
      <c r="I30" s="48"/>
      <c r="J30" s="48"/>
      <c r="K30" s="48"/>
      <c r="L30" s="48"/>
    </row>
    <row r="31" spans="2:12" x14ac:dyDescent="0.35">
      <c r="B31" t="s">
        <v>22</v>
      </c>
      <c r="C31" s="6" t="s">
        <v>35</v>
      </c>
      <c r="D31" s="48">
        <f>D6/Basic!D30</f>
        <v>1.4645592105263158E-3</v>
      </c>
      <c r="E31" s="48">
        <f>E6/Basic!E30</f>
        <v>1.4808815789473684E-3</v>
      </c>
      <c r="F31" s="48">
        <f>F6/Basic!F30</f>
        <v>1.4825526315789474E-3</v>
      </c>
      <c r="G31" s="48">
        <f>G6/Basic!G30</f>
        <v>7.4262500000000001E-4</v>
      </c>
      <c r="H31" s="49">
        <f>AVERAGE($D$31:$G$31)</f>
        <v>1.292654605263158E-3</v>
      </c>
      <c r="I31" s="49">
        <v>1.572410598413843E-3</v>
      </c>
      <c r="J31" s="49">
        <v>1.572410598413843E-3</v>
      </c>
      <c r="K31" s="49">
        <v>1.572410598413843E-3</v>
      </c>
      <c r="L31" s="49">
        <v>1.572410598413843E-3</v>
      </c>
    </row>
    <row r="32" spans="2:12" x14ac:dyDescent="0.35">
      <c r="B32" t="s">
        <v>32</v>
      </c>
      <c r="C32" s="6" t="s">
        <v>35</v>
      </c>
      <c r="D32" s="48">
        <f>D15/Basic!D31</f>
        <v>3.3013806818181818E-3</v>
      </c>
      <c r="E32" s="48">
        <f>E15/Basic!E31</f>
        <v>3.6088295454545453E-3</v>
      </c>
      <c r="F32" s="48">
        <f>F15/Basic!F31</f>
        <v>3.6098011363636358E-3</v>
      </c>
      <c r="G32" s="48">
        <f>G15/Basic!G31</f>
        <v>1.4207613636363634E-3</v>
      </c>
      <c r="H32" s="49">
        <f>AVERAGE($D$32:$G$32)</f>
        <v>2.9851931818181817E-3</v>
      </c>
      <c r="I32" s="49">
        <v>3.5204115037359898E-3</v>
      </c>
      <c r="J32" s="49">
        <v>3.5204115037359898E-3</v>
      </c>
      <c r="K32" s="49">
        <v>3.5204115037359898E-3</v>
      </c>
      <c r="L32" s="49">
        <v>3.5204115037359898E-3</v>
      </c>
    </row>
    <row r="33" spans="2:12" x14ac:dyDescent="0.35">
      <c r="B33" t="s">
        <v>12</v>
      </c>
      <c r="C33" s="6" t="s">
        <v>35</v>
      </c>
      <c r="D33" s="48">
        <f>SUM(D29:D32)</f>
        <v>0.11069280655901118</v>
      </c>
      <c r="E33" s="48">
        <f t="shared" ref="E33:G33" si="18">SUM(E29:E32)</f>
        <v>0.11702217779106859</v>
      </c>
      <c r="F33" s="48">
        <f t="shared" si="18"/>
        <v>0.11307015376794259</v>
      </c>
      <c r="G33" s="48">
        <f t="shared" si="18"/>
        <v>4.8884453030303032E-2</v>
      </c>
      <c r="H33" s="48">
        <f t="shared" ref="H33" si="19">SUM(H29:H32)</f>
        <v>9.7417397787081361E-2</v>
      </c>
      <c r="I33" s="48">
        <f t="shared" ref="I33" si="20">SUM(I29:I32)</f>
        <v>0.11703277392863384</v>
      </c>
      <c r="J33" s="48">
        <f t="shared" ref="J33" si="21">SUM(J29:J32)</f>
        <v>0.11703277392863384</v>
      </c>
      <c r="K33" s="48">
        <f t="shared" ref="K33" si="22">SUM(K29:K32)</f>
        <v>0.11703277392863384</v>
      </c>
      <c r="L33" s="48">
        <f t="shared" ref="L33" si="23">SUM(L29:L32)</f>
        <v>0.11703277392863384</v>
      </c>
    </row>
    <row r="34" spans="2:12" x14ac:dyDescent="0.35">
      <c r="D34" s="48"/>
      <c r="E34" s="48"/>
      <c r="F34" s="48"/>
      <c r="G34" s="48"/>
      <c r="H34" s="48"/>
      <c r="I34" s="48"/>
      <c r="J34" s="48"/>
      <c r="K34" s="48"/>
      <c r="L34" s="48"/>
    </row>
    <row r="35" spans="2:12" x14ac:dyDescent="0.35">
      <c r="B35" t="s">
        <v>146</v>
      </c>
      <c r="C35" s="6" t="s">
        <v>30</v>
      </c>
      <c r="D35" s="35">
        <v>1074.8499999999999</v>
      </c>
      <c r="E35" s="35">
        <v>1153.826</v>
      </c>
      <c r="F35" s="35">
        <v>1029.021</v>
      </c>
      <c r="G35" s="35">
        <v>231.85599999999999</v>
      </c>
      <c r="H35" s="35"/>
      <c r="I35" s="35"/>
      <c r="J35" s="35"/>
      <c r="K35" s="35"/>
      <c r="L35" s="35"/>
    </row>
    <row r="36" spans="2:12" x14ac:dyDescent="0.35">
      <c r="B36" s="3" t="s">
        <v>160</v>
      </c>
      <c r="C36" s="6" t="s">
        <v>30</v>
      </c>
      <c r="D36" s="35">
        <v>892.28899999999999</v>
      </c>
      <c r="E36" s="35">
        <v>975.19200000000001</v>
      </c>
      <c r="F36" s="35">
        <v>863.41399999999999</v>
      </c>
      <c r="G36" s="35">
        <v>115.779</v>
      </c>
      <c r="H36" s="35"/>
      <c r="I36" s="35"/>
      <c r="J36" s="35"/>
      <c r="K36" s="35"/>
      <c r="L36" s="35"/>
    </row>
    <row r="37" spans="2:12" x14ac:dyDescent="0.35">
      <c r="D37" s="35"/>
      <c r="E37" s="35"/>
      <c r="F37" s="35"/>
      <c r="G37" s="35"/>
      <c r="H37" s="35"/>
      <c r="I37" s="35"/>
      <c r="J37" s="35"/>
      <c r="K37" s="35"/>
      <c r="L37" s="35"/>
    </row>
    <row r="38" spans="2:12" x14ac:dyDescent="0.35">
      <c r="D38" s="35">
        <f>D35-D36</f>
        <v>182.56099999999992</v>
      </c>
      <c r="E38" s="35">
        <f t="shared" ref="E38:G38" si="24">E35-E36</f>
        <v>178.63400000000001</v>
      </c>
      <c r="F38" s="35">
        <f>F35-F36</f>
        <v>165.60699999999997</v>
      </c>
      <c r="G38" s="35">
        <f t="shared" si="24"/>
        <v>116.077</v>
      </c>
      <c r="H38" s="35"/>
      <c r="I38" s="35"/>
      <c r="J38" s="35"/>
      <c r="K38" s="35"/>
      <c r="L38" s="35"/>
    </row>
    <row r="39" spans="2:12" x14ac:dyDescent="0.35">
      <c r="D39" s="35">
        <f>D38+Combined!D16</f>
        <v>253.65499999999992</v>
      </c>
      <c r="E39" s="35">
        <f>E38+Combined!E16</f>
        <v>250.976</v>
      </c>
      <c r="F39" s="35">
        <f>F38+Combined!F16</f>
        <v>245.67999999999995</v>
      </c>
      <c r="G39" s="35">
        <f>G38+Combined!G16</f>
        <v>161.62299999999999</v>
      </c>
      <c r="H39" s="35"/>
      <c r="I39" s="35"/>
      <c r="J39" s="35"/>
      <c r="K39" s="35"/>
      <c r="L39"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01EF1-D2DB-4258-A217-14376FE3284E}">
  <dimension ref="B2:P184"/>
  <sheetViews>
    <sheetView topLeftCell="A100" workbookViewId="0">
      <selection activeCell="H103" sqref="H103"/>
    </sheetView>
  </sheetViews>
  <sheetFormatPr defaultRowHeight="14.5" x14ac:dyDescent="0.35"/>
  <cols>
    <col min="2" max="2" width="32.08984375" bestFit="1" customWidth="1"/>
    <col min="3" max="3" width="9.90625" style="6" bestFit="1" customWidth="1"/>
    <col min="4" max="4" width="9.6328125" bestFit="1" customWidth="1"/>
    <col min="6" max="6" width="11.6328125" bestFit="1" customWidth="1"/>
    <col min="7" max="7" width="11.7265625" bestFit="1" customWidth="1"/>
  </cols>
  <sheetData>
    <row r="2" spans="2:12" x14ac:dyDescent="0.35">
      <c r="B2" s="14" t="s">
        <v>19</v>
      </c>
      <c r="C2" s="15" t="s">
        <v>3</v>
      </c>
      <c r="D2" s="16">
        <f t="shared" ref="D2:E2" si="0">EOMONTH(E2,-12)</f>
        <v>43100</v>
      </c>
      <c r="E2" s="16">
        <f t="shared" si="0"/>
        <v>43465</v>
      </c>
      <c r="F2" s="16">
        <f>EOMONTH(G2,-12)</f>
        <v>43830</v>
      </c>
      <c r="G2" s="16">
        <f>Hist_Yr</f>
        <v>44196</v>
      </c>
      <c r="H2" s="16">
        <f>EOMONTH(G2,12)</f>
        <v>44561</v>
      </c>
      <c r="I2" s="16">
        <f t="shared" ref="I2:L2" si="1">EOMONTH(H2,12)</f>
        <v>44926</v>
      </c>
      <c r="J2" s="16">
        <f t="shared" si="1"/>
        <v>45291</v>
      </c>
      <c r="K2" s="16">
        <f t="shared" si="1"/>
        <v>45657</v>
      </c>
      <c r="L2" s="16">
        <f t="shared" si="1"/>
        <v>46022</v>
      </c>
    </row>
    <row r="4" spans="2:12" x14ac:dyDescent="0.35">
      <c r="B4" t="s">
        <v>45</v>
      </c>
      <c r="C4" s="6" t="s">
        <v>46</v>
      </c>
      <c r="D4">
        <v>9</v>
      </c>
      <c r="E4">
        <v>9.1</v>
      </c>
      <c r="F4">
        <v>9.1999999999999993</v>
      </c>
      <c r="G4">
        <v>7.5</v>
      </c>
      <c r="H4" s="4">
        <v>7.5</v>
      </c>
      <c r="I4" s="4">
        <v>7.5</v>
      </c>
      <c r="J4" s="4">
        <v>7.8</v>
      </c>
      <c r="K4" s="4">
        <v>7.9</v>
      </c>
      <c r="L4" s="4">
        <v>8</v>
      </c>
    </row>
    <row r="6" spans="2:12" x14ac:dyDescent="0.35">
      <c r="B6" s="1" t="s">
        <v>42</v>
      </c>
      <c r="C6" s="6" t="s">
        <v>30</v>
      </c>
      <c r="D6" s="35">
        <v>1317.7090000000001</v>
      </c>
      <c r="E6" s="35">
        <v>1385.4090000000001</v>
      </c>
      <c r="F6" s="35">
        <v>1451.319</v>
      </c>
      <c r="G6" s="35">
        <v>831.89300000000003</v>
      </c>
      <c r="H6" s="35">
        <f>H16+H12</f>
        <v>947.01160893927386</v>
      </c>
      <c r="I6" s="35">
        <f t="shared" ref="I6:L6" si="2">I16+I12</f>
        <v>1213.5303606570822</v>
      </c>
      <c r="J6" s="35">
        <f t="shared" si="2"/>
        <v>1403.9154419655981</v>
      </c>
      <c r="K6" s="35">
        <f t="shared" si="2"/>
        <v>1397.0176453613592</v>
      </c>
      <c r="L6" s="35">
        <f t="shared" si="2"/>
        <v>1402.7890919898828</v>
      </c>
    </row>
    <row r="7" spans="2:12" x14ac:dyDescent="0.35">
      <c r="B7" s="1" t="s">
        <v>63</v>
      </c>
      <c r="C7" s="6" t="s">
        <v>30</v>
      </c>
      <c r="D7" s="35">
        <f>D89</f>
        <v>253.655</v>
      </c>
      <c r="E7" s="35">
        <f>E89</f>
        <v>250.97600000000003</v>
      </c>
      <c r="F7" s="35">
        <f>F89</f>
        <v>245.67999999999998</v>
      </c>
      <c r="G7" s="35">
        <f>G89</f>
        <v>161.62299999999999</v>
      </c>
      <c r="H7" s="35">
        <f>H89</f>
        <v>138.5672601</v>
      </c>
      <c r="I7" s="35">
        <f t="shared" ref="I7:L7" si="3">I89</f>
        <v>201.8737962410959</v>
      </c>
      <c r="J7" s="35">
        <f t="shared" si="3"/>
        <v>252.91327170136989</v>
      </c>
      <c r="K7" s="35">
        <f t="shared" si="3"/>
        <v>252.91327170136989</v>
      </c>
      <c r="L7" s="35">
        <f t="shared" si="3"/>
        <v>252.91327170136989</v>
      </c>
    </row>
    <row r="8" spans="2:12" x14ac:dyDescent="0.35">
      <c r="B8" t="s">
        <v>136</v>
      </c>
      <c r="D8" s="35">
        <f>SUM(D6:D7)</f>
        <v>1571.364</v>
      </c>
      <c r="E8" s="35">
        <f t="shared" ref="E8:G8" si="4">SUM(E6:E7)</f>
        <v>1636.3850000000002</v>
      </c>
      <c r="F8" s="35">
        <f t="shared" si="4"/>
        <v>1696.999</v>
      </c>
      <c r="G8" s="35">
        <f t="shared" si="4"/>
        <v>993.51600000000008</v>
      </c>
      <c r="H8" s="35">
        <f>SUM(H6:H7)</f>
        <v>1085.5788690392737</v>
      </c>
      <c r="I8" s="35">
        <f t="shared" ref="I8:L8" si="5">SUM(I6:I7)</f>
        <v>1415.4041568981781</v>
      </c>
      <c r="J8" s="35">
        <f t="shared" si="5"/>
        <v>1656.828713666968</v>
      </c>
      <c r="K8" s="35">
        <f t="shared" si="5"/>
        <v>1649.9309170627291</v>
      </c>
      <c r="L8" s="35">
        <f t="shared" si="5"/>
        <v>1655.7023636912527</v>
      </c>
    </row>
    <row r="9" spans="2:12" x14ac:dyDescent="0.35">
      <c r="D9" s="35"/>
      <c r="E9" s="35"/>
      <c r="F9" s="35"/>
      <c r="G9" s="35"/>
      <c r="H9" s="35"/>
      <c r="I9" s="35"/>
      <c r="J9" s="35"/>
      <c r="K9" s="35"/>
      <c r="L9" s="35"/>
    </row>
    <row r="10" spans="2:12" x14ac:dyDescent="0.35">
      <c r="B10" s="3" t="s">
        <v>145</v>
      </c>
      <c r="C10"/>
      <c r="D10" s="35">
        <f>Revenue!D17-Revenue!D36</f>
        <v>1500.2700000000002</v>
      </c>
      <c r="E10" s="35">
        <f>Revenue!E17-Revenue!E36</f>
        <v>1564.0430000000001</v>
      </c>
      <c r="F10" s="35">
        <f>Revenue!F17-Revenue!F36</f>
        <v>1616.9260000000002</v>
      </c>
      <c r="G10" s="35">
        <f>Revenue!G17-Revenue!G36</f>
        <v>947.97</v>
      </c>
      <c r="H10" s="35"/>
      <c r="I10" s="35"/>
      <c r="J10" s="35"/>
      <c r="K10" s="35"/>
      <c r="L10" s="35"/>
    </row>
    <row r="11" spans="2:12" x14ac:dyDescent="0.35">
      <c r="B11" s="1"/>
      <c r="D11" s="35"/>
      <c r="E11" s="35"/>
      <c r="F11" s="35"/>
      <c r="G11" s="35"/>
      <c r="H11" s="35"/>
      <c r="I11" s="35"/>
      <c r="J11" s="35"/>
      <c r="K11" s="35"/>
      <c r="L11" s="35"/>
    </row>
    <row r="12" spans="2:12" x14ac:dyDescent="0.35">
      <c r="B12" s="1" t="s">
        <v>155</v>
      </c>
      <c r="D12" s="35">
        <f>IF(D14-D13&gt;0,D14-D13, "ERROR")</f>
        <v>366.12299999999999</v>
      </c>
      <c r="E12" s="35">
        <f t="shared" ref="E12:G12" si="6">IF(E14-E13&gt;0,E14-E13, "ERROR")</f>
        <v>398.46800000000007</v>
      </c>
      <c r="F12" s="35">
        <f t="shared" si="6"/>
        <v>402.98599999999988</v>
      </c>
      <c r="G12" s="35">
        <f t="shared" si="6"/>
        <v>252.83600000000001</v>
      </c>
      <c r="H12" s="35">
        <f>IF(H14-H13&gt;0,H14-H13,"ERROR")</f>
        <v>297.36961293927379</v>
      </c>
      <c r="I12" s="35">
        <f t="shared" ref="I12:L12" si="7">IF(I14-I13&gt;0,I14-I13,"ERROR")</f>
        <v>287.63640487626009</v>
      </c>
      <c r="J12" s="35">
        <f t="shared" si="7"/>
        <v>311.71374123957077</v>
      </c>
      <c r="K12" s="35">
        <f t="shared" si="7"/>
        <v>333.36726463533188</v>
      </c>
      <c r="L12" s="35">
        <f t="shared" si="7"/>
        <v>339.04691259718885</v>
      </c>
    </row>
    <row r="13" spans="2:12" x14ac:dyDescent="0.35">
      <c r="B13" s="1" t="s">
        <v>161</v>
      </c>
      <c r="D13" s="35">
        <f>D89-D56</f>
        <v>252.50200000000001</v>
      </c>
      <c r="E13" s="35">
        <f t="shared" ref="E13:F13" si="8">E89-E56</f>
        <v>249.86100000000002</v>
      </c>
      <c r="F13" s="35">
        <f t="shared" si="8"/>
        <v>244.18799999999999</v>
      </c>
      <c r="G13" s="35">
        <f>G89-G56</f>
        <v>160.21199999999999</v>
      </c>
      <c r="H13" s="35">
        <f>H7-H56</f>
        <v>137.16726009999999</v>
      </c>
      <c r="I13" s="35">
        <f t="shared" ref="I13:L13" si="9">I7-I56</f>
        <v>200.4737962410959</v>
      </c>
      <c r="J13" s="35">
        <f t="shared" si="9"/>
        <v>251.51327170136989</v>
      </c>
      <c r="K13" s="35">
        <f t="shared" si="9"/>
        <v>251.51327170136989</v>
      </c>
      <c r="L13" s="35">
        <f t="shared" si="9"/>
        <v>251.51327170136989</v>
      </c>
    </row>
    <row r="14" spans="2:12" x14ac:dyDescent="0.35">
      <c r="B14" s="3" t="s">
        <v>154</v>
      </c>
      <c r="D14" s="35">
        <f t="shared" ref="D14:F14" si="10">D45+D68+D73+D76+D81+D134</f>
        <v>618.625</v>
      </c>
      <c r="E14" s="35">
        <f t="shared" si="10"/>
        <v>648.32900000000006</v>
      </c>
      <c r="F14" s="35">
        <f t="shared" si="10"/>
        <v>647.17399999999986</v>
      </c>
      <c r="G14" s="35">
        <f>G45+G68+G73+G76+G81+G134</f>
        <v>413.048</v>
      </c>
      <c r="H14" s="35">
        <f t="shared" ref="H14:L14" si="11">H45+H68+H73+H76+H81+H134</f>
        <v>434.53687303927376</v>
      </c>
      <c r="I14" s="35">
        <f t="shared" si="11"/>
        <v>488.11020111735598</v>
      </c>
      <c r="J14" s="35">
        <f t="shared" si="11"/>
        <v>563.22701294094065</v>
      </c>
      <c r="K14" s="35">
        <f t="shared" si="11"/>
        <v>584.88053633670177</v>
      </c>
      <c r="L14" s="35">
        <f t="shared" si="11"/>
        <v>590.56018429855874</v>
      </c>
    </row>
    <row r="15" spans="2:12" x14ac:dyDescent="0.35">
      <c r="B15" s="3"/>
      <c r="D15" s="35"/>
      <c r="E15" s="35"/>
      <c r="F15" s="35"/>
      <c r="G15" s="35"/>
      <c r="H15" s="35"/>
      <c r="I15" s="35"/>
      <c r="J15" s="35"/>
      <c r="K15" s="35"/>
      <c r="L15" s="35"/>
    </row>
    <row r="16" spans="2:12" x14ac:dyDescent="0.35">
      <c r="B16" s="3" t="s">
        <v>156</v>
      </c>
      <c r="D16" s="35">
        <f>D6-D12</f>
        <v>951.58600000000001</v>
      </c>
      <c r="E16" s="35">
        <f t="shared" ref="E16:G16" si="12">E6-E12</f>
        <v>986.94100000000003</v>
      </c>
      <c r="F16" s="35">
        <f t="shared" si="12"/>
        <v>1048.3330000000001</v>
      </c>
      <c r="G16" s="35">
        <f t="shared" si="12"/>
        <v>579.05700000000002</v>
      </c>
      <c r="H16" s="35">
        <f>H17+H55+H59</f>
        <v>649.64199600000006</v>
      </c>
      <c r="I16" s="35">
        <f t="shared" ref="I16:L16" si="13">I17+I55+I59</f>
        <v>925.89395578082201</v>
      </c>
      <c r="J16" s="35">
        <f t="shared" si="13"/>
        <v>1092.2017007260274</v>
      </c>
      <c r="K16" s="35">
        <f t="shared" si="13"/>
        <v>1063.6503807260274</v>
      </c>
      <c r="L16" s="35">
        <f t="shared" si="13"/>
        <v>1063.742179392694</v>
      </c>
    </row>
    <row r="17" spans="2:12" x14ac:dyDescent="0.35">
      <c r="B17" s="3" t="s">
        <v>151</v>
      </c>
      <c r="D17" s="35">
        <f>D16-D55-D59</f>
        <v>669.827</v>
      </c>
      <c r="E17" s="35">
        <f t="shared" ref="E17:G17" si="14">E16-E55-E59</f>
        <v>672.5390000000001</v>
      </c>
      <c r="F17" s="35">
        <f t="shared" si="14"/>
        <v>660.02400000000011</v>
      </c>
      <c r="G17" s="35">
        <f t="shared" si="14"/>
        <v>278.05700000000002</v>
      </c>
      <c r="H17" s="35">
        <f>H18+H91</f>
        <v>347.63086800000002</v>
      </c>
      <c r="I17" s="35">
        <f t="shared" ref="I17:L17" si="15">I18+I91</f>
        <v>555.47097978082195</v>
      </c>
      <c r="J17" s="35">
        <f t="shared" si="15"/>
        <v>694.33872472602741</v>
      </c>
      <c r="K17" s="35">
        <f t="shared" si="15"/>
        <v>694.33872472602741</v>
      </c>
      <c r="L17" s="35">
        <f t="shared" si="15"/>
        <v>694.33872472602741</v>
      </c>
    </row>
    <row r="18" spans="2:12" x14ac:dyDescent="0.35">
      <c r="B18" s="3" t="s">
        <v>157</v>
      </c>
      <c r="D18" s="35">
        <f>D17-D91</f>
        <v>590.72199999999998</v>
      </c>
      <c r="E18" s="35">
        <f t="shared" ref="E18:G18" si="16">E17-E91</f>
        <v>590.25300000000016</v>
      </c>
      <c r="F18" s="35">
        <f t="shared" si="16"/>
        <v>588.87200000000007</v>
      </c>
      <c r="G18" s="35">
        <f t="shared" si="16"/>
        <v>242.97000000000003</v>
      </c>
      <c r="H18" s="35">
        <f>H19+H70</f>
        <v>307.78323</v>
      </c>
      <c r="I18" s="35">
        <f t="shared" ref="I18:L18" si="17">I19+I70</f>
        <v>492.27810547945205</v>
      </c>
      <c r="J18" s="35">
        <f t="shared" si="17"/>
        <v>615.34763184931512</v>
      </c>
      <c r="K18" s="35">
        <f t="shared" si="17"/>
        <v>615.34763184931512</v>
      </c>
      <c r="L18" s="35">
        <f t="shared" si="17"/>
        <v>615.34763184931512</v>
      </c>
    </row>
    <row r="19" spans="2:12" x14ac:dyDescent="0.35">
      <c r="B19" s="3" t="s">
        <v>158</v>
      </c>
      <c r="D19" s="35">
        <f>D18-D70</f>
        <v>306.25099999999998</v>
      </c>
      <c r="E19" s="35">
        <f t="shared" ref="E19:G19" si="18">E18-E70</f>
        <v>292.40700000000015</v>
      </c>
      <c r="F19" s="35">
        <f t="shared" si="18"/>
        <v>306.23200000000008</v>
      </c>
      <c r="G19" s="35">
        <f t="shared" si="18"/>
        <v>113.30500000000004</v>
      </c>
      <c r="H19" s="35">
        <f>H20*Revenue!H17</f>
        <v>165.2797185</v>
      </c>
      <c r="I19" s="35">
        <f>I20*Revenue!I17</f>
        <v>263.92060375342464</v>
      </c>
      <c r="J19" s="35">
        <f>J20*Revenue!J17</f>
        <v>329.90075469178083</v>
      </c>
      <c r="K19" s="35">
        <f>K20*Revenue!K17</f>
        <v>329.90075469178083</v>
      </c>
      <c r="L19" s="35">
        <f>L20*Revenue!L17</f>
        <v>329.90075469178083</v>
      </c>
    </row>
    <row r="20" spans="2:12" x14ac:dyDescent="0.35">
      <c r="B20" s="1" t="s">
        <v>77</v>
      </c>
      <c r="D20" s="19">
        <f>D19/Revenue!D17</f>
        <v>0.12800144113478495</v>
      </c>
      <c r="E20" s="19">
        <f>E19/Revenue!E17</f>
        <v>0.11515554881686813</v>
      </c>
      <c r="F20" s="19">
        <f>F19/Revenue!F17</f>
        <v>0.12346371868372887</v>
      </c>
      <c r="G20" s="19">
        <f>G19/Revenue!G17</f>
        <v>0.10651478873305642</v>
      </c>
      <c r="H20" s="9">
        <v>0.13</v>
      </c>
      <c r="I20" s="9">
        <v>0.13</v>
      </c>
      <c r="J20" s="9">
        <v>0.13</v>
      </c>
      <c r="K20" s="9">
        <v>0.13</v>
      </c>
      <c r="L20" s="9">
        <v>0.13</v>
      </c>
    </row>
    <row r="22" spans="2:12" x14ac:dyDescent="0.35">
      <c r="B22" s="14" t="s">
        <v>61</v>
      </c>
      <c r="C22" s="15" t="s">
        <v>3</v>
      </c>
      <c r="D22" s="16">
        <f t="shared" ref="D22:L22" si="19">D2</f>
        <v>43100</v>
      </c>
      <c r="E22" s="16">
        <f t="shared" si="19"/>
        <v>43465</v>
      </c>
      <c r="F22" s="16">
        <f t="shared" si="19"/>
        <v>43830</v>
      </c>
      <c r="G22" s="16">
        <f t="shared" si="19"/>
        <v>44196</v>
      </c>
      <c r="H22" s="16">
        <f t="shared" si="19"/>
        <v>44561</v>
      </c>
      <c r="I22" s="16">
        <f t="shared" si="19"/>
        <v>44926</v>
      </c>
      <c r="J22" s="16">
        <f t="shared" si="19"/>
        <v>45291</v>
      </c>
      <c r="K22" s="16">
        <f t="shared" si="19"/>
        <v>45657</v>
      </c>
      <c r="L22" s="16">
        <f t="shared" si="19"/>
        <v>46022</v>
      </c>
    </row>
    <row r="24" spans="2:12" x14ac:dyDescent="0.35">
      <c r="B24" s="1" t="s">
        <v>43</v>
      </c>
      <c r="C24" s="6" t="s">
        <v>30</v>
      </c>
      <c r="D24" s="35">
        <v>3.7</v>
      </c>
      <c r="E24" s="35">
        <v>5.6509999999999998</v>
      </c>
      <c r="F24" s="35">
        <v>6.8550000000000004</v>
      </c>
      <c r="G24" s="35">
        <v>1.9510000000000001</v>
      </c>
      <c r="H24" s="35"/>
      <c r="I24" s="35"/>
      <c r="J24" s="35"/>
      <c r="K24" s="35"/>
      <c r="L24" s="35"/>
    </row>
    <row r="25" spans="2:12" x14ac:dyDescent="0.35">
      <c r="B25" s="1" t="s">
        <v>44</v>
      </c>
      <c r="C25" s="6" t="s">
        <v>30</v>
      </c>
      <c r="D25" s="35">
        <v>44.616999999999997</v>
      </c>
      <c r="E25" s="35">
        <v>46.353999999999999</v>
      </c>
      <c r="F25" s="35">
        <v>42.872</v>
      </c>
      <c r="G25" s="35">
        <v>33.308</v>
      </c>
      <c r="H25" s="35"/>
      <c r="I25" s="35"/>
      <c r="J25" s="35"/>
      <c r="K25" s="35"/>
      <c r="L25" s="35"/>
    </row>
    <row r="26" spans="2:12" x14ac:dyDescent="0.35">
      <c r="B26" s="1" t="s">
        <v>49</v>
      </c>
      <c r="C26" s="6" t="s">
        <v>30</v>
      </c>
      <c r="D26" s="35">
        <v>0.02</v>
      </c>
      <c r="E26" s="35">
        <v>5.8000000000000003E-2</v>
      </c>
      <c r="F26" s="35">
        <v>-0.156</v>
      </c>
      <c r="G26" s="35">
        <v>-5.8999999999999997E-2</v>
      </c>
      <c r="H26" s="35"/>
      <c r="I26" s="35"/>
      <c r="J26" s="35"/>
      <c r="K26" s="35"/>
      <c r="L26" s="35"/>
    </row>
    <row r="27" spans="2:12" x14ac:dyDescent="0.35">
      <c r="B27" s="1" t="s">
        <v>47</v>
      </c>
      <c r="C27" s="6" t="s">
        <v>30</v>
      </c>
      <c r="D27" s="35">
        <v>441.31700000000001</v>
      </c>
      <c r="E27" s="35">
        <v>456.67200000000003</v>
      </c>
      <c r="F27" s="35">
        <v>448.10300000000001</v>
      </c>
      <c r="G27" s="35">
        <v>264.91300000000001</v>
      </c>
      <c r="H27" s="35"/>
      <c r="I27" s="35"/>
      <c r="J27" s="35"/>
      <c r="K27" s="35"/>
      <c r="L27" s="35"/>
    </row>
    <row r="28" spans="2:12" x14ac:dyDescent="0.35">
      <c r="B28" t="s">
        <v>50</v>
      </c>
      <c r="C28" s="6" t="s">
        <v>30</v>
      </c>
      <c r="D28" s="35">
        <f>SUM(D24:D27)</f>
        <v>489.654</v>
      </c>
      <c r="E28" s="35">
        <f>SUM(E24:E27)</f>
        <v>508.73500000000001</v>
      </c>
      <c r="F28" s="35">
        <f>SUM(F24:F27)</f>
        <v>497.67400000000004</v>
      </c>
      <c r="G28" s="35">
        <f>SUM(G24:G27)</f>
        <v>300.113</v>
      </c>
      <c r="H28" s="35"/>
      <c r="I28" s="35"/>
      <c r="J28" s="35"/>
      <c r="K28" s="35"/>
      <c r="L28" s="35"/>
    </row>
    <row r="29" spans="2:12" x14ac:dyDescent="0.35">
      <c r="D29" s="35"/>
      <c r="E29" s="35"/>
      <c r="F29" s="35"/>
      <c r="G29" s="35"/>
      <c r="H29" s="35"/>
      <c r="I29" s="35"/>
      <c r="J29" s="35"/>
      <c r="K29" s="35"/>
      <c r="L29" s="35"/>
    </row>
    <row r="30" spans="2:12" x14ac:dyDescent="0.35">
      <c r="B30" s="1" t="s">
        <v>43</v>
      </c>
      <c r="C30" s="6" t="s">
        <v>30</v>
      </c>
      <c r="D30" s="35">
        <v>0.375</v>
      </c>
      <c r="E30" s="35">
        <v>0.56000000000000005</v>
      </c>
      <c r="F30" s="35">
        <v>0.53500000000000003</v>
      </c>
      <c r="G30" s="35">
        <v>0.55000000000000004</v>
      </c>
      <c r="H30" s="35"/>
      <c r="I30" s="35"/>
      <c r="J30" s="35"/>
      <c r="K30" s="35"/>
      <c r="L30" s="35"/>
    </row>
    <row r="31" spans="2:12" x14ac:dyDescent="0.35">
      <c r="B31" s="1" t="s">
        <v>51</v>
      </c>
      <c r="C31" s="6" t="s">
        <v>30</v>
      </c>
      <c r="D31" s="35">
        <v>1.222</v>
      </c>
      <c r="E31" s="35">
        <v>1.425</v>
      </c>
      <c r="F31" s="35">
        <v>1.38</v>
      </c>
      <c r="G31" s="35">
        <v>1.1859999999999999</v>
      </c>
      <c r="H31" s="35"/>
      <c r="I31" s="35"/>
      <c r="J31" s="35"/>
      <c r="K31" s="35"/>
      <c r="L31" s="35"/>
    </row>
    <row r="32" spans="2:12" x14ac:dyDescent="0.35">
      <c r="B32" t="s">
        <v>52</v>
      </c>
      <c r="C32" s="6" t="s">
        <v>30</v>
      </c>
      <c r="D32" s="35">
        <f>SUM(D30:D31)</f>
        <v>1.597</v>
      </c>
      <c r="E32" s="35">
        <f t="shared" ref="E32:G32" si="20">SUM(E30:E31)</f>
        <v>1.9850000000000001</v>
      </c>
      <c r="F32" s="35">
        <f t="shared" si="20"/>
        <v>1.915</v>
      </c>
      <c r="G32" s="35">
        <f t="shared" si="20"/>
        <v>1.736</v>
      </c>
      <c r="H32" s="35"/>
      <c r="I32" s="35"/>
      <c r="J32" s="35"/>
      <c r="K32" s="35"/>
      <c r="L32" s="35"/>
    </row>
    <row r="33" spans="2:12" x14ac:dyDescent="0.35">
      <c r="D33" s="35"/>
      <c r="E33" s="35"/>
      <c r="F33" s="35"/>
      <c r="G33" s="35"/>
      <c r="H33" s="35"/>
      <c r="I33" s="35"/>
      <c r="J33" s="35"/>
      <c r="K33" s="35"/>
      <c r="L33" s="35"/>
    </row>
    <row r="34" spans="2:12" x14ac:dyDescent="0.35">
      <c r="B34" s="1" t="s">
        <v>43</v>
      </c>
      <c r="C34" s="6" t="s">
        <v>30</v>
      </c>
      <c r="D34" s="35">
        <v>6.69</v>
      </c>
      <c r="E34" s="35">
        <v>2.9950000000000001</v>
      </c>
      <c r="F34" s="35">
        <v>2.14</v>
      </c>
      <c r="G34" s="35">
        <v>8.6300000000000008</v>
      </c>
      <c r="H34" s="35"/>
      <c r="I34" s="35"/>
      <c r="J34" s="35"/>
      <c r="K34" s="35"/>
      <c r="L34" s="35"/>
    </row>
    <row r="35" spans="2:12" x14ac:dyDescent="0.35">
      <c r="B35" s="1" t="s">
        <v>44</v>
      </c>
      <c r="C35" s="6" t="s">
        <v>30</v>
      </c>
      <c r="D35" s="35">
        <v>0.20300000000000001</v>
      </c>
      <c r="E35" s="35">
        <v>2.9000000000000001E-2</v>
      </c>
      <c r="F35" s="35">
        <v>2.9000000000000001E-2</v>
      </c>
      <c r="G35" s="35">
        <v>3.5000000000000003E-2</v>
      </c>
      <c r="H35" s="35"/>
      <c r="I35" s="35"/>
      <c r="J35" s="35"/>
      <c r="K35" s="35"/>
      <c r="L35" s="35"/>
    </row>
    <row r="36" spans="2:12" x14ac:dyDescent="0.35">
      <c r="B36" s="1" t="s">
        <v>51</v>
      </c>
      <c r="C36" s="6" t="s">
        <v>30</v>
      </c>
      <c r="D36" s="35">
        <v>0.84</v>
      </c>
      <c r="E36" s="35">
        <v>7.4999999999999997E-2</v>
      </c>
      <c r="F36" s="35">
        <v>6.6000000000000003E-2</v>
      </c>
      <c r="G36" s="35">
        <v>4.9000000000000002E-2</v>
      </c>
      <c r="H36" s="35"/>
      <c r="I36" s="35"/>
      <c r="J36" s="35"/>
      <c r="K36" s="35"/>
      <c r="L36" s="35"/>
    </row>
    <row r="37" spans="2:12" x14ac:dyDescent="0.35">
      <c r="B37" s="1" t="s">
        <v>47</v>
      </c>
      <c r="C37" s="6" t="s">
        <v>30</v>
      </c>
      <c r="D37" s="35">
        <v>14.692</v>
      </c>
      <c r="E37" s="35">
        <v>15.714</v>
      </c>
      <c r="F37" s="35">
        <v>16.155999999999999</v>
      </c>
      <c r="G37" s="35">
        <v>24.436</v>
      </c>
      <c r="H37" s="35"/>
      <c r="I37" s="35"/>
      <c r="J37" s="35"/>
      <c r="K37" s="35"/>
      <c r="L37" s="35"/>
    </row>
    <row r="38" spans="2:12" x14ac:dyDescent="0.35">
      <c r="B38" s="3" t="s">
        <v>53</v>
      </c>
      <c r="C38" s="6" t="s">
        <v>30</v>
      </c>
      <c r="D38" s="35">
        <f>SUM(D34:D37)</f>
        <v>22.425000000000001</v>
      </c>
      <c r="E38" s="35">
        <f t="shared" ref="E38:G38" si="21">SUM(E34:E37)</f>
        <v>18.813000000000002</v>
      </c>
      <c r="F38" s="35">
        <f t="shared" si="21"/>
        <v>18.390999999999998</v>
      </c>
      <c r="G38" s="35">
        <f t="shared" si="21"/>
        <v>33.15</v>
      </c>
      <c r="H38" s="35"/>
      <c r="I38" s="35"/>
      <c r="J38" s="35"/>
      <c r="K38" s="35"/>
      <c r="L38" s="35"/>
    </row>
    <row r="39" spans="2:12" x14ac:dyDescent="0.35">
      <c r="D39" s="35"/>
      <c r="E39" s="35"/>
      <c r="F39" s="35"/>
      <c r="G39" s="35"/>
      <c r="H39" s="35"/>
      <c r="I39" s="35"/>
      <c r="J39" s="35"/>
      <c r="K39" s="35"/>
      <c r="L39" s="35"/>
    </row>
    <row r="40" spans="2:12" x14ac:dyDescent="0.35">
      <c r="B40" s="1" t="s">
        <v>54</v>
      </c>
      <c r="C40" s="6" t="s">
        <v>30</v>
      </c>
      <c r="D40" s="35">
        <f>D34+D30+D24</f>
        <v>10.765000000000001</v>
      </c>
      <c r="E40" s="35">
        <f>E34+E30+E24</f>
        <v>9.2059999999999995</v>
      </c>
      <c r="F40" s="35">
        <f>F34+F30+F24</f>
        <v>9.5300000000000011</v>
      </c>
      <c r="G40" s="35">
        <f>G34+G30+G24</f>
        <v>11.131000000000002</v>
      </c>
      <c r="H40" s="35">
        <f>H51*Revenue!H17</f>
        <v>7.6282947000000005</v>
      </c>
      <c r="I40" s="35">
        <f>I51*Revenue!I17</f>
        <v>10.150792452054795</v>
      </c>
      <c r="J40" s="35">
        <f>J51*Revenue!J17</f>
        <v>10.150792452054795</v>
      </c>
      <c r="K40" s="35">
        <f>K51*Revenue!K17</f>
        <v>9.6432528294520559</v>
      </c>
      <c r="L40" s="35">
        <f>L51*Revenue!L17</f>
        <v>9.6432528294520559</v>
      </c>
    </row>
    <row r="41" spans="2:12" x14ac:dyDescent="0.35">
      <c r="B41" s="1" t="s">
        <v>55</v>
      </c>
      <c r="C41" s="6" t="s">
        <v>30</v>
      </c>
      <c r="D41" s="35">
        <f t="shared" ref="D41:F41" si="22">D37+D27</f>
        <v>456.00900000000001</v>
      </c>
      <c r="E41" s="35">
        <f t="shared" si="22"/>
        <v>472.38600000000002</v>
      </c>
      <c r="F41" s="35">
        <f t="shared" si="22"/>
        <v>464.25900000000001</v>
      </c>
      <c r="G41" s="35">
        <f>G37+G27</f>
        <v>289.34899999999999</v>
      </c>
      <c r="H41" s="35">
        <f>H48*H4</f>
        <v>315</v>
      </c>
      <c r="I41" s="35">
        <f>I48*I4</f>
        <v>337.5</v>
      </c>
      <c r="J41" s="35">
        <f>J48*J4</f>
        <v>390</v>
      </c>
      <c r="K41" s="35">
        <f>K48*K4</f>
        <v>410.8</v>
      </c>
      <c r="L41" s="35">
        <f>L48*L4</f>
        <v>416</v>
      </c>
    </row>
    <row r="42" spans="2:12" x14ac:dyDescent="0.35">
      <c r="B42" s="1" t="s">
        <v>56</v>
      </c>
      <c r="C42" s="6" t="s">
        <v>30</v>
      </c>
      <c r="D42" s="35">
        <f t="shared" ref="D42:F42" si="23">D36+D31</f>
        <v>2.0619999999999998</v>
      </c>
      <c r="E42" s="35">
        <f t="shared" si="23"/>
        <v>1.5</v>
      </c>
      <c r="F42" s="35">
        <f t="shared" si="23"/>
        <v>1.446</v>
      </c>
      <c r="G42" s="35">
        <f>G36+G31</f>
        <v>1.2349999999999999</v>
      </c>
      <c r="H42" s="36">
        <v>1.2</v>
      </c>
      <c r="I42" s="36">
        <v>1.2</v>
      </c>
      <c r="J42" s="36">
        <v>1.2</v>
      </c>
      <c r="K42" s="36">
        <v>1.1000000000000001</v>
      </c>
      <c r="L42" s="36">
        <v>1.1000000000000001</v>
      </c>
    </row>
    <row r="43" spans="2:12" x14ac:dyDescent="0.35">
      <c r="B43" s="1" t="s">
        <v>57</v>
      </c>
      <c r="C43" s="6" t="s">
        <v>30</v>
      </c>
      <c r="D43" s="35">
        <f>D25+D35</f>
        <v>44.82</v>
      </c>
      <c r="E43" s="35">
        <f>E25+E35</f>
        <v>46.383000000000003</v>
      </c>
      <c r="F43" s="35">
        <f>F25+F35</f>
        <v>42.901000000000003</v>
      </c>
      <c r="G43" s="35">
        <f>G25+G35</f>
        <v>33.342999999999996</v>
      </c>
      <c r="H43" s="35">
        <f>H49*H4</f>
        <v>35.973597139273778</v>
      </c>
      <c r="I43" s="35">
        <f>I49*I4</f>
        <v>35.973597139273778</v>
      </c>
      <c r="J43" s="35">
        <f>J49*J4</f>
        <v>37.412541024844728</v>
      </c>
      <c r="K43" s="35">
        <f>K49*K4</f>
        <v>37.892188986701711</v>
      </c>
      <c r="L43" s="35">
        <f>L49*L4</f>
        <v>38.371836948558695</v>
      </c>
    </row>
    <row r="44" spans="2:12" x14ac:dyDescent="0.35">
      <c r="B44" s="1" t="s">
        <v>150</v>
      </c>
      <c r="C44" s="6" t="s">
        <v>30</v>
      </c>
      <c r="D44" s="35">
        <f t="shared" ref="D44:F44" si="24">D26</f>
        <v>0.02</v>
      </c>
      <c r="E44" s="35">
        <f t="shared" si="24"/>
        <v>5.8000000000000003E-2</v>
      </c>
      <c r="F44" s="35">
        <f t="shared" si="24"/>
        <v>-0.156</v>
      </c>
      <c r="G44" s="35">
        <f>G26</f>
        <v>-5.8999999999999997E-2</v>
      </c>
      <c r="H44" s="36">
        <v>0</v>
      </c>
      <c r="I44" s="36">
        <v>0</v>
      </c>
      <c r="J44" s="36">
        <v>0</v>
      </c>
      <c r="K44" s="36">
        <v>0</v>
      </c>
      <c r="L44" s="36">
        <v>0</v>
      </c>
    </row>
    <row r="45" spans="2:12" x14ac:dyDescent="0.35">
      <c r="B45" s="3" t="s">
        <v>48</v>
      </c>
      <c r="C45" s="6" t="s">
        <v>30</v>
      </c>
      <c r="D45" s="35">
        <f t="shared" ref="D45:E45" si="25">SUM(D40:D44)</f>
        <v>513.67600000000004</v>
      </c>
      <c r="E45" s="35">
        <f t="shared" si="25"/>
        <v>529.53300000000002</v>
      </c>
      <c r="F45" s="35">
        <f>SUM(F40:F44)</f>
        <v>517.98</v>
      </c>
      <c r="G45" s="35">
        <f>SUM(G40:G44)</f>
        <v>334.99900000000002</v>
      </c>
      <c r="H45" s="35">
        <f>SUM(H40:H43)</f>
        <v>359.80189183927382</v>
      </c>
      <c r="I45" s="35">
        <f>SUM(I40:I43)</f>
        <v>384.82438959132855</v>
      </c>
      <c r="J45" s="35">
        <f>SUM(J40:J43)</f>
        <v>438.76333347689956</v>
      </c>
      <c r="K45" s="35">
        <f>SUM(K40:K43)</f>
        <v>459.4354418161538</v>
      </c>
      <c r="L45" s="35">
        <f>SUM(L40:L43)</f>
        <v>465.11508977801077</v>
      </c>
    </row>
    <row r="46" spans="2:12" x14ac:dyDescent="0.35">
      <c r="D46" s="35"/>
      <c r="E46" s="35"/>
      <c r="F46" s="35"/>
      <c r="G46" s="35"/>
      <c r="H46" s="35"/>
      <c r="I46" s="35"/>
      <c r="J46" s="35"/>
      <c r="K46" s="35"/>
      <c r="L46" s="35"/>
    </row>
    <row r="47" spans="2:12" x14ac:dyDescent="0.35">
      <c r="B47" s="3" t="s">
        <v>59</v>
      </c>
      <c r="D47" s="35"/>
      <c r="E47" s="35"/>
      <c r="F47" s="35"/>
      <c r="G47" s="35"/>
      <c r="H47" s="35"/>
      <c r="I47" s="35"/>
      <c r="J47" s="35"/>
      <c r="K47" s="35"/>
      <c r="L47" s="35"/>
    </row>
    <row r="48" spans="2:12" x14ac:dyDescent="0.35">
      <c r="B48" s="1" t="s">
        <v>58</v>
      </c>
      <c r="C48" s="6" t="s">
        <v>30</v>
      </c>
      <c r="D48" s="35">
        <f>D41/D4</f>
        <v>50.667666666666669</v>
      </c>
      <c r="E48" s="35">
        <f>E41/E4</f>
        <v>51.910549450549453</v>
      </c>
      <c r="F48" s="35">
        <f>F41/F4</f>
        <v>50.462934782608698</v>
      </c>
      <c r="G48" s="35">
        <f>G41/G4</f>
        <v>38.579866666666668</v>
      </c>
      <c r="H48" s="36">
        <v>42</v>
      </c>
      <c r="I48" s="36">
        <v>45</v>
      </c>
      <c r="J48" s="36">
        <v>50</v>
      </c>
      <c r="K48" s="36">
        <v>52</v>
      </c>
      <c r="L48" s="36">
        <v>52</v>
      </c>
    </row>
    <row r="49" spans="2:12" x14ac:dyDescent="0.35">
      <c r="B49" s="1" t="s">
        <v>44</v>
      </c>
      <c r="C49" s="6" t="s">
        <v>30</v>
      </c>
      <c r="D49" s="35">
        <f>D43/D4</f>
        <v>4.9800000000000004</v>
      </c>
      <c r="E49" s="35">
        <f>E43/E4</f>
        <v>5.0970329670329679</v>
      </c>
      <c r="F49" s="35">
        <f>F43/F4</f>
        <v>4.6631521739130442</v>
      </c>
      <c r="G49" s="35">
        <f>G43/G4</f>
        <v>4.4457333333333331</v>
      </c>
      <c r="H49" s="36">
        <f>AVERAGE($D$49:$G$49)</f>
        <v>4.7964796185698368</v>
      </c>
      <c r="I49" s="36">
        <f t="shared" ref="I49:L49" si="26">AVERAGE($D$49:$G$49)</f>
        <v>4.7964796185698368</v>
      </c>
      <c r="J49" s="36">
        <f t="shared" si="26"/>
        <v>4.7964796185698368</v>
      </c>
      <c r="K49" s="36">
        <f t="shared" si="26"/>
        <v>4.7964796185698368</v>
      </c>
      <c r="L49" s="36">
        <f t="shared" si="26"/>
        <v>4.7964796185698368</v>
      </c>
    </row>
    <row r="51" spans="2:12" x14ac:dyDescent="0.35">
      <c r="B51" s="1" t="s">
        <v>60</v>
      </c>
      <c r="D51" s="19">
        <f>D40/Revenue!D17</f>
        <v>4.4993665777939016E-3</v>
      </c>
      <c r="E51" s="19">
        <f>E40/Revenue!E17</f>
        <v>3.6255013813215392E-3</v>
      </c>
      <c r="F51" s="19">
        <f>F40/Revenue!F17</f>
        <v>3.8422151801769115E-3</v>
      </c>
      <c r="G51" s="19">
        <f>G40/Revenue!G17</f>
        <v>1.0463934631195895E-2</v>
      </c>
      <c r="H51" s="9">
        <v>6.0000000000000001E-3</v>
      </c>
      <c r="I51" s="9">
        <v>5.0000000000000001E-3</v>
      </c>
      <c r="J51" s="9">
        <v>4.0000000000000001E-3</v>
      </c>
      <c r="K51" s="9">
        <v>3.8E-3</v>
      </c>
      <c r="L51" s="9">
        <v>3.8E-3</v>
      </c>
    </row>
    <row r="53" spans="2:12" x14ac:dyDescent="0.35">
      <c r="B53" s="14" t="s">
        <v>62</v>
      </c>
      <c r="C53" s="15" t="s">
        <v>3</v>
      </c>
      <c r="D53" s="16">
        <f t="shared" ref="D53:L53" si="27">D2</f>
        <v>43100</v>
      </c>
      <c r="E53" s="16">
        <f t="shared" si="27"/>
        <v>43465</v>
      </c>
      <c r="F53" s="16">
        <f t="shared" si="27"/>
        <v>43830</v>
      </c>
      <c r="G53" s="16">
        <f t="shared" si="27"/>
        <v>44196</v>
      </c>
      <c r="H53" s="16">
        <f t="shared" si="27"/>
        <v>44561</v>
      </c>
      <c r="I53" s="16">
        <f t="shared" si="27"/>
        <v>44926</v>
      </c>
      <c r="J53" s="16">
        <f t="shared" si="27"/>
        <v>45291</v>
      </c>
      <c r="K53" s="16">
        <f t="shared" si="27"/>
        <v>45657</v>
      </c>
      <c r="L53" s="16">
        <f t="shared" si="27"/>
        <v>46022</v>
      </c>
    </row>
    <row r="55" spans="2:12" x14ac:dyDescent="0.35">
      <c r="B55" s="1" t="s">
        <v>42</v>
      </c>
      <c r="C55" s="6" t="s">
        <v>30</v>
      </c>
      <c r="D55" s="35">
        <v>258.03800000000001</v>
      </c>
      <c r="E55" s="35">
        <v>290.42599999999999</v>
      </c>
      <c r="F55" s="35">
        <v>362.16399999999999</v>
      </c>
      <c r="G55" s="35">
        <v>274.97300000000001</v>
      </c>
      <c r="H55" s="35">
        <f>H57-H56</f>
        <v>276.25712800000002</v>
      </c>
      <c r="I55" s="35">
        <f t="shared" ref="I55:L55" si="28">I57-I56</f>
        <v>343.66897600000004</v>
      </c>
      <c r="J55" s="35">
        <f t="shared" si="28"/>
        <v>371.10897599999998</v>
      </c>
      <c r="K55" s="35">
        <f t="shared" si="28"/>
        <v>342.55765600000007</v>
      </c>
      <c r="L55" s="35">
        <f t="shared" si="28"/>
        <v>341.98278800000003</v>
      </c>
    </row>
    <row r="56" spans="2:12" x14ac:dyDescent="0.35">
      <c r="B56" s="1" t="s">
        <v>63</v>
      </c>
      <c r="C56" s="6" t="s">
        <v>30</v>
      </c>
      <c r="D56" s="35">
        <v>1.153</v>
      </c>
      <c r="E56" s="35">
        <v>1.115</v>
      </c>
      <c r="F56" s="35">
        <v>1.492</v>
      </c>
      <c r="G56" s="35">
        <v>1.411</v>
      </c>
      <c r="H56" s="36">
        <v>1.4</v>
      </c>
      <c r="I56" s="36">
        <v>1.4</v>
      </c>
      <c r="J56" s="36">
        <v>1.4</v>
      </c>
      <c r="K56" s="36">
        <v>1.4</v>
      </c>
      <c r="L56" s="36">
        <v>1.4</v>
      </c>
    </row>
    <row r="57" spans="2:12" x14ac:dyDescent="0.35">
      <c r="B57" t="s">
        <v>105</v>
      </c>
      <c r="C57" s="6" t="s">
        <v>30</v>
      </c>
      <c r="D57" s="35">
        <f>SUM(D55:D56)</f>
        <v>259.19100000000003</v>
      </c>
      <c r="E57" s="35">
        <f t="shared" ref="E57:G57" si="29">SUM(E55:E56)</f>
        <v>291.541</v>
      </c>
      <c r="F57" s="35">
        <f t="shared" si="29"/>
        <v>363.65600000000001</v>
      </c>
      <c r="G57" s="35">
        <f t="shared" si="29"/>
        <v>276.38400000000001</v>
      </c>
      <c r="H57" s="35">
        <f>H144+(H157*H148*H150)/unit</f>
        <v>277.657128</v>
      </c>
      <c r="I57" s="35">
        <f>I144+(I157*I148*I150)/unit</f>
        <v>345.06897600000002</v>
      </c>
      <c r="J57" s="35">
        <f>J144+(J157*J148*J150)/unit</f>
        <v>372.50897599999996</v>
      </c>
      <c r="K57" s="35">
        <f>K144+(K157*K148*K150)/unit</f>
        <v>343.95765600000004</v>
      </c>
      <c r="L57" s="35">
        <f>L144+(L157*L148*L150)/unit</f>
        <v>343.38278800000001</v>
      </c>
    </row>
    <row r="58" spans="2:12" x14ac:dyDescent="0.35">
      <c r="D58" s="35"/>
      <c r="E58" s="35"/>
      <c r="F58" s="35"/>
      <c r="G58" s="35"/>
      <c r="H58" s="35"/>
      <c r="I58" s="35"/>
      <c r="J58" s="35"/>
      <c r="K58" s="35"/>
      <c r="L58" s="35"/>
    </row>
    <row r="59" spans="2:12" x14ac:dyDescent="0.35">
      <c r="B59" t="s">
        <v>132</v>
      </c>
      <c r="C59" s="6" t="s">
        <v>30</v>
      </c>
      <c r="D59" s="35">
        <f>'Balance Sheet'!D65</f>
        <v>23.721</v>
      </c>
      <c r="E59" s="35">
        <f>'Balance Sheet'!E65</f>
        <v>23.975999999999999</v>
      </c>
      <c r="F59" s="35">
        <f>'Balance Sheet'!F65</f>
        <v>26.145</v>
      </c>
      <c r="G59" s="35">
        <f>'Balance Sheet'!G65</f>
        <v>26.027000000000001</v>
      </c>
      <c r="H59" s="35">
        <f>'Balance Sheet'!H65</f>
        <v>25.754000000000001</v>
      </c>
      <c r="I59" s="35">
        <f>'Balance Sheet'!I65</f>
        <v>26.754000000000001</v>
      </c>
      <c r="J59" s="35">
        <f>'Balance Sheet'!J65</f>
        <v>26.754000000000001</v>
      </c>
      <c r="K59" s="35">
        <f>'Balance Sheet'!K65</f>
        <v>26.754000000000001</v>
      </c>
      <c r="L59" s="35">
        <f>'Balance Sheet'!L65</f>
        <v>27.420666666666669</v>
      </c>
    </row>
    <row r="61" spans="2:12" x14ac:dyDescent="0.35">
      <c r="B61" t="s">
        <v>65</v>
      </c>
      <c r="C61" s="6" t="s">
        <v>126</v>
      </c>
      <c r="D61" s="19">
        <f>D57/Revenue!D17</f>
        <v>0.10833212472503291</v>
      </c>
      <c r="E61" s="19">
        <f>E57/Revenue!E17</f>
        <v>0.11481450121788649</v>
      </c>
      <c r="F61" s="19">
        <f>F57/Revenue!F17</f>
        <v>0.14661538337485988</v>
      </c>
      <c r="G61" s="19">
        <f>G57/Revenue!G17</f>
        <v>0.25982069078325809</v>
      </c>
      <c r="H61" s="19">
        <f>H57/Revenue!H17</f>
        <v>0.21838993294267983</v>
      </c>
      <c r="I61" s="19">
        <f>I57/Revenue!I17</f>
        <v>0.16997144687464708</v>
      </c>
      <c r="J61" s="19">
        <f>J57/Revenue!J17</f>
        <v>0.14679010639197695</v>
      </c>
      <c r="K61" s="19">
        <f>K57/Revenue!K17</f>
        <v>0.13553923306958116</v>
      </c>
      <c r="L61" s="19">
        <f>L57/Revenue!L17</f>
        <v>0.13531270179028831</v>
      </c>
    </row>
    <row r="64" spans="2:12" x14ac:dyDescent="0.35">
      <c r="B64" s="14" t="s">
        <v>66</v>
      </c>
      <c r="C64" s="15" t="s">
        <v>3</v>
      </c>
      <c r="D64" s="16">
        <f t="shared" ref="D64:L64" si="30">D2</f>
        <v>43100</v>
      </c>
      <c r="E64" s="16">
        <f t="shared" si="30"/>
        <v>43465</v>
      </c>
      <c r="F64" s="16">
        <f t="shared" si="30"/>
        <v>43830</v>
      </c>
      <c r="G64" s="16">
        <f t="shared" si="30"/>
        <v>44196</v>
      </c>
      <c r="H64" s="16">
        <f t="shared" si="30"/>
        <v>44561</v>
      </c>
      <c r="I64" s="16">
        <f t="shared" si="30"/>
        <v>44926</v>
      </c>
      <c r="J64" s="16">
        <f t="shared" si="30"/>
        <v>45291</v>
      </c>
      <c r="K64" s="16">
        <f t="shared" si="30"/>
        <v>45657</v>
      </c>
      <c r="L64" s="16">
        <f t="shared" si="30"/>
        <v>46022</v>
      </c>
    </row>
    <row r="66" spans="2:12" x14ac:dyDescent="0.35">
      <c r="B66" s="1" t="s">
        <v>67</v>
      </c>
      <c r="C66" s="6" t="s">
        <v>30</v>
      </c>
      <c r="D66" s="35">
        <v>1.8759999999999999</v>
      </c>
      <c r="E66" s="35">
        <v>1.867</v>
      </c>
      <c r="F66" s="35">
        <v>1.796</v>
      </c>
      <c r="G66" s="35">
        <v>1.524</v>
      </c>
      <c r="H66" s="35"/>
      <c r="I66" s="35"/>
      <c r="J66" s="35"/>
      <c r="K66" s="35"/>
      <c r="L66" s="35"/>
    </row>
    <row r="67" spans="2:12" x14ac:dyDescent="0.35">
      <c r="B67" s="1" t="s">
        <v>68</v>
      </c>
      <c r="C67" s="6" t="s">
        <v>30</v>
      </c>
      <c r="D67" s="35">
        <v>1.006</v>
      </c>
      <c r="E67" s="35">
        <v>0.54200000000000004</v>
      </c>
      <c r="F67" s="35">
        <v>0.76200000000000001</v>
      </c>
      <c r="G67" s="35">
        <v>0.48199999999999998</v>
      </c>
      <c r="H67" s="35"/>
      <c r="I67" s="35"/>
      <c r="J67" s="35"/>
      <c r="K67" s="35"/>
      <c r="L67" s="35"/>
    </row>
    <row r="68" spans="2:12" x14ac:dyDescent="0.35">
      <c r="B68" s="11" t="s">
        <v>297</v>
      </c>
      <c r="C68" s="12" t="s">
        <v>30</v>
      </c>
      <c r="D68" s="46">
        <f t="shared" ref="D68:F68" si="31">SUM(D66:D67)</f>
        <v>2.8819999999999997</v>
      </c>
      <c r="E68" s="46">
        <f t="shared" si="31"/>
        <v>2.4089999999999998</v>
      </c>
      <c r="F68" s="46">
        <f t="shared" si="31"/>
        <v>2.5579999999999998</v>
      </c>
      <c r="G68" s="46">
        <f>SUM(G66:G67)</f>
        <v>2.0060000000000002</v>
      </c>
      <c r="H68" s="47">
        <v>2.5</v>
      </c>
      <c r="I68" s="47">
        <v>2.5</v>
      </c>
      <c r="J68" s="47">
        <v>2.5</v>
      </c>
      <c r="K68" s="47">
        <v>2.5</v>
      </c>
      <c r="L68" s="47">
        <v>2.5</v>
      </c>
    </row>
    <row r="69" spans="2:12" x14ac:dyDescent="0.35">
      <c r="D69" s="35"/>
      <c r="E69" s="35"/>
      <c r="F69" s="35"/>
      <c r="G69" s="35"/>
      <c r="H69" s="35"/>
      <c r="I69" s="35"/>
      <c r="J69" s="35"/>
      <c r="K69" s="35"/>
      <c r="L69" s="35"/>
    </row>
    <row r="70" spans="2:12" x14ac:dyDescent="0.35">
      <c r="B70" s="10" t="s">
        <v>69</v>
      </c>
      <c r="C70" s="6" t="s">
        <v>30</v>
      </c>
      <c r="D70" s="35">
        <v>284.471</v>
      </c>
      <c r="E70" s="35">
        <v>297.846</v>
      </c>
      <c r="F70" s="35">
        <v>282.64</v>
      </c>
      <c r="G70" s="35">
        <v>129.66499999999999</v>
      </c>
      <c r="H70" s="35">
        <f>H71*Revenue!H4</f>
        <v>142.50351150000003</v>
      </c>
      <c r="I70" s="35">
        <f>I71*Revenue!I4</f>
        <v>228.35750172602741</v>
      </c>
      <c r="J70" s="35">
        <f>J71*Revenue!J4</f>
        <v>285.44687715753429</v>
      </c>
      <c r="K70" s="35">
        <f>K71*Revenue!K4</f>
        <v>285.44687715753429</v>
      </c>
      <c r="L70" s="35">
        <f>L71*Revenue!L4</f>
        <v>285.44687715753429</v>
      </c>
    </row>
    <row r="71" spans="2:12" x14ac:dyDescent="0.35">
      <c r="B71" s="1" t="s">
        <v>70</v>
      </c>
      <c r="C71" s="6" t="s">
        <v>30</v>
      </c>
      <c r="D71" s="19">
        <f>D70/Revenue!D4</f>
        <v>0.17903610226678407</v>
      </c>
      <c r="E71" s="19">
        <f>E70/Revenue!E4</f>
        <v>0.17739625143017784</v>
      </c>
      <c r="F71" s="19">
        <f>F70/Revenue!F4</f>
        <v>0.17450500627598142</v>
      </c>
      <c r="G71" s="19">
        <f>G70/Revenue!G4</f>
        <v>0.18502003378918289</v>
      </c>
      <c r="H71" s="9">
        <v>0.17</v>
      </c>
      <c r="I71" s="9">
        <v>0.17</v>
      </c>
      <c r="J71" s="9">
        <v>0.17</v>
      </c>
      <c r="K71" s="9">
        <v>0.17</v>
      </c>
      <c r="L71" s="9">
        <v>0.17</v>
      </c>
    </row>
    <row r="73" spans="2:12" x14ac:dyDescent="0.35">
      <c r="B73" s="10" t="s">
        <v>72</v>
      </c>
      <c r="C73" s="6" t="s">
        <v>30</v>
      </c>
      <c r="D73" s="35">
        <v>14.141</v>
      </c>
      <c r="E73" s="35">
        <v>17.667999999999999</v>
      </c>
      <c r="F73" s="35">
        <v>25.39</v>
      </c>
      <c r="G73" s="35">
        <v>17.364999999999998</v>
      </c>
      <c r="H73" s="35">
        <f>H74*Revenue!H17</f>
        <v>12.713824500000001</v>
      </c>
      <c r="I73" s="35">
        <f>I74*Revenue!I17</f>
        <v>18.271426413698627</v>
      </c>
      <c r="J73" s="35">
        <f>J74*Revenue!J17</f>
        <v>21.570433960616441</v>
      </c>
      <c r="K73" s="35">
        <f>K74*Revenue!K17</f>
        <v>20.301584904109589</v>
      </c>
      <c r="L73" s="35">
        <f>L74*Revenue!L17</f>
        <v>20.301584904109589</v>
      </c>
    </row>
    <row r="74" spans="2:12" x14ac:dyDescent="0.35">
      <c r="B74" s="1" t="s">
        <v>77</v>
      </c>
      <c r="C74" s="6" t="s">
        <v>30</v>
      </c>
      <c r="D74" s="9">
        <f>D73/Revenue!D17</f>
        <v>5.9104080609924349E-3</v>
      </c>
      <c r="E74" s="9">
        <f>E73/Revenue!E17</f>
        <v>6.9580011302616731E-3</v>
      </c>
      <c r="F74" s="9">
        <f>F73/Revenue!F17</f>
        <v>1.0236499834700081E-2</v>
      </c>
      <c r="G74" s="9">
        <f>G73/Revenue!G17</f>
        <v>1.6324339670354564E-2</v>
      </c>
      <c r="H74" s="9">
        <v>0.01</v>
      </c>
      <c r="I74" s="9">
        <v>8.9999999999999993E-3</v>
      </c>
      <c r="J74" s="9">
        <v>8.5000000000000006E-3</v>
      </c>
      <c r="K74" s="9">
        <v>8.0000000000000002E-3</v>
      </c>
      <c r="L74" s="9">
        <v>8.0000000000000002E-3</v>
      </c>
    </row>
    <row r="76" spans="2:12" x14ac:dyDescent="0.35">
      <c r="B76" s="10" t="s">
        <v>73</v>
      </c>
      <c r="C76" s="6" t="s">
        <v>30</v>
      </c>
      <c r="D76" s="35">
        <v>41.987000000000002</v>
      </c>
      <c r="E76" s="35">
        <v>47.582000000000001</v>
      </c>
      <c r="F76" s="35">
        <v>50.640999999999998</v>
      </c>
      <c r="G76" s="35">
        <v>26.164000000000001</v>
      </c>
      <c r="H76" s="35">
        <f>H77*Revenue!H17</f>
        <v>25.427649000000002</v>
      </c>
      <c r="I76" s="35">
        <f>I77*Revenue!I17</f>
        <v>40.603169808219178</v>
      </c>
      <c r="J76" s="35">
        <f>J77*Revenue!J17</f>
        <v>53.291660373287677</v>
      </c>
      <c r="K76" s="35">
        <f>K77*Revenue!K17</f>
        <v>55.829358486301366</v>
      </c>
      <c r="L76" s="35">
        <f>L77*Revenue!L17</f>
        <v>55.829358486301366</v>
      </c>
    </row>
    <row r="77" spans="2:12" x14ac:dyDescent="0.35">
      <c r="B77" s="1" t="s">
        <v>77</v>
      </c>
      <c r="C77" s="6" t="s">
        <v>30</v>
      </c>
      <c r="D77" s="19">
        <f>D76/Revenue!D17</f>
        <v>1.7548992522232472E-2</v>
      </c>
      <c r="E77" s="19">
        <f>E76/Revenue!E17</f>
        <v>1.8738714612865685E-2</v>
      </c>
      <c r="F77" s="19">
        <f>F76/Revenue!F17</f>
        <v>2.0416958965303142E-2</v>
      </c>
      <c r="G77" s="19">
        <f>G76/Revenue!G17</f>
        <v>2.4596027822352831E-2</v>
      </c>
      <c r="H77" s="9">
        <v>0.02</v>
      </c>
      <c r="I77" s="9">
        <v>0.02</v>
      </c>
      <c r="J77" s="9">
        <v>2.1000000000000001E-2</v>
      </c>
      <c r="K77" s="9">
        <v>2.1999999999999999E-2</v>
      </c>
      <c r="L77" s="9">
        <v>2.1999999999999999E-2</v>
      </c>
    </row>
    <row r="79" spans="2:12" x14ac:dyDescent="0.35">
      <c r="B79" s="1" t="s">
        <v>78</v>
      </c>
      <c r="C79" s="6" t="s">
        <v>30</v>
      </c>
      <c r="D79" s="36">
        <v>20</v>
      </c>
      <c r="E79" s="36">
        <v>20</v>
      </c>
      <c r="F79" s="36">
        <v>20</v>
      </c>
      <c r="G79" s="36">
        <v>20</v>
      </c>
      <c r="H79" s="36">
        <v>20</v>
      </c>
      <c r="I79" s="36">
        <v>20</v>
      </c>
      <c r="J79" s="36">
        <v>20</v>
      </c>
      <c r="K79" s="36">
        <v>20</v>
      </c>
      <c r="L79" s="36">
        <v>20</v>
      </c>
    </row>
    <row r="80" spans="2:12" x14ac:dyDescent="0.35">
      <c r="B80" s="1" t="s">
        <v>75</v>
      </c>
      <c r="C80" s="6" t="s">
        <v>30</v>
      </c>
      <c r="D80" s="35">
        <f>D81-D79</f>
        <v>21.954999999999998</v>
      </c>
      <c r="E80" s="35">
        <f t="shared" ref="E80:G80" si="32">E81-E79</f>
        <v>26.292999999999999</v>
      </c>
      <c r="F80" s="35">
        <f t="shared" si="32"/>
        <v>29.280999999999999</v>
      </c>
      <c r="G80" s="35">
        <f t="shared" si="32"/>
        <v>11.503</v>
      </c>
      <c r="H80" s="35">
        <f>IF(H82*Revenue!H17 &gt;0, H82*Revenue!H17, 20)</f>
        <v>12.713824500000001</v>
      </c>
      <c r="I80" s="35">
        <f>IF(I82*Revenue!I17 &gt;0, I82*Revenue!I17, 20)</f>
        <v>20.301584904109589</v>
      </c>
      <c r="J80" s="35">
        <f>IF(J82*Revenue!J17 &gt;0, J82*Revenue!J17, 20)</f>
        <v>25.376981130136986</v>
      </c>
      <c r="K80" s="35">
        <f>IF(K82*Revenue!K17 &gt;0, K82*Revenue!K17, 20)</f>
        <v>25.376981130136986</v>
      </c>
      <c r="L80" s="35">
        <f>IF(L82*Revenue!L17 &gt;0, L82*Revenue!L17, 20)</f>
        <v>25.376981130136986</v>
      </c>
    </row>
    <row r="81" spans="2:12" x14ac:dyDescent="0.35">
      <c r="B81" s="11" t="s">
        <v>74</v>
      </c>
      <c r="C81" s="12" t="s">
        <v>30</v>
      </c>
      <c r="D81" s="46">
        <v>41.954999999999998</v>
      </c>
      <c r="E81" s="46">
        <v>46.292999999999999</v>
      </c>
      <c r="F81" s="46">
        <v>49.280999999999999</v>
      </c>
      <c r="G81" s="46">
        <v>31.503</v>
      </c>
      <c r="H81" s="46">
        <f>SUM(H79:H80)</f>
        <v>32.713824500000001</v>
      </c>
      <c r="I81" s="46">
        <f t="shared" ref="I81:L81" si="33">SUM(I79:I80)</f>
        <v>40.301584904109589</v>
      </c>
      <c r="J81" s="46">
        <f t="shared" si="33"/>
        <v>45.376981130136983</v>
      </c>
      <c r="K81" s="46">
        <f t="shared" si="33"/>
        <v>45.376981130136983</v>
      </c>
      <c r="L81" s="46">
        <f t="shared" si="33"/>
        <v>45.376981130136983</v>
      </c>
    </row>
    <row r="82" spans="2:12" x14ac:dyDescent="0.35">
      <c r="B82" s="1" t="s">
        <v>76</v>
      </c>
      <c r="C82" s="6" t="s">
        <v>30</v>
      </c>
      <c r="D82" s="19">
        <f>D80/Revenue!D17</f>
        <v>9.1763672285615511E-3</v>
      </c>
      <c r="E82" s="19">
        <f>E80/Revenue!E17</f>
        <v>1.035469344113483E-2</v>
      </c>
      <c r="F82" s="19">
        <f>F80/Revenue!F17</f>
        <v>1.1805236378883539E-2</v>
      </c>
      <c r="G82" s="19">
        <f>G80/Revenue!G17</f>
        <v>1.081364118791181E-2</v>
      </c>
      <c r="H82" s="9">
        <v>0.01</v>
      </c>
      <c r="I82" s="9">
        <v>0.01</v>
      </c>
      <c r="J82" s="9">
        <v>0.01</v>
      </c>
      <c r="K82" s="9">
        <v>0.01</v>
      </c>
      <c r="L82" s="9">
        <v>0.01</v>
      </c>
    </row>
    <row r="84" spans="2:12" x14ac:dyDescent="0.35">
      <c r="B84" s="1" t="s">
        <v>130</v>
      </c>
      <c r="C84" s="6" t="s">
        <v>30</v>
      </c>
      <c r="D84" s="35">
        <v>57.927999999999997</v>
      </c>
      <c r="E84" s="35">
        <v>62.750999999999998</v>
      </c>
      <c r="F84" s="35">
        <v>61.682000000000002</v>
      </c>
      <c r="G84" s="35">
        <v>17.155000000000001</v>
      </c>
      <c r="H84" s="35"/>
      <c r="I84" s="35"/>
      <c r="J84" s="35"/>
      <c r="K84" s="35"/>
      <c r="L84" s="35"/>
    </row>
    <row r="85" spans="2:12" x14ac:dyDescent="0.35">
      <c r="B85" s="1" t="s">
        <v>131</v>
      </c>
      <c r="C85" s="6" t="s">
        <v>30</v>
      </c>
      <c r="D85" s="35">
        <v>161.59100000000001</v>
      </c>
      <c r="E85" s="35">
        <v>183.30699999999999</v>
      </c>
      <c r="F85" s="35">
        <v>193.80600000000001</v>
      </c>
      <c r="G85" s="35">
        <v>131.07499999999999</v>
      </c>
      <c r="H85" s="35"/>
      <c r="I85" s="35"/>
      <c r="J85" s="35"/>
      <c r="K85" s="35"/>
      <c r="L85" s="35"/>
    </row>
    <row r="86" spans="2:12" x14ac:dyDescent="0.35">
      <c r="B86" s="30" t="s">
        <v>134</v>
      </c>
      <c r="C86" s="12" t="s">
        <v>30</v>
      </c>
      <c r="D86" s="46">
        <f>SUM(D84:D85)</f>
        <v>219.51900000000001</v>
      </c>
      <c r="E86" s="46">
        <f t="shared" ref="E86:F86" si="34">SUM(E84:E85)</f>
        <v>246.05799999999999</v>
      </c>
      <c r="F86" s="46">
        <f t="shared" si="34"/>
        <v>255.488</v>
      </c>
      <c r="G86" s="46">
        <f>SUM(G84:G85)</f>
        <v>148.22999999999999</v>
      </c>
      <c r="H86" s="46">
        <f>H87*Revenue!H17</f>
        <v>139.8520695</v>
      </c>
      <c r="I86" s="46">
        <f>I87*Revenue!I17</f>
        <v>203.01584904109589</v>
      </c>
      <c r="J86" s="46">
        <f>J87*Revenue!J17</f>
        <v>253.76981130136988</v>
      </c>
      <c r="K86" s="46">
        <f>K87*Revenue!K17</f>
        <v>253.76981130136988</v>
      </c>
      <c r="L86" s="46">
        <f>L87*Revenue!L17</f>
        <v>253.76981130136988</v>
      </c>
    </row>
    <row r="87" spans="2:12" x14ac:dyDescent="0.35">
      <c r="B87" s="1" t="s">
        <v>77</v>
      </c>
      <c r="C87" s="6" t="s">
        <v>126</v>
      </c>
      <c r="D87" s="19">
        <f>D86/Revenue!D17</f>
        <v>9.1750715447351555E-2</v>
      </c>
      <c r="E87" s="19">
        <f>E86/Revenue!E17</f>
        <v>9.6902413522182859E-2</v>
      </c>
      <c r="F87" s="19">
        <f>F86/Revenue!F17</f>
        <v>0.10300523315351927</v>
      </c>
      <c r="G87" s="19">
        <f>G86/Revenue!G17</f>
        <v>0.13934678199462466</v>
      </c>
      <c r="H87" s="9">
        <v>0.11</v>
      </c>
      <c r="I87" s="9">
        <v>0.1</v>
      </c>
      <c r="J87" s="9">
        <v>0.1</v>
      </c>
      <c r="K87" s="9">
        <v>0.1</v>
      </c>
      <c r="L87" s="9">
        <v>0.1</v>
      </c>
    </row>
    <row r="88" spans="2:12" x14ac:dyDescent="0.35">
      <c r="B88" s="1"/>
      <c r="D88" s="19"/>
      <c r="E88" s="19"/>
      <c r="F88" s="19"/>
      <c r="G88" s="19"/>
      <c r="H88" s="22"/>
      <c r="I88" s="22"/>
      <c r="J88" s="22"/>
      <c r="K88" s="22"/>
      <c r="L88" s="22"/>
    </row>
    <row r="89" spans="2:12" x14ac:dyDescent="0.35">
      <c r="B89" s="30" t="s">
        <v>153</v>
      </c>
      <c r="C89" s="12" t="s">
        <v>30</v>
      </c>
      <c r="D89" s="46">
        <f t="shared" ref="D89:L89" si="35">D86+D115-D107</f>
        <v>253.655</v>
      </c>
      <c r="E89" s="46">
        <f t="shared" si="35"/>
        <v>250.97600000000003</v>
      </c>
      <c r="F89" s="46">
        <f>F86+F115-F107</f>
        <v>245.67999999999998</v>
      </c>
      <c r="G89" s="46">
        <f t="shared" si="35"/>
        <v>161.62299999999999</v>
      </c>
      <c r="H89" s="46">
        <f t="shared" si="35"/>
        <v>138.5672601</v>
      </c>
      <c r="I89" s="46">
        <f t="shared" si="35"/>
        <v>201.8737962410959</v>
      </c>
      <c r="J89" s="46">
        <f t="shared" si="35"/>
        <v>252.91327170136989</v>
      </c>
      <c r="K89" s="46">
        <f t="shared" si="35"/>
        <v>252.91327170136989</v>
      </c>
      <c r="L89" s="46">
        <f t="shared" si="35"/>
        <v>252.91327170136989</v>
      </c>
    </row>
    <row r="90" spans="2:12" x14ac:dyDescent="0.35">
      <c r="B90" s="3"/>
      <c r="D90" s="35"/>
      <c r="E90" s="35"/>
      <c r="F90" s="35"/>
      <c r="G90" s="35"/>
      <c r="H90" s="35"/>
      <c r="I90" s="35"/>
      <c r="J90" s="35"/>
      <c r="K90" s="35"/>
      <c r="L90" s="35"/>
    </row>
    <row r="91" spans="2:12" x14ac:dyDescent="0.35">
      <c r="B91" s="29" t="s">
        <v>133</v>
      </c>
      <c r="C91" s="6" t="s">
        <v>30</v>
      </c>
      <c r="D91" s="35">
        <v>79.105000000000004</v>
      </c>
      <c r="E91" s="35">
        <v>82.286000000000001</v>
      </c>
      <c r="F91" s="35">
        <v>71.152000000000001</v>
      </c>
      <c r="G91" s="35">
        <v>35.087000000000003</v>
      </c>
      <c r="H91" s="35">
        <f>H92*(Revenue!H15+Revenue!H6)</f>
        <v>39.847638000000003</v>
      </c>
      <c r="I91" s="35">
        <f>I92*(Revenue!I15+Revenue!I6)</f>
        <v>63.192874301369862</v>
      </c>
      <c r="J91" s="35">
        <f>J92*(Revenue!J15+Revenue!J6)</f>
        <v>78.991092876712329</v>
      </c>
      <c r="K91" s="35">
        <f>K92*(Revenue!K15+Revenue!K6)</f>
        <v>78.991092876712329</v>
      </c>
      <c r="L91" s="35">
        <f>L92*(Revenue!L15+Revenue!L6)</f>
        <v>78.991092876712329</v>
      </c>
    </row>
    <row r="92" spans="2:12" x14ac:dyDescent="0.35">
      <c r="B92" s="1" t="s">
        <v>135</v>
      </c>
      <c r="C92" s="6" t="s">
        <v>126</v>
      </c>
      <c r="D92" s="19">
        <f>D91/(Revenue!D6+Revenue!D15)</f>
        <v>9.8431418417830527E-2</v>
      </c>
      <c r="E92" s="19">
        <f>E91/(Revenue!E6+Revenue!E15)</f>
        <v>9.5653811459021118E-2</v>
      </c>
      <c r="F92" s="19">
        <f>F91/(Revenue!F6+Revenue!F15)</f>
        <v>8.2670189491246965E-2</v>
      </c>
      <c r="G92" s="19">
        <f>G91/(Revenue!G6+Revenue!G15)</f>
        <v>9.6676246028881377E-2</v>
      </c>
      <c r="H92" s="9">
        <v>9.1999999999999998E-2</v>
      </c>
      <c r="I92" s="9">
        <v>9.1999999999999998E-2</v>
      </c>
      <c r="J92" s="9">
        <v>9.1999999999999998E-2</v>
      </c>
      <c r="K92" s="9">
        <v>9.1999999999999998E-2</v>
      </c>
      <c r="L92" s="9">
        <v>9.1999999999999998E-2</v>
      </c>
    </row>
    <row r="94" spans="2:12" x14ac:dyDescent="0.35">
      <c r="B94" s="14" t="s">
        <v>71</v>
      </c>
      <c r="C94" s="15" t="s">
        <v>3</v>
      </c>
      <c r="D94" s="16">
        <f t="shared" ref="D94:L94" si="36">D2</f>
        <v>43100</v>
      </c>
      <c r="E94" s="16">
        <f t="shared" si="36"/>
        <v>43465</v>
      </c>
      <c r="F94" s="16">
        <f t="shared" si="36"/>
        <v>43830</v>
      </c>
      <c r="G94" s="16">
        <f t="shared" si="36"/>
        <v>44196</v>
      </c>
      <c r="H94" s="16">
        <f t="shared" si="36"/>
        <v>44561</v>
      </c>
      <c r="I94" s="16">
        <f t="shared" si="36"/>
        <v>44926</v>
      </c>
      <c r="J94" s="16">
        <f t="shared" si="36"/>
        <v>45291</v>
      </c>
      <c r="K94" s="16">
        <f t="shared" si="36"/>
        <v>45657</v>
      </c>
      <c r="L94" s="16">
        <f t="shared" si="36"/>
        <v>46022</v>
      </c>
    </row>
    <row r="96" spans="2:12" x14ac:dyDescent="0.35">
      <c r="B96" t="s">
        <v>80</v>
      </c>
      <c r="C96" s="6" t="s">
        <v>30</v>
      </c>
      <c r="D96" s="35">
        <v>0.40600000000000003</v>
      </c>
      <c r="E96" s="35">
        <v>2.4340000000000002</v>
      </c>
      <c r="F96" s="35">
        <v>0.79200000000000004</v>
      </c>
      <c r="G96" s="35">
        <v>3.4169999999999998</v>
      </c>
      <c r="H96" s="36">
        <v>0</v>
      </c>
      <c r="I96" s="36">
        <v>0</v>
      </c>
      <c r="J96" s="36">
        <v>0</v>
      </c>
      <c r="K96" s="36">
        <v>0</v>
      </c>
      <c r="L96" s="36">
        <v>0</v>
      </c>
    </row>
    <row r="97" spans="2:16" x14ac:dyDescent="0.35">
      <c r="D97" s="35"/>
      <c r="E97" s="35"/>
      <c r="F97" s="35"/>
      <c r="G97" s="35"/>
      <c r="H97" s="35"/>
      <c r="I97" s="35"/>
      <c r="J97" s="35"/>
      <c r="K97" s="35"/>
      <c r="L97" s="35"/>
    </row>
    <row r="98" spans="2:16" x14ac:dyDescent="0.35">
      <c r="B98" t="s">
        <v>81</v>
      </c>
      <c r="C98" s="6" t="s">
        <v>30</v>
      </c>
      <c r="D98" s="35">
        <v>48.32</v>
      </c>
      <c r="E98" s="35">
        <v>58.07</v>
      </c>
      <c r="F98" s="35">
        <v>101.128</v>
      </c>
      <c r="G98" s="35">
        <v>-22.82</v>
      </c>
      <c r="H98" s="36">
        <v>0</v>
      </c>
      <c r="I98" s="36">
        <v>0</v>
      </c>
      <c r="J98" s="36">
        <v>0</v>
      </c>
      <c r="K98" s="36">
        <v>0</v>
      </c>
      <c r="L98" s="36">
        <v>0</v>
      </c>
    </row>
    <row r="101" spans="2:16" x14ac:dyDescent="0.35">
      <c r="B101" s="14" t="s">
        <v>304</v>
      </c>
      <c r="C101" s="15" t="s">
        <v>3</v>
      </c>
      <c r="D101" s="16">
        <f t="shared" ref="D101:L101" si="37">D2</f>
        <v>43100</v>
      </c>
      <c r="E101" s="16">
        <f t="shared" si="37"/>
        <v>43465</v>
      </c>
      <c r="F101" s="16">
        <f t="shared" si="37"/>
        <v>43830</v>
      </c>
      <c r="G101" s="16">
        <f t="shared" si="37"/>
        <v>44196</v>
      </c>
      <c r="H101" s="16">
        <f t="shared" si="37"/>
        <v>44561</v>
      </c>
      <c r="I101" s="16">
        <f t="shared" si="37"/>
        <v>44926</v>
      </c>
      <c r="J101" s="16">
        <f t="shared" si="37"/>
        <v>45291</v>
      </c>
      <c r="K101" s="16">
        <f t="shared" si="37"/>
        <v>45657</v>
      </c>
      <c r="L101" s="16">
        <f t="shared" si="37"/>
        <v>46022</v>
      </c>
    </row>
    <row r="103" spans="2:16" x14ac:dyDescent="0.35">
      <c r="B103" s="1" t="s">
        <v>86</v>
      </c>
      <c r="C103" s="6" t="s">
        <v>30</v>
      </c>
      <c r="D103" s="35">
        <v>0.311</v>
      </c>
      <c r="E103" s="35">
        <v>2.9780000000000002</v>
      </c>
      <c r="F103" s="35">
        <v>0.86199999999999999</v>
      </c>
      <c r="G103" s="35">
        <v>1.7829999999999999</v>
      </c>
      <c r="H103" s="37">
        <f>H160*H148/unit</f>
        <v>1.2848094000000001</v>
      </c>
      <c r="I103" s="37">
        <f>I160*I148/unit</f>
        <v>1.1420528000000001</v>
      </c>
      <c r="J103" s="37">
        <f>J160*J148/unit</f>
        <v>0.85653960000000007</v>
      </c>
      <c r="K103" s="37">
        <f>K160*K148/unit</f>
        <v>0.85653960000000007</v>
      </c>
      <c r="L103" s="37">
        <f>L160*L148/unit</f>
        <v>0.85653960000000007</v>
      </c>
    </row>
    <row r="104" spans="2:16" x14ac:dyDescent="0.35">
      <c r="B104" s="1" t="s">
        <v>92</v>
      </c>
      <c r="C104" s="6" t="s">
        <v>30</v>
      </c>
      <c r="D104" s="35">
        <v>96.284999999999997</v>
      </c>
      <c r="E104" s="35">
        <v>0.11799999999999999</v>
      </c>
      <c r="F104" s="35">
        <v>0</v>
      </c>
      <c r="G104" s="35">
        <v>0</v>
      </c>
      <c r="H104" s="36">
        <v>0</v>
      </c>
      <c r="I104" s="36">
        <v>0</v>
      </c>
      <c r="J104" s="36">
        <v>0</v>
      </c>
      <c r="K104" s="36">
        <v>0</v>
      </c>
      <c r="L104" s="36">
        <v>0</v>
      </c>
    </row>
    <row r="105" spans="2:16" x14ac:dyDescent="0.35">
      <c r="B105" s="1" t="s">
        <v>85</v>
      </c>
      <c r="C105" s="6" t="s">
        <v>30</v>
      </c>
      <c r="D105" s="35">
        <v>0</v>
      </c>
      <c r="E105" s="35">
        <v>3.097</v>
      </c>
      <c r="F105" s="35">
        <v>13.551</v>
      </c>
      <c r="G105" s="35">
        <v>8.2729999999999997</v>
      </c>
      <c r="H105" s="37">
        <f>'Balance Sheet'!H107-'Balance Sheet'!G107</f>
        <v>0</v>
      </c>
      <c r="I105" s="37">
        <f>'Balance Sheet'!I107-'Balance Sheet'!H107</f>
        <v>0</v>
      </c>
      <c r="J105" s="37">
        <f>'Balance Sheet'!J107-'Balance Sheet'!I107</f>
        <v>0</v>
      </c>
      <c r="K105" s="37">
        <f>'Balance Sheet'!K107-'Balance Sheet'!J107</f>
        <v>0</v>
      </c>
      <c r="L105" s="37">
        <f>'Balance Sheet'!L107-'Balance Sheet'!K107</f>
        <v>0</v>
      </c>
    </row>
    <row r="106" spans="2:16" x14ac:dyDescent="0.35">
      <c r="B106" s="1" t="s">
        <v>24</v>
      </c>
      <c r="C106" s="6" t="s">
        <v>30</v>
      </c>
      <c r="D106" s="35">
        <f>IF(D107-D103-D104-D105&gt;0,D107-D103-D104-D105,0)</f>
        <v>3.9749999999999943</v>
      </c>
      <c r="E106" s="35">
        <f t="shared" ref="E106:G106" si="38">IF(E107-E103-E104-E105&gt;0,E107-E103-E104-E105,0)</f>
        <v>7.999999999999563E-3</v>
      </c>
      <c r="F106" s="35">
        <f t="shared" si="38"/>
        <v>3.9999999999995595E-3</v>
      </c>
      <c r="G106" s="35">
        <f t="shared" si="38"/>
        <v>2.1480000000000015</v>
      </c>
      <c r="H106" s="36">
        <v>0</v>
      </c>
      <c r="I106" s="36">
        <v>0</v>
      </c>
      <c r="J106" s="36">
        <v>0</v>
      </c>
      <c r="K106" s="36">
        <v>0</v>
      </c>
      <c r="L106" s="36">
        <v>0</v>
      </c>
      <c r="P106" s="33"/>
    </row>
    <row r="107" spans="2:16" x14ac:dyDescent="0.35">
      <c r="B107" s="11" t="s">
        <v>84</v>
      </c>
      <c r="C107" s="12" t="s">
        <v>30</v>
      </c>
      <c r="D107" s="46">
        <v>100.571</v>
      </c>
      <c r="E107" s="46">
        <v>6.2009999999999996</v>
      </c>
      <c r="F107" s="46">
        <v>14.417</v>
      </c>
      <c r="G107" s="46">
        <v>12.204000000000001</v>
      </c>
      <c r="H107" s="46">
        <f>SUM(H103:H106)</f>
        <v>1.2848094000000001</v>
      </c>
      <c r="I107" s="46">
        <f t="shared" ref="I107:L107" si="39">SUM(I103:I106)</f>
        <v>1.1420528000000001</v>
      </c>
      <c r="J107" s="46">
        <f t="shared" si="39"/>
        <v>0.85653960000000007</v>
      </c>
      <c r="K107" s="46">
        <f t="shared" si="39"/>
        <v>0.85653960000000007</v>
      </c>
      <c r="L107" s="46">
        <f t="shared" si="39"/>
        <v>0.85653960000000007</v>
      </c>
    </row>
    <row r="108" spans="2:16" x14ac:dyDescent="0.35">
      <c r="D108" s="35"/>
      <c r="E108" s="35"/>
      <c r="F108" s="35"/>
      <c r="G108" s="35"/>
      <c r="H108" s="35"/>
      <c r="I108" s="35"/>
      <c r="J108" s="35"/>
      <c r="K108" s="35"/>
      <c r="L108" s="35"/>
    </row>
    <row r="109" spans="2:16" x14ac:dyDescent="0.35">
      <c r="B109" s="1" t="s">
        <v>87</v>
      </c>
      <c r="C109" s="6" t="s">
        <v>30</v>
      </c>
      <c r="D109" s="35">
        <v>14.855</v>
      </c>
      <c r="E109" s="35">
        <v>2.5219999999999998</v>
      </c>
      <c r="F109" s="35">
        <v>1.2809999999999999</v>
      </c>
      <c r="G109" s="35">
        <v>4.5670000000000002</v>
      </c>
      <c r="H109" s="37"/>
      <c r="I109" s="37"/>
      <c r="J109" s="37"/>
      <c r="K109" s="37"/>
      <c r="L109" s="37"/>
    </row>
    <row r="110" spans="2:16" x14ac:dyDescent="0.35">
      <c r="B110" s="1" t="s">
        <v>88</v>
      </c>
      <c r="C110" s="6" t="s">
        <v>30</v>
      </c>
      <c r="D110" s="35">
        <v>5.9710000000000001</v>
      </c>
      <c r="E110" s="35">
        <v>3.2080000000000002</v>
      </c>
      <c r="F110" s="35">
        <v>0.29399999999999998</v>
      </c>
      <c r="G110" s="35">
        <v>20.076000000000001</v>
      </c>
      <c r="H110" s="37"/>
      <c r="I110" s="37"/>
      <c r="J110" s="37"/>
      <c r="K110" s="37"/>
      <c r="L110" s="37"/>
    </row>
    <row r="111" spans="2:16" x14ac:dyDescent="0.35">
      <c r="B111" s="1" t="s">
        <v>89</v>
      </c>
      <c r="C111" s="6" t="s">
        <v>30</v>
      </c>
      <c r="D111" s="35">
        <v>108.33499999999999</v>
      </c>
      <c r="E111" s="35">
        <v>5.3879999999999999</v>
      </c>
      <c r="F111" s="35">
        <v>3.0339999999999998</v>
      </c>
      <c r="G111" s="35">
        <v>0.95399999999999996</v>
      </c>
      <c r="H111" s="37"/>
      <c r="I111" s="37"/>
      <c r="J111" s="37"/>
      <c r="K111" s="37"/>
      <c r="L111" s="37"/>
    </row>
    <row r="112" spans="2:16" x14ac:dyDescent="0.35">
      <c r="B112" s="1" t="s">
        <v>91</v>
      </c>
      <c r="C112" s="6" t="s">
        <v>30</v>
      </c>
      <c r="D112" s="35">
        <v>1.214</v>
      </c>
      <c r="E112" s="35">
        <v>0</v>
      </c>
      <c r="F112" s="35">
        <v>0</v>
      </c>
      <c r="G112" s="35">
        <v>0</v>
      </c>
      <c r="H112" s="37"/>
      <c r="I112" s="37"/>
      <c r="J112" s="37"/>
      <c r="K112" s="37"/>
      <c r="L112" s="37"/>
    </row>
    <row r="113" spans="2:12" x14ac:dyDescent="0.35">
      <c r="B113" s="1" t="s">
        <v>90</v>
      </c>
      <c r="C113" s="6" t="s">
        <v>30</v>
      </c>
      <c r="D113" s="35">
        <v>4.3310000000000004</v>
      </c>
      <c r="E113" s="35">
        <v>0</v>
      </c>
      <c r="F113" s="35">
        <v>0</v>
      </c>
      <c r="G113" s="35">
        <v>0</v>
      </c>
      <c r="H113" s="37"/>
      <c r="I113" s="37"/>
      <c r="J113" s="37"/>
      <c r="K113" s="37"/>
      <c r="L113" s="37"/>
    </row>
    <row r="114" spans="2:12" x14ac:dyDescent="0.35">
      <c r="B114" s="1" t="s">
        <v>24</v>
      </c>
      <c r="C114" s="6" t="s">
        <v>30</v>
      </c>
      <c r="D114" s="35">
        <v>1E-3</v>
      </c>
      <c r="E114" s="35">
        <v>1E-3</v>
      </c>
      <c r="F114" s="35">
        <v>0</v>
      </c>
      <c r="G114" s="35">
        <v>0</v>
      </c>
      <c r="H114" s="37"/>
      <c r="I114" s="37"/>
      <c r="J114" s="37"/>
      <c r="K114" s="37"/>
      <c r="L114" s="37"/>
    </row>
    <row r="115" spans="2:12" x14ac:dyDescent="0.35">
      <c r="B115" s="30" t="s">
        <v>93</v>
      </c>
      <c r="C115" s="12" t="s">
        <v>30</v>
      </c>
      <c r="D115" s="46">
        <f>SUM(D109:D114)</f>
        <v>134.70699999999999</v>
      </c>
      <c r="E115" s="46">
        <f>SUM(E109:E114)</f>
        <v>11.119</v>
      </c>
      <c r="F115" s="46">
        <f>SUM(F109:F114)</f>
        <v>4.609</v>
      </c>
      <c r="G115" s="46">
        <f>SUM(G109:G114)</f>
        <v>25.597000000000001</v>
      </c>
      <c r="H115" s="46">
        <f>'Balance Sheet'!H90</f>
        <v>0</v>
      </c>
      <c r="I115" s="46">
        <f>'Balance Sheet'!I90</f>
        <v>0</v>
      </c>
      <c r="J115" s="46">
        <f>'Balance Sheet'!J90</f>
        <v>0</v>
      </c>
      <c r="K115" s="46">
        <f>'Balance Sheet'!K90</f>
        <v>0</v>
      </c>
      <c r="L115" s="46">
        <f>'Balance Sheet'!L90</f>
        <v>0</v>
      </c>
    </row>
    <row r="116" spans="2:12" x14ac:dyDescent="0.35">
      <c r="B116" s="3"/>
      <c r="D116" s="35"/>
      <c r="E116" s="35"/>
      <c r="F116" s="35"/>
      <c r="G116" s="35"/>
      <c r="H116" s="35"/>
      <c r="I116" s="35"/>
      <c r="J116" s="35"/>
      <c r="K116" s="35"/>
      <c r="L116" s="35"/>
    </row>
    <row r="117" spans="2:12" x14ac:dyDescent="0.35">
      <c r="B117" s="1" t="s">
        <v>82</v>
      </c>
      <c r="C117" s="6" t="s">
        <v>30</v>
      </c>
      <c r="D117" s="35">
        <f>D104</f>
        <v>96.284999999999997</v>
      </c>
      <c r="E117" s="35">
        <f t="shared" ref="E117:G117" si="40">E104</f>
        <v>0.11799999999999999</v>
      </c>
      <c r="F117" s="35">
        <f t="shared" si="40"/>
        <v>0</v>
      </c>
      <c r="G117" s="35">
        <f t="shared" si="40"/>
        <v>0</v>
      </c>
      <c r="H117" s="36">
        <v>0</v>
      </c>
      <c r="I117" s="36">
        <v>0</v>
      </c>
      <c r="J117" s="36">
        <v>0</v>
      </c>
      <c r="K117" s="36">
        <v>0</v>
      </c>
      <c r="L117" s="36">
        <v>0</v>
      </c>
    </row>
    <row r="118" spans="2:12" x14ac:dyDescent="0.35">
      <c r="B118" s="1" t="s">
        <v>280</v>
      </c>
      <c r="C118" s="6" t="s">
        <v>30</v>
      </c>
      <c r="D118" s="35">
        <v>-23.25</v>
      </c>
      <c r="E118" s="35">
        <v>0.29199999999999998</v>
      </c>
      <c r="F118" s="35">
        <v>1.91</v>
      </c>
      <c r="G118" s="35">
        <v>-41.84</v>
      </c>
      <c r="H118" s="36">
        <v>0</v>
      </c>
      <c r="I118" s="36">
        <v>0</v>
      </c>
      <c r="J118" s="36">
        <v>0</v>
      </c>
      <c r="K118" s="36">
        <v>0</v>
      </c>
      <c r="L118" s="36">
        <v>0</v>
      </c>
    </row>
    <row r="119" spans="2:12" x14ac:dyDescent="0.35">
      <c r="B119" s="30" t="s">
        <v>298</v>
      </c>
      <c r="C119" s="12" t="s">
        <v>30</v>
      </c>
      <c r="D119" s="46">
        <f>SUM(D117:D118)</f>
        <v>73.034999999999997</v>
      </c>
      <c r="E119" s="46">
        <f t="shared" ref="E119:G119" si="41">SUM(E117:E118)</f>
        <v>0.41</v>
      </c>
      <c r="F119" s="46">
        <f t="shared" si="41"/>
        <v>1.91</v>
      </c>
      <c r="G119" s="46">
        <f t="shared" si="41"/>
        <v>-41.84</v>
      </c>
      <c r="H119" s="46">
        <f t="shared" ref="H119" si="42">SUM(H117:H118)</f>
        <v>0</v>
      </c>
      <c r="I119" s="46">
        <f t="shared" ref="I119" si="43">SUM(I117:I118)</f>
        <v>0</v>
      </c>
      <c r="J119" s="46">
        <f t="shared" ref="J119" si="44">SUM(J117:J118)</f>
        <v>0</v>
      </c>
      <c r="K119" s="46">
        <f t="shared" ref="K119" si="45">SUM(K117:K118)</f>
        <v>0</v>
      </c>
      <c r="L119" s="46">
        <f t="shared" ref="L119" si="46">SUM(L117:L118)</f>
        <v>0</v>
      </c>
    </row>
    <row r="121" spans="2:12" x14ac:dyDescent="0.35">
      <c r="B121" s="14" t="s">
        <v>94</v>
      </c>
      <c r="C121" s="15" t="s">
        <v>3</v>
      </c>
      <c r="D121" s="16">
        <f t="shared" ref="D121:L121" si="47">D2</f>
        <v>43100</v>
      </c>
      <c r="E121" s="16">
        <f t="shared" si="47"/>
        <v>43465</v>
      </c>
      <c r="F121" s="16">
        <f t="shared" si="47"/>
        <v>43830</v>
      </c>
      <c r="G121" s="16">
        <f t="shared" si="47"/>
        <v>44196</v>
      </c>
      <c r="H121" s="16">
        <f t="shared" si="47"/>
        <v>44561</v>
      </c>
      <c r="I121" s="16">
        <f t="shared" si="47"/>
        <v>44926</v>
      </c>
      <c r="J121" s="16">
        <f t="shared" si="47"/>
        <v>45291</v>
      </c>
      <c r="K121" s="16">
        <f t="shared" si="47"/>
        <v>45657</v>
      </c>
      <c r="L121" s="16">
        <f t="shared" si="47"/>
        <v>46022</v>
      </c>
    </row>
    <row r="123" spans="2:12" x14ac:dyDescent="0.35">
      <c r="B123" s="1" t="s">
        <v>95</v>
      </c>
      <c r="C123" s="6" t="s">
        <v>30</v>
      </c>
      <c r="D123" s="35">
        <v>21.834</v>
      </c>
      <c r="E123" s="35">
        <v>21.861999999999998</v>
      </c>
      <c r="F123" s="35">
        <v>7.08</v>
      </c>
      <c r="G123" s="35">
        <v>0</v>
      </c>
      <c r="H123" s="36">
        <v>0</v>
      </c>
      <c r="I123" s="36">
        <v>0</v>
      </c>
      <c r="J123" s="36">
        <v>0</v>
      </c>
      <c r="K123" s="36">
        <v>0</v>
      </c>
      <c r="L123" s="36">
        <v>0</v>
      </c>
    </row>
    <row r="124" spans="2:12" x14ac:dyDescent="0.35">
      <c r="B124" s="1" t="s">
        <v>96</v>
      </c>
      <c r="C124" s="6" t="s">
        <v>30</v>
      </c>
      <c r="D124" s="35">
        <v>0.30399999999999999</v>
      </c>
      <c r="E124" s="35">
        <v>1.637</v>
      </c>
      <c r="F124" s="35">
        <v>1.6739999999999999</v>
      </c>
      <c r="G124" s="35">
        <v>1.724</v>
      </c>
      <c r="H124" s="36">
        <v>1.7170000000000001</v>
      </c>
      <c r="I124" s="36">
        <v>0</v>
      </c>
      <c r="J124" s="36">
        <v>0</v>
      </c>
      <c r="K124" s="36">
        <v>0</v>
      </c>
      <c r="L124" s="36">
        <v>0</v>
      </c>
    </row>
    <row r="125" spans="2:12" x14ac:dyDescent="0.35">
      <c r="B125" s="1" t="s">
        <v>97</v>
      </c>
      <c r="C125" s="6" t="s">
        <v>30</v>
      </c>
      <c r="D125" s="35">
        <v>0.74299999999999999</v>
      </c>
      <c r="E125" s="35">
        <v>1.157</v>
      </c>
      <c r="F125" s="35">
        <v>1.615</v>
      </c>
      <c r="G125" s="35">
        <v>1.145</v>
      </c>
      <c r="H125" s="35">
        <f>H152*H147*H150/unit</f>
        <v>1.4486673600000002</v>
      </c>
      <c r="I125" s="35">
        <f>I152*I147*I150/unit</f>
        <v>1.6096304000000001</v>
      </c>
      <c r="J125" s="35">
        <f>J152*J147*J150/unit</f>
        <v>1.724604</v>
      </c>
      <c r="K125" s="35">
        <f>K152*K147*K150/unit</f>
        <v>1.6096304000000001</v>
      </c>
      <c r="L125" s="35">
        <f>L152*L147*L150/unit</f>
        <v>1.6096304000000001</v>
      </c>
    </row>
    <row r="126" spans="2:12" x14ac:dyDescent="0.35">
      <c r="B126" s="11" t="s">
        <v>98</v>
      </c>
      <c r="C126" s="12" t="s">
        <v>30</v>
      </c>
      <c r="D126" s="46">
        <f>SUM(D123:D125)</f>
        <v>22.880999999999997</v>
      </c>
      <c r="E126" s="46">
        <f t="shared" ref="E126:G126" si="48">SUM(E123:E125)</f>
        <v>24.655999999999999</v>
      </c>
      <c r="F126" s="46">
        <f t="shared" si="48"/>
        <v>10.369</v>
      </c>
      <c r="G126" s="46">
        <f t="shared" si="48"/>
        <v>2.8689999999999998</v>
      </c>
      <c r="H126" s="46">
        <f>SUM(H123:H125)</f>
        <v>3.1656673600000005</v>
      </c>
      <c r="I126" s="46">
        <f t="shared" ref="I126:L126" si="49">SUM(I123:I125)</f>
        <v>1.6096304000000001</v>
      </c>
      <c r="J126" s="46">
        <f t="shared" si="49"/>
        <v>1.724604</v>
      </c>
      <c r="K126" s="46">
        <f t="shared" si="49"/>
        <v>1.6096304000000001</v>
      </c>
      <c r="L126" s="46">
        <f t="shared" si="49"/>
        <v>1.6096304000000001</v>
      </c>
    </row>
    <row r="127" spans="2:12" x14ac:dyDescent="0.35">
      <c r="D127" s="35"/>
      <c r="E127" s="35"/>
      <c r="F127" s="35"/>
      <c r="G127" s="35"/>
      <c r="H127" s="35"/>
      <c r="I127" s="35"/>
      <c r="J127" s="35"/>
      <c r="K127" s="35"/>
      <c r="L127" s="35"/>
    </row>
    <row r="128" spans="2:12" x14ac:dyDescent="0.35">
      <c r="B128" s="1" t="s">
        <v>119</v>
      </c>
      <c r="C128" s="6" t="s">
        <v>30</v>
      </c>
      <c r="D128" s="35">
        <f>D184</f>
        <v>10.104000000000001</v>
      </c>
      <c r="E128" s="35">
        <f t="shared" ref="E128:G128" si="50">E184</f>
        <v>8.8569999999999993</v>
      </c>
      <c r="F128" s="35">
        <f t="shared" si="50"/>
        <v>8.7530000000000001</v>
      </c>
      <c r="G128" s="35">
        <f t="shared" si="50"/>
        <v>0.379</v>
      </c>
      <c r="H128" s="37">
        <f>H184</f>
        <v>0.79100000000001724</v>
      </c>
      <c r="I128" s="37">
        <f t="shared" ref="I128:L128" si="51">I184</f>
        <v>0</v>
      </c>
      <c r="J128" s="37">
        <f t="shared" si="51"/>
        <v>0</v>
      </c>
      <c r="K128" s="37">
        <f t="shared" si="51"/>
        <v>0</v>
      </c>
      <c r="L128" s="37">
        <f t="shared" si="51"/>
        <v>0</v>
      </c>
    </row>
    <row r="129" spans="2:12" x14ac:dyDescent="0.35">
      <c r="B129" s="1" t="s">
        <v>24</v>
      </c>
      <c r="C129" s="6" t="s">
        <v>30</v>
      </c>
      <c r="D129" s="35">
        <v>2.6629999999999998</v>
      </c>
      <c r="E129" s="35">
        <v>2.4</v>
      </c>
      <c r="F129" s="35">
        <v>1.373</v>
      </c>
      <c r="G129" s="35">
        <v>0.79900000000000004</v>
      </c>
      <c r="H129" s="37">
        <f>H130-H128</f>
        <v>0.20899999999998276</v>
      </c>
      <c r="I129" s="37">
        <f t="shared" ref="I129:L129" si="52">I130-I128</f>
        <v>0.2</v>
      </c>
      <c r="J129" s="37">
        <f t="shared" si="52"/>
        <v>0.2</v>
      </c>
      <c r="K129" s="37">
        <f t="shared" si="52"/>
        <v>0.2</v>
      </c>
      <c r="L129" s="37">
        <f t="shared" si="52"/>
        <v>0.2</v>
      </c>
    </row>
    <row r="130" spans="2:12" x14ac:dyDescent="0.35">
      <c r="B130" s="30" t="s">
        <v>300</v>
      </c>
      <c r="C130" s="12"/>
      <c r="D130" s="46">
        <f>SUM(D128:D129)</f>
        <v>12.767000000000001</v>
      </c>
      <c r="E130" s="46">
        <f t="shared" ref="E130:G130" si="53">SUM(E128:E129)</f>
        <v>11.257</v>
      </c>
      <c r="F130" s="46">
        <f t="shared" si="53"/>
        <v>10.125999999999999</v>
      </c>
      <c r="G130" s="46">
        <f t="shared" si="53"/>
        <v>1.1779999999999999</v>
      </c>
      <c r="H130" s="47">
        <v>1</v>
      </c>
      <c r="I130" s="47">
        <v>0.2</v>
      </c>
      <c r="J130" s="47">
        <v>0.2</v>
      </c>
      <c r="K130" s="47">
        <v>0.2</v>
      </c>
      <c r="L130" s="47">
        <v>0.2</v>
      </c>
    </row>
    <row r="131" spans="2:12" x14ac:dyDescent="0.35">
      <c r="B131" s="1"/>
      <c r="D131" s="35"/>
      <c r="E131" s="35"/>
      <c r="F131" s="35"/>
      <c r="G131" s="35"/>
      <c r="H131" s="37"/>
      <c r="I131" s="37"/>
      <c r="J131" s="37"/>
      <c r="K131" s="37"/>
      <c r="L131" s="37"/>
    </row>
    <row r="132" spans="2:12" x14ac:dyDescent="0.35">
      <c r="B132" s="11" t="s">
        <v>99</v>
      </c>
      <c r="C132" s="12" t="s">
        <v>30</v>
      </c>
      <c r="D132" s="46">
        <f>D126+D130</f>
        <v>35.647999999999996</v>
      </c>
      <c r="E132" s="46">
        <f t="shared" ref="E132:L132" si="54">E126+E130</f>
        <v>35.912999999999997</v>
      </c>
      <c r="F132" s="46">
        <f t="shared" si="54"/>
        <v>20.494999999999997</v>
      </c>
      <c r="G132" s="46">
        <f t="shared" si="54"/>
        <v>4.0469999999999997</v>
      </c>
      <c r="H132" s="46">
        <f t="shared" si="54"/>
        <v>4.1656673600000005</v>
      </c>
      <c r="I132" s="46">
        <f t="shared" si="54"/>
        <v>1.8096304000000001</v>
      </c>
      <c r="J132" s="46">
        <f t="shared" si="54"/>
        <v>1.924604</v>
      </c>
      <c r="K132" s="46">
        <f t="shared" si="54"/>
        <v>1.8096304000000001</v>
      </c>
      <c r="L132" s="46">
        <f t="shared" si="54"/>
        <v>1.8096304000000001</v>
      </c>
    </row>
    <row r="133" spans="2:12" x14ac:dyDescent="0.35">
      <c r="D133" s="35"/>
      <c r="E133" s="35"/>
      <c r="F133" s="35"/>
      <c r="G133" s="35"/>
      <c r="H133" s="35"/>
      <c r="I133" s="35"/>
      <c r="J133" s="35"/>
      <c r="K133" s="35"/>
      <c r="L133" s="35"/>
    </row>
    <row r="134" spans="2:12" x14ac:dyDescent="0.35">
      <c r="B134" t="s">
        <v>103</v>
      </c>
      <c r="C134" s="6" t="s">
        <v>30</v>
      </c>
      <c r="D134" s="35">
        <v>3.984</v>
      </c>
      <c r="E134" s="35">
        <v>4.8440000000000003</v>
      </c>
      <c r="F134" s="35">
        <v>1.3240000000000001</v>
      </c>
      <c r="G134" s="35">
        <v>1.0109999999999999</v>
      </c>
      <c r="H134" s="35">
        <f>H153*H147*H150/unit</f>
        <v>1.3796831999999999</v>
      </c>
      <c r="I134" s="35">
        <f>I153*I147*I150/unit</f>
        <v>1.6096304000000001</v>
      </c>
      <c r="J134" s="35">
        <f>J153*J147*J150/unit</f>
        <v>1.724604</v>
      </c>
      <c r="K134" s="35">
        <f>K153*K147*K150/unit</f>
        <v>1.4371700000000001</v>
      </c>
      <c r="L134" s="35">
        <f>L153*L147*L150/unit</f>
        <v>1.4371700000000001</v>
      </c>
    </row>
    <row r="135" spans="2:12" x14ac:dyDescent="0.35">
      <c r="D135" s="35"/>
      <c r="E135" s="35"/>
      <c r="F135" s="35"/>
      <c r="G135" s="35"/>
      <c r="H135" s="35"/>
      <c r="I135" s="35"/>
      <c r="J135" s="35"/>
      <c r="K135" s="35"/>
      <c r="L135" s="35"/>
    </row>
    <row r="136" spans="2:12" x14ac:dyDescent="0.35">
      <c r="B136" s="1" t="s">
        <v>100</v>
      </c>
      <c r="C136" s="6" t="s">
        <v>30</v>
      </c>
      <c r="D136" s="35"/>
      <c r="E136" s="35">
        <v>763.40099999999995</v>
      </c>
      <c r="F136" s="35">
        <v>749.86800000000005</v>
      </c>
      <c r="G136" s="35">
        <v>736.33399999999995</v>
      </c>
      <c r="H136" s="35"/>
      <c r="I136" s="35"/>
      <c r="J136" s="35"/>
      <c r="K136" s="35"/>
      <c r="L136" s="35"/>
    </row>
    <row r="137" spans="2:12" x14ac:dyDescent="0.35">
      <c r="B137" s="1" t="s">
        <v>101</v>
      </c>
      <c r="C137" s="6" t="s">
        <v>30</v>
      </c>
      <c r="D137" s="35"/>
      <c r="E137" s="35">
        <v>2.1059999999999999</v>
      </c>
      <c r="F137" s="35">
        <v>1.1879999999999999</v>
      </c>
      <c r="G137" s="35">
        <v>1.369</v>
      </c>
      <c r="H137" s="35"/>
      <c r="I137" s="35"/>
      <c r="J137" s="35"/>
      <c r="K137" s="35"/>
      <c r="L137" s="35"/>
    </row>
    <row r="138" spans="2:12" x14ac:dyDescent="0.35">
      <c r="B138" s="1" t="s">
        <v>102</v>
      </c>
      <c r="C138" s="6" t="s">
        <v>30</v>
      </c>
      <c r="D138" s="35"/>
      <c r="E138" s="35">
        <v>17.138999999999999</v>
      </c>
      <c r="F138" s="35">
        <v>11.907999999999999</v>
      </c>
      <c r="G138" s="35">
        <v>8.8729999999999993</v>
      </c>
      <c r="H138" s="35"/>
      <c r="I138" s="35"/>
      <c r="J138" s="35"/>
      <c r="K138" s="35"/>
      <c r="L138" s="35"/>
    </row>
    <row r="139" spans="2:12" x14ac:dyDescent="0.35">
      <c r="B139" s="11" t="s">
        <v>104</v>
      </c>
      <c r="C139" s="12" t="s">
        <v>30</v>
      </c>
      <c r="D139" s="46"/>
      <c r="E139" s="46">
        <v>782.64599999999996</v>
      </c>
      <c r="F139" s="46">
        <f>SUM(F136:F138)</f>
        <v>762.96400000000006</v>
      </c>
      <c r="G139" s="46">
        <f t="shared" ref="G139" si="55">SUM(G136:G138)</f>
        <v>746.57600000000002</v>
      </c>
      <c r="H139" s="46">
        <f>H155*H147*H150/unit</f>
        <v>758.82575999999995</v>
      </c>
      <c r="I139" s="46">
        <f>I155*I147*I150/unit</f>
        <v>781.82047999999998</v>
      </c>
      <c r="J139" s="46">
        <f>J155*J147*J150/unit</f>
        <v>833.55859999999996</v>
      </c>
      <c r="K139" s="46">
        <f>K155*K147*K150/unit</f>
        <v>804.8152</v>
      </c>
      <c r="L139" s="46">
        <f>L155*L147*L150/unit</f>
        <v>804.8152</v>
      </c>
    </row>
    <row r="140" spans="2:12" x14ac:dyDescent="0.35">
      <c r="D140" s="35"/>
      <c r="E140" s="35"/>
      <c r="F140" s="35"/>
      <c r="G140" s="35"/>
      <c r="H140" s="35"/>
      <c r="I140" s="35"/>
      <c r="J140" s="35"/>
      <c r="K140" s="35"/>
      <c r="L140" s="35"/>
    </row>
    <row r="141" spans="2:12" x14ac:dyDescent="0.35">
      <c r="B141" s="1" t="s">
        <v>100</v>
      </c>
      <c r="C141" s="6" t="s">
        <v>30</v>
      </c>
      <c r="D141" s="35"/>
      <c r="E141" s="35"/>
      <c r="F141" s="35">
        <v>13.532999999999999</v>
      </c>
      <c r="G141" s="35">
        <v>13.532999999999999</v>
      </c>
      <c r="H141" s="35"/>
      <c r="I141" s="35"/>
      <c r="J141" s="35"/>
      <c r="K141" s="35"/>
      <c r="L141" s="35"/>
    </row>
    <row r="142" spans="2:12" x14ac:dyDescent="0.35">
      <c r="B142" s="1" t="s">
        <v>101</v>
      </c>
      <c r="C142" s="6" t="s">
        <v>30</v>
      </c>
      <c r="D142" s="35"/>
      <c r="E142" s="35"/>
      <c r="F142" s="35">
        <v>1.1619999999999999</v>
      </c>
      <c r="G142" s="35">
        <v>1.248</v>
      </c>
      <c r="H142" s="35"/>
      <c r="I142" s="35"/>
      <c r="J142" s="35"/>
      <c r="K142" s="35"/>
      <c r="L142" s="35"/>
    </row>
    <row r="143" spans="2:12" x14ac:dyDescent="0.35">
      <c r="B143" s="1" t="s">
        <v>102</v>
      </c>
      <c r="C143" s="6" t="s">
        <v>30</v>
      </c>
      <c r="D143" s="35"/>
      <c r="E143" s="35"/>
      <c r="F143" s="35">
        <v>4.2690000000000001</v>
      </c>
      <c r="G143" s="35">
        <v>3.52</v>
      </c>
      <c r="H143" s="35"/>
      <c r="I143" s="35"/>
      <c r="J143" s="35"/>
      <c r="K143" s="35"/>
      <c r="L143" s="35"/>
    </row>
    <row r="144" spans="2:12" x14ac:dyDescent="0.35">
      <c r="B144" s="30" t="s">
        <v>106</v>
      </c>
      <c r="C144" s="12" t="s">
        <v>30</v>
      </c>
      <c r="D144" s="46"/>
      <c r="E144" s="46"/>
      <c r="F144" s="46">
        <f>SUM(F141:F143)</f>
        <v>18.963999999999999</v>
      </c>
      <c r="G144" s="46">
        <f t="shared" ref="G144" si="56">SUM(G141:G143)</f>
        <v>18.300999999999998</v>
      </c>
      <c r="H144" s="46">
        <f>H154*H147*H150/unit</f>
        <v>20.695247999999999</v>
      </c>
      <c r="I144" s="46">
        <f>I154*I147*I150/unit</f>
        <v>25.294191999999999</v>
      </c>
      <c r="J144" s="46">
        <f>J154*J147*J150/unit</f>
        <v>29.893135999999998</v>
      </c>
      <c r="K144" s="46">
        <f>K154*K147*K150/unit</f>
        <v>29.893135999999998</v>
      </c>
      <c r="L144" s="46">
        <f>L154*L147*L150/unit</f>
        <v>29.318268</v>
      </c>
    </row>
    <row r="146" spans="2:12" x14ac:dyDescent="0.35">
      <c r="B146" s="3" t="s">
        <v>107</v>
      </c>
      <c r="C146" s="6" t="s">
        <v>126</v>
      </c>
      <c r="F146" s="19">
        <f>F139/'Balance Sheet'!F91</f>
        <v>0.16347843675528631</v>
      </c>
      <c r="G146" s="19">
        <f>G139/'Balance Sheet'!G91</f>
        <v>0.16764530269303241</v>
      </c>
      <c r="H146" s="9">
        <v>0.1676</v>
      </c>
      <c r="I146" s="9">
        <v>0.1676</v>
      </c>
      <c r="J146" s="9">
        <v>0.1676</v>
      </c>
      <c r="K146" s="9">
        <v>0.1676</v>
      </c>
      <c r="L146" s="9">
        <v>0.1676</v>
      </c>
    </row>
    <row r="147" spans="2:12" x14ac:dyDescent="0.35">
      <c r="B147" s="1" t="s">
        <v>112</v>
      </c>
      <c r="C147" s="6" t="s">
        <v>120</v>
      </c>
      <c r="D147" s="35"/>
      <c r="E147" s="35"/>
      <c r="F147" s="35">
        <f>F146*Basic!F32</f>
        <v>56073.103807063206</v>
      </c>
      <c r="G147" s="35">
        <f>G146*Basic!G32</f>
        <v>57502.338823710117</v>
      </c>
      <c r="H147" s="35">
        <f>H146*Basic!H32</f>
        <v>57486.8</v>
      </c>
      <c r="I147" s="35">
        <f>I146*Basic!I32</f>
        <v>57486.8</v>
      </c>
      <c r="J147" s="35">
        <f>J146*Basic!J32</f>
        <v>57486.8</v>
      </c>
      <c r="K147" s="35">
        <f>K146*Basic!K32</f>
        <v>57486.8</v>
      </c>
      <c r="L147" s="35">
        <f>L146*Basic!L32</f>
        <v>57486.8</v>
      </c>
    </row>
    <row r="148" spans="2:12" x14ac:dyDescent="0.35">
      <c r="B148" s="1" t="s">
        <v>113</v>
      </c>
      <c r="C148" s="6" t="s">
        <v>120</v>
      </c>
      <c r="D148" s="35"/>
      <c r="E148" s="35"/>
      <c r="F148" s="35">
        <f>(1-F146)*Basic!F32</f>
        <v>286926.89619293681</v>
      </c>
      <c r="G148" s="35">
        <f>(1-G146)*Basic!G32</f>
        <v>285497.66117628984</v>
      </c>
      <c r="H148" s="35">
        <f>(1-H146)*Basic!H32</f>
        <v>285513.2</v>
      </c>
      <c r="I148" s="35">
        <f>(1-I146)*Basic!I32</f>
        <v>285513.2</v>
      </c>
      <c r="J148" s="35">
        <f>(1-J146)*Basic!J32</f>
        <v>285513.2</v>
      </c>
      <c r="K148" s="35">
        <f>(1-K146)*Basic!K32</f>
        <v>285513.2</v>
      </c>
      <c r="L148" s="35">
        <f>(1-L146)*Basic!L32</f>
        <v>285513.2</v>
      </c>
    </row>
    <row r="149" spans="2:12" ht="15" thickBot="1" x14ac:dyDescent="0.4"/>
    <row r="150" spans="2:12" ht="15" thickBot="1" x14ac:dyDescent="0.4">
      <c r="B150" s="45" t="s">
        <v>117</v>
      </c>
      <c r="C150" s="42" t="s">
        <v>126</v>
      </c>
      <c r="D150" s="43">
        <f>Basic!D22</f>
        <v>1</v>
      </c>
      <c r="E150" s="43">
        <f>Basic!E22</f>
        <v>1</v>
      </c>
      <c r="F150" s="43">
        <f>Basic!F22</f>
        <v>1</v>
      </c>
      <c r="G150" s="43">
        <f>Basic!G22</f>
        <v>0.39890710382513661</v>
      </c>
      <c r="H150" s="43">
        <f>Basic!H22</f>
        <v>0.6</v>
      </c>
      <c r="I150" s="43">
        <f>Basic!I22</f>
        <v>0.8</v>
      </c>
      <c r="J150" s="43">
        <f>Basic!J22</f>
        <v>1</v>
      </c>
      <c r="K150" s="43">
        <f>Basic!K22</f>
        <v>1</v>
      </c>
      <c r="L150" s="44">
        <f>Basic!L22</f>
        <v>1</v>
      </c>
    </row>
    <row r="152" spans="2:12" x14ac:dyDescent="0.35">
      <c r="B152" t="s">
        <v>174</v>
      </c>
      <c r="C152" s="6" t="s">
        <v>118</v>
      </c>
      <c r="D152" s="35"/>
      <c r="E152" s="35"/>
      <c r="F152" s="35">
        <f>F125*unit/(F147*F150)</f>
        <v>28.801687268051101</v>
      </c>
      <c r="G152" s="35">
        <f>G125*unit/(G147*G150)</f>
        <v>49.916969021960675</v>
      </c>
      <c r="H152" s="36">
        <v>42</v>
      </c>
      <c r="I152" s="36">
        <v>35</v>
      </c>
      <c r="J152" s="36">
        <v>30</v>
      </c>
      <c r="K152" s="36">
        <v>28</v>
      </c>
      <c r="L152" s="36">
        <v>28</v>
      </c>
    </row>
    <row r="153" spans="2:12" x14ac:dyDescent="0.35">
      <c r="B153" t="s">
        <v>114</v>
      </c>
      <c r="C153" s="6" t="s">
        <v>118</v>
      </c>
      <c r="D153" s="35"/>
      <c r="E153" s="35"/>
      <c r="F153" s="35">
        <f>F134*unit/(F147*F150)</f>
        <v>23.612033401176259</v>
      </c>
      <c r="G153" s="35">
        <f>G134*unit/(G147*G150)</f>
        <v>44.075157800176626</v>
      </c>
      <c r="H153" s="36">
        <v>40</v>
      </c>
      <c r="I153" s="36">
        <v>35</v>
      </c>
      <c r="J153" s="36">
        <v>30</v>
      </c>
      <c r="K153" s="36">
        <v>25</v>
      </c>
      <c r="L153" s="36">
        <v>25</v>
      </c>
    </row>
    <row r="154" spans="2:12" x14ac:dyDescent="0.35">
      <c r="B154" t="s">
        <v>116</v>
      </c>
      <c r="C154" s="6" t="s">
        <v>118</v>
      </c>
      <c r="D154" s="35"/>
      <c r="E154" s="35"/>
      <c r="F154" s="35">
        <f>F144*unit/(F147*F150)</f>
        <v>338.20136058905331</v>
      </c>
      <c r="G154" s="35">
        <f>G144*unit/(G147*G150)</f>
        <v>797.84318783484923</v>
      </c>
      <c r="H154" s="36">
        <v>600</v>
      </c>
      <c r="I154" s="36">
        <v>550</v>
      </c>
      <c r="J154" s="36">
        <v>520</v>
      </c>
      <c r="K154" s="36">
        <v>520</v>
      </c>
      <c r="L154" s="36">
        <v>510</v>
      </c>
    </row>
    <row r="155" spans="2:12" x14ac:dyDescent="0.35">
      <c r="B155" t="s">
        <v>115</v>
      </c>
      <c r="C155" s="6" t="s">
        <v>118</v>
      </c>
      <c r="D155" s="35"/>
      <c r="E155" s="35"/>
      <c r="F155" s="35">
        <f>F139*unit/(F147*F150)</f>
        <v>13606.594752186587</v>
      </c>
      <c r="G155" s="35">
        <f>G139*unit/(G147*G150)</f>
        <v>32547.433244139142</v>
      </c>
      <c r="H155" s="36">
        <v>22000</v>
      </c>
      <c r="I155" s="36">
        <v>17000</v>
      </c>
      <c r="J155" s="36">
        <v>14500</v>
      </c>
      <c r="K155" s="36">
        <v>14000</v>
      </c>
      <c r="L155" s="36">
        <v>14000</v>
      </c>
    </row>
    <row r="156" spans="2:12" x14ac:dyDescent="0.35">
      <c r="D156" s="35"/>
      <c r="E156" s="35"/>
      <c r="F156" s="35"/>
      <c r="G156" s="35"/>
      <c r="H156" s="35"/>
      <c r="I156" s="35"/>
      <c r="J156" s="35"/>
      <c r="K156" s="35"/>
      <c r="L156" s="35"/>
    </row>
    <row r="157" spans="2:12" x14ac:dyDescent="0.35">
      <c r="B157" t="s">
        <v>125</v>
      </c>
      <c r="C157" s="6" t="s">
        <v>118</v>
      </c>
      <c r="D157" s="35"/>
      <c r="E157" s="35"/>
      <c r="F157" s="35">
        <f>(F57-F144)*unit/(F148*F150)</f>
        <v>1201.3234192176271</v>
      </c>
      <c r="G157" s="35">
        <f>(G57-G144)*unit/(G148*G150)</f>
        <v>2266.1313200086993</v>
      </c>
      <c r="H157" s="36">
        <v>1500</v>
      </c>
      <c r="I157" s="36">
        <v>1400</v>
      </c>
      <c r="J157" s="36">
        <v>1200</v>
      </c>
      <c r="K157" s="36">
        <v>1100</v>
      </c>
      <c r="L157" s="36">
        <v>1100</v>
      </c>
    </row>
    <row r="158" spans="2:12" x14ac:dyDescent="0.35">
      <c r="B158" t="s">
        <v>299</v>
      </c>
      <c r="C158" s="6" t="s">
        <v>118</v>
      </c>
      <c r="D158" s="35"/>
      <c r="E158" s="35"/>
      <c r="F158" s="35">
        <f>('Balance Sheet'!F91-Expense!F139)*unit/Expense!F148</f>
        <v>13606.594752186589</v>
      </c>
      <c r="G158" s="35">
        <f>('Balance Sheet'!G91-Expense!G139)*unit/Expense!G148</f>
        <v>12983.402332361518</v>
      </c>
      <c r="H158" s="36">
        <v>12500</v>
      </c>
      <c r="I158" s="36">
        <v>12000</v>
      </c>
      <c r="J158" s="36">
        <v>11500</v>
      </c>
      <c r="K158" s="36">
        <v>11000</v>
      </c>
      <c r="L158" s="36">
        <v>10500</v>
      </c>
    </row>
    <row r="159" spans="2:12" x14ac:dyDescent="0.35">
      <c r="D159" s="35"/>
      <c r="E159" s="35"/>
      <c r="F159" s="35"/>
      <c r="G159" s="35"/>
      <c r="H159" s="37"/>
      <c r="I159" s="37"/>
      <c r="J159" s="37"/>
      <c r="K159" s="37"/>
      <c r="L159" s="37"/>
    </row>
    <row r="160" spans="2:12" x14ac:dyDescent="0.35">
      <c r="B160" t="s">
        <v>301</v>
      </c>
      <c r="C160" s="6" t="s">
        <v>118</v>
      </c>
      <c r="D160" s="35"/>
      <c r="E160" s="35"/>
      <c r="F160" s="35">
        <f>F103*unit/F148</f>
        <v>3.0042495542849692</v>
      </c>
      <c r="G160" s="35">
        <f>G103*unit/G148</f>
        <v>6.2452350490501161</v>
      </c>
      <c r="H160" s="36">
        <v>4.5</v>
      </c>
      <c r="I160" s="36">
        <v>4</v>
      </c>
      <c r="J160" s="36">
        <v>3</v>
      </c>
      <c r="K160" s="36">
        <v>3</v>
      </c>
      <c r="L160" s="36">
        <v>3</v>
      </c>
    </row>
    <row r="162" spans="2:12" x14ac:dyDescent="0.35">
      <c r="B162" s="14" t="s">
        <v>148</v>
      </c>
      <c r="C162" s="15" t="s">
        <v>3</v>
      </c>
      <c r="D162" s="16">
        <f t="shared" ref="D162:L162" si="57">D2</f>
        <v>43100</v>
      </c>
      <c r="E162" s="16">
        <f t="shared" si="57"/>
        <v>43465</v>
      </c>
      <c r="F162" s="16">
        <f t="shared" si="57"/>
        <v>43830</v>
      </c>
      <c r="G162" s="16">
        <f t="shared" si="57"/>
        <v>44196</v>
      </c>
      <c r="H162" s="16">
        <f t="shared" si="57"/>
        <v>44561</v>
      </c>
      <c r="I162" s="16">
        <f t="shared" si="57"/>
        <v>44926</v>
      </c>
      <c r="J162" s="16">
        <f t="shared" si="57"/>
        <v>45291</v>
      </c>
      <c r="K162" s="16">
        <f t="shared" si="57"/>
        <v>45657</v>
      </c>
      <c r="L162" s="16">
        <f t="shared" si="57"/>
        <v>46022</v>
      </c>
    </row>
    <row r="164" spans="2:12" x14ac:dyDescent="0.35">
      <c r="B164" s="1" t="s">
        <v>140</v>
      </c>
      <c r="C164" s="6" t="s">
        <v>30</v>
      </c>
      <c r="D164" s="35">
        <f>IF(D166-D165&gt;0,D166-D165, "ERROR")</f>
        <v>28.842029999999966</v>
      </c>
      <c r="E164" s="35">
        <f t="shared" ref="E164:G164" si="58">IF(E166-E165&gt;0,E166-E165, "ERROR")</f>
        <v>28.167569999999955</v>
      </c>
      <c r="F164" s="35">
        <f t="shared" si="58"/>
        <v>15.005769999999956</v>
      </c>
      <c r="G164" s="35">
        <f t="shared" si="58"/>
        <v>24.740560000000009</v>
      </c>
      <c r="H164" s="36">
        <v>0</v>
      </c>
      <c r="I164" s="36">
        <v>0</v>
      </c>
      <c r="J164" s="36">
        <v>0</v>
      </c>
      <c r="K164" s="36">
        <v>0</v>
      </c>
      <c r="L164" s="36">
        <v>0</v>
      </c>
    </row>
    <row r="165" spans="2:12" x14ac:dyDescent="0.35">
      <c r="B165" s="1" t="s">
        <v>141</v>
      </c>
      <c r="C165" s="6" t="s">
        <v>30</v>
      </c>
      <c r="D165" s="35">
        <f>(Combined!D20-Combined!D17)*tax</f>
        <v>145.62897000000004</v>
      </c>
      <c r="E165" s="35">
        <f>(Combined!E20-Combined!E17)*tax</f>
        <v>159.67743000000004</v>
      </c>
      <c r="F165" s="35">
        <f>(Combined!F20-Combined!F17)*tax</f>
        <v>143.29623000000004</v>
      </c>
      <c r="G165" s="35">
        <f>(Combined!G20-Combined!G17)*tax</f>
        <v>18.99443999999999</v>
      </c>
      <c r="H165" s="35">
        <f>(Combined!H20-Combined!H17)*tax</f>
        <v>40.058445312123453</v>
      </c>
      <c r="I165" s="35">
        <f>(Combined!I20-Combined!I17)*tax</f>
        <v>113.38059952917274</v>
      </c>
      <c r="J165" s="35">
        <f>(Combined!J20-Combined!J17)*tax</f>
        <v>158.60061520894425</v>
      </c>
      <c r="K165" s="35">
        <f>(Combined!K20-Combined!K17)*tax</f>
        <v>159.79278614366484</v>
      </c>
      <c r="L165" s="35">
        <f>(Combined!L20-Combined!L17)*tax</f>
        <v>158.81164021681585</v>
      </c>
    </row>
    <row r="166" spans="2:12" x14ac:dyDescent="0.35">
      <c r="B166" s="11" t="s">
        <v>142</v>
      </c>
      <c r="C166" s="12" t="s">
        <v>30</v>
      </c>
      <c r="D166" s="46">
        <v>174.471</v>
      </c>
      <c r="E166" s="46">
        <v>187.845</v>
      </c>
      <c r="F166" s="46">
        <v>158.30199999999999</v>
      </c>
      <c r="G166" s="46">
        <v>43.734999999999999</v>
      </c>
      <c r="H166" s="46">
        <f>SUM(H164:H165)</f>
        <v>40.058445312123453</v>
      </c>
      <c r="I166" s="46">
        <f t="shared" ref="I166:L166" si="59">SUM(I164:I165)</f>
        <v>113.38059952917274</v>
      </c>
      <c r="J166" s="46">
        <f t="shared" si="59"/>
        <v>158.60061520894425</v>
      </c>
      <c r="K166" s="46">
        <f t="shared" si="59"/>
        <v>159.79278614366484</v>
      </c>
      <c r="L166" s="46">
        <f t="shared" si="59"/>
        <v>158.81164021681585</v>
      </c>
    </row>
    <row r="167" spans="2:12" x14ac:dyDescent="0.35">
      <c r="B167" s="1"/>
    </row>
    <row r="169" spans="2:12" x14ac:dyDescent="0.35">
      <c r="B169" t="s">
        <v>149</v>
      </c>
      <c r="C169" s="6" t="s">
        <v>30</v>
      </c>
      <c r="D169" s="35">
        <v>3.3849999999999998</v>
      </c>
      <c r="E169" s="35">
        <v>3.9590000000000001</v>
      </c>
      <c r="F169" s="35">
        <v>3.9870000000000001</v>
      </c>
      <c r="G169" s="35">
        <v>1.244</v>
      </c>
      <c r="H169" s="35">
        <f>H170*Revenue!H17</f>
        <v>1.7799354300000001</v>
      </c>
      <c r="I169" s="35">
        <f>I170*Revenue!I17</f>
        <v>2.8422218865753424</v>
      </c>
      <c r="J169" s="35">
        <f>J170*Revenue!J17</f>
        <v>3.6796622638698628</v>
      </c>
      <c r="K169" s="35">
        <f>K170*Revenue!K17</f>
        <v>3.8065471695205484</v>
      </c>
      <c r="L169" s="35">
        <f>L170*Revenue!L17</f>
        <v>3.8065471695205484</v>
      </c>
    </row>
    <row r="170" spans="2:12" x14ac:dyDescent="0.35">
      <c r="B170" s="1" t="s">
        <v>77</v>
      </c>
      <c r="C170" s="6" t="s">
        <v>126</v>
      </c>
      <c r="D170" s="19">
        <f>D169/Revenue!D17</f>
        <v>1.4148031459203304E-3</v>
      </c>
      <c r="E170" s="19">
        <f>E169/Revenue!E17</f>
        <v>1.5591309981155741E-3</v>
      </c>
      <c r="F170" s="19">
        <f>F169/Revenue!F17</f>
        <v>1.6074409153583782E-3</v>
      </c>
      <c r="G170" s="19">
        <f>G169/Revenue!G17</f>
        <v>1.1694488079424751E-3</v>
      </c>
      <c r="H170" s="9">
        <v>1.4E-3</v>
      </c>
      <c r="I170" s="9">
        <v>1.4E-3</v>
      </c>
      <c r="J170" s="9">
        <v>1.4499999999999999E-3</v>
      </c>
      <c r="K170" s="9">
        <v>1.5E-3</v>
      </c>
      <c r="L170" s="9">
        <v>1.5E-3</v>
      </c>
    </row>
    <row r="172" spans="2:12" x14ac:dyDescent="0.35">
      <c r="B172" t="s">
        <v>137</v>
      </c>
      <c r="C172" s="6" t="s">
        <v>30</v>
      </c>
      <c r="D172" s="35">
        <v>71.093999999999994</v>
      </c>
      <c r="E172" s="35">
        <v>72.341999999999999</v>
      </c>
      <c r="F172" s="35">
        <v>80.072999999999993</v>
      </c>
      <c r="G172" s="35">
        <v>45.545999999999999</v>
      </c>
      <c r="H172" s="35">
        <f>H174*H173</f>
        <v>53.999999999999993</v>
      </c>
      <c r="I172" s="35">
        <f t="shared" ref="I172:L172" si="60">I174*I173</f>
        <v>53.999999999999993</v>
      </c>
      <c r="J172" s="35">
        <f t="shared" si="60"/>
        <v>53.999999999999993</v>
      </c>
      <c r="K172" s="35">
        <f t="shared" si="60"/>
        <v>53.999999999999993</v>
      </c>
      <c r="L172" s="35">
        <f t="shared" si="60"/>
        <v>53.999999999999993</v>
      </c>
    </row>
    <row r="173" spans="2:12" x14ac:dyDescent="0.35">
      <c r="B173" s="1" t="s">
        <v>327</v>
      </c>
      <c r="C173" s="6" t="s">
        <v>126</v>
      </c>
      <c r="D173" s="19">
        <f>D172/D174</f>
        <v>2.3697999999999997E-2</v>
      </c>
      <c r="E173" s="19">
        <f t="shared" ref="E173:G173" si="61">E172/E174</f>
        <v>2.4114E-2</v>
      </c>
      <c r="F173" s="19">
        <f t="shared" si="61"/>
        <v>2.6690999999999999E-2</v>
      </c>
      <c r="G173" s="19">
        <f t="shared" si="61"/>
        <v>1.5181999999999999E-2</v>
      </c>
      <c r="H173" s="9">
        <v>1.7999999999999999E-2</v>
      </c>
      <c r="I173" s="9">
        <v>1.7999999999999999E-2</v>
      </c>
      <c r="J173" s="9">
        <v>1.7999999999999999E-2</v>
      </c>
      <c r="K173" s="9">
        <v>1.7999999999999999E-2</v>
      </c>
      <c r="L173" s="9">
        <v>1.7999999999999999E-2</v>
      </c>
    </row>
    <row r="174" spans="2:12" x14ac:dyDescent="0.35">
      <c r="B174" t="s">
        <v>326</v>
      </c>
      <c r="D174">
        <v>3000</v>
      </c>
      <c r="E174">
        <v>3000</v>
      </c>
      <c r="F174">
        <v>3000</v>
      </c>
      <c r="G174">
        <v>3000</v>
      </c>
      <c r="H174">
        <v>3000</v>
      </c>
      <c r="I174">
        <v>3000</v>
      </c>
      <c r="J174">
        <v>3000</v>
      </c>
      <c r="K174">
        <v>3000</v>
      </c>
      <c r="L174">
        <v>3000</v>
      </c>
    </row>
    <row r="176" spans="2:12" x14ac:dyDescent="0.35">
      <c r="B176" s="14" t="s">
        <v>305</v>
      </c>
      <c r="C176" s="15" t="s">
        <v>3</v>
      </c>
      <c r="D176" s="16">
        <f>D2</f>
        <v>43100</v>
      </c>
      <c r="E176" s="16">
        <f t="shared" ref="E176:L176" si="62">E2</f>
        <v>43465</v>
      </c>
      <c r="F176" s="16">
        <f t="shared" si="62"/>
        <v>43830</v>
      </c>
      <c r="G176" s="16">
        <f t="shared" si="62"/>
        <v>44196</v>
      </c>
      <c r="H176" s="16">
        <f t="shared" si="62"/>
        <v>44561</v>
      </c>
      <c r="I176" s="16">
        <f t="shared" si="62"/>
        <v>44926</v>
      </c>
      <c r="J176" s="16">
        <f t="shared" si="62"/>
        <v>45291</v>
      </c>
      <c r="K176" s="16">
        <f t="shared" si="62"/>
        <v>45657</v>
      </c>
      <c r="L176" s="16">
        <f t="shared" si="62"/>
        <v>46022</v>
      </c>
    </row>
    <row r="178" spans="2:12" x14ac:dyDescent="0.35">
      <c r="B178" t="s">
        <v>306</v>
      </c>
      <c r="E178" s="35">
        <v>2.21</v>
      </c>
      <c r="F178" s="35">
        <v>-1.431</v>
      </c>
      <c r="G178" s="35">
        <v>2.0219999999999998</v>
      </c>
      <c r="H178" s="36">
        <v>0</v>
      </c>
      <c r="I178" s="36">
        <v>0</v>
      </c>
      <c r="J178" s="36">
        <v>0</v>
      </c>
      <c r="K178" s="36">
        <v>0</v>
      </c>
      <c r="L178" s="36">
        <v>0</v>
      </c>
    </row>
    <row r="179" spans="2:12" x14ac:dyDescent="0.35">
      <c r="E179" s="35"/>
      <c r="F179" s="35"/>
      <c r="G179" s="35"/>
      <c r="H179" s="35"/>
      <c r="I179" s="35"/>
      <c r="J179" s="35"/>
      <c r="K179" s="35"/>
      <c r="L179" s="35"/>
    </row>
    <row r="180" spans="2:12" x14ac:dyDescent="0.35">
      <c r="B180" t="s">
        <v>307</v>
      </c>
      <c r="E180" s="35">
        <f t="shared" ref="E180:F180" si="63">-E111</f>
        <v>-5.3879999999999999</v>
      </c>
      <c r="F180" s="35">
        <f t="shared" si="63"/>
        <v>-3.0339999999999998</v>
      </c>
      <c r="G180" s="35">
        <f>-G111</f>
        <v>-0.95399999999999996</v>
      </c>
      <c r="H180" s="35"/>
      <c r="I180" s="35"/>
      <c r="J180" s="35"/>
      <c r="K180" s="35"/>
      <c r="L180" s="35"/>
    </row>
    <row r="181" spans="2:12" x14ac:dyDescent="0.35">
      <c r="E181" s="35"/>
      <c r="F181" s="35"/>
      <c r="G181" s="35"/>
      <c r="H181" s="35"/>
      <c r="I181" s="35"/>
      <c r="J181" s="35"/>
      <c r="K181" s="35"/>
      <c r="L181" s="35"/>
    </row>
    <row r="182" spans="2:12" x14ac:dyDescent="0.35">
      <c r="B182" s="1" t="s">
        <v>96</v>
      </c>
      <c r="D182">
        <v>10.031000000000001</v>
      </c>
      <c r="E182" s="35">
        <v>8.51</v>
      </c>
      <c r="F182" s="35">
        <v>8.3870000000000005</v>
      </c>
      <c r="G182" s="35">
        <v>0</v>
      </c>
      <c r="H182" s="36">
        <v>0</v>
      </c>
      <c r="I182" s="36">
        <v>0</v>
      </c>
      <c r="J182" s="36">
        <v>0</v>
      </c>
      <c r="K182" s="36">
        <v>0</v>
      </c>
      <c r="L182" s="36">
        <v>0</v>
      </c>
    </row>
    <row r="183" spans="2:12" x14ac:dyDescent="0.35">
      <c r="B183" s="1" t="s">
        <v>332</v>
      </c>
      <c r="D183">
        <v>7.2999999999999995E-2</v>
      </c>
      <c r="E183" s="35">
        <v>0.34699999999999998</v>
      </c>
      <c r="F183" s="35">
        <v>0.36599999999999999</v>
      </c>
      <c r="G183" s="35">
        <v>0.379</v>
      </c>
      <c r="H183" s="36">
        <f>CF!D72-G183-F183-E183-D183</f>
        <v>0.79100000000001724</v>
      </c>
      <c r="I183" s="36">
        <v>0</v>
      </c>
      <c r="J183" s="36">
        <v>0</v>
      </c>
      <c r="K183" s="36">
        <v>0</v>
      </c>
      <c r="L183" s="36">
        <v>0</v>
      </c>
    </row>
    <row r="184" spans="2:12" x14ac:dyDescent="0.35">
      <c r="B184" t="s">
        <v>331</v>
      </c>
      <c r="D184">
        <f>SUM(D182:D183)</f>
        <v>10.104000000000001</v>
      </c>
      <c r="E184">
        <f t="shared" ref="E184:G184" si="64">SUM(E182:E183)</f>
        <v>8.8569999999999993</v>
      </c>
      <c r="F184">
        <f t="shared" si="64"/>
        <v>8.7530000000000001</v>
      </c>
      <c r="G184">
        <f t="shared" si="64"/>
        <v>0.379</v>
      </c>
      <c r="H184" s="4">
        <f t="shared" ref="H184" si="65">SUM(H182:H183)</f>
        <v>0.79100000000001724</v>
      </c>
      <c r="I184" s="4">
        <v>0</v>
      </c>
      <c r="J184" s="4">
        <v>0</v>
      </c>
      <c r="K184" s="4">
        <v>0</v>
      </c>
      <c r="L18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730A0-18CA-4D38-892D-8FA508383170}">
  <dimension ref="B2:L129"/>
  <sheetViews>
    <sheetView topLeftCell="A26" workbookViewId="0">
      <selection activeCell="H89" sqref="H89"/>
    </sheetView>
  </sheetViews>
  <sheetFormatPr defaultRowHeight="14.5" x14ac:dyDescent="0.35"/>
  <cols>
    <col min="2" max="2" width="34.08984375" bestFit="1" customWidth="1"/>
    <col min="3" max="3" width="9.08984375" style="6"/>
    <col min="8" max="8" width="9.7265625" bestFit="1" customWidth="1"/>
  </cols>
  <sheetData>
    <row r="2" spans="2:12" x14ac:dyDescent="0.35">
      <c r="B2" s="20" t="s">
        <v>20</v>
      </c>
      <c r="C2" s="28" t="s">
        <v>3</v>
      </c>
      <c r="D2" s="21">
        <f t="shared" ref="D2:E2" si="0">EOMONTH(E2,-12)</f>
        <v>43100</v>
      </c>
      <c r="E2" s="21">
        <f t="shared" si="0"/>
        <v>43465</v>
      </c>
      <c r="F2" s="21">
        <f>EOMONTH(G2,-12)</f>
        <v>43830</v>
      </c>
      <c r="G2" s="21">
        <f>Hist_Yr</f>
        <v>44196</v>
      </c>
      <c r="H2" s="21">
        <f>EOMONTH(G2,12)</f>
        <v>44561</v>
      </c>
      <c r="I2" s="21">
        <f t="shared" ref="I2:L2" si="1">EOMONTH(H2,12)</f>
        <v>44926</v>
      </c>
      <c r="J2" s="21">
        <f t="shared" si="1"/>
        <v>45291</v>
      </c>
      <c r="K2" s="21">
        <f t="shared" si="1"/>
        <v>45657</v>
      </c>
      <c r="L2" s="21">
        <f t="shared" si="1"/>
        <v>46022</v>
      </c>
    </row>
    <row r="4" spans="2:12" x14ac:dyDescent="0.35">
      <c r="B4" t="s">
        <v>108</v>
      </c>
      <c r="D4" s="35">
        <v>48.6</v>
      </c>
      <c r="E4" s="35">
        <v>48.805999999999997</v>
      </c>
      <c r="F4" s="35">
        <v>48.695</v>
      </c>
      <c r="G4" s="35">
        <v>43.783999999999999</v>
      </c>
      <c r="H4" s="35">
        <f>H5*Expense!H6/Basic!H21</f>
        <v>44.10739000539084</v>
      </c>
      <c r="I4" s="35">
        <f>I5*Expense!I6/Basic!I21</f>
        <v>46.546369997805897</v>
      </c>
      <c r="J4" s="35">
        <f>J5*Expense!J6/Basic!J21</f>
        <v>50.002467796034999</v>
      </c>
      <c r="K4" s="35">
        <f>K5*Expense!K6/Basic!K21</f>
        <v>49.756792848486768</v>
      </c>
      <c r="L4" s="35">
        <f>L5*Expense!L6/Basic!L21</f>
        <v>49.962351221557469</v>
      </c>
    </row>
    <row r="5" spans="2:12" x14ac:dyDescent="0.35">
      <c r="B5" s="1" t="s">
        <v>166</v>
      </c>
      <c r="C5" s="6" t="s">
        <v>16</v>
      </c>
      <c r="D5" s="23">
        <f>Basic!D21*D4/Expense!D6</f>
        <v>13.462001094323556</v>
      </c>
      <c r="E5" s="23">
        <f>Basic!E21*E4/Expense!E6</f>
        <v>12.858433863212955</v>
      </c>
      <c r="F5" s="23">
        <f>Basic!F21*F4/Expense!F6</f>
        <v>12.246566743768943</v>
      </c>
      <c r="G5" s="23">
        <f>Basic!G21*G4/Expense!G6</f>
        <v>19.263227362172778</v>
      </c>
      <c r="H5" s="24">
        <v>17</v>
      </c>
      <c r="I5" s="24">
        <v>14</v>
      </c>
      <c r="J5" s="24">
        <v>13</v>
      </c>
      <c r="K5" s="24">
        <v>13</v>
      </c>
      <c r="L5" s="24">
        <v>13</v>
      </c>
    </row>
    <row r="6" spans="2:12" x14ac:dyDescent="0.35">
      <c r="B6" s="1" t="s">
        <v>215</v>
      </c>
      <c r="C6" s="6" t="s">
        <v>30</v>
      </c>
      <c r="D6" s="23"/>
      <c r="E6" s="23">
        <f>E4-D4</f>
        <v>0.20599999999999596</v>
      </c>
      <c r="F6" s="23">
        <f t="shared" ref="F6:L6" si="2">F4-E4</f>
        <v>-0.1109999999999971</v>
      </c>
      <c r="G6" s="23">
        <f t="shared" si="2"/>
        <v>-4.9110000000000014</v>
      </c>
      <c r="H6" s="23">
        <f t="shared" si="2"/>
        <v>0.3233900053908414</v>
      </c>
      <c r="I6" s="23">
        <f t="shared" si="2"/>
        <v>2.4389799924150566</v>
      </c>
      <c r="J6" s="23">
        <f t="shared" si="2"/>
        <v>3.4560977982291021</v>
      </c>
      <c r="K6" s="23">
        <f t="shared" si="2"/>
        <v>-0.24567494754823116</v>
      </c>
      <c r="L6" s="23">
        <f t="shared" si="2"/>
        <v>0.20555837307070135</v>
      </c>
    </row>
    <row r="8" spans="2:12" x14ac:dyDescent="0.35">
      <c r="B8" t="s">
        <v>109</v>
      </c>
      <c r="D8" s="35">
        <v>126.907</v>
      </c>
      <c r="E8" s="35">
        <v>143.792</v>
      </c>
      <c r="F8" s="35">
        <v>137.45400000000001</v>
      </c>
      <c r="G8" s="35">
        <v>56.143000000000001</v>
      </c>
      <c r="H8" s="35">
        <f>H9*Revenue!H17/Basic!H21</f>
        <v>69.664791780821915</v>
      </c>
      <c r="I8" s="35">
        <f>I9*Revenue!I17/Basic!I21</f>
        <v>111.24156111840871</v>
      </c>
      <c r="J8" s="35">
        <f>J9*Revenue!J17/Basic!J21</f>
        <v>139.05195139801089</v>
      </c>
      <c r="K8" s="35">
        <f>K9*Revenue!K17/Basic!K21</f>
        <v>139.05195139801089</v>
      </c>
      <c r="L8" s="35">
        <f>L9*Revenue!L17/Basic!L21</f>
        <v>132.09935382811034</v>
      </c>
    </row>
    <row r="9" spans="2:12" x14ac:dyDescent="0.35">
      <c r="B9" s="1" t="s">
        <v>77</v>
      </c>
      <c r="C9" s="6" t="s">
        <v>16</v>
      </c>
      <c r="D9" s="25">
        <f>Basic!D21*D8/Revenue!D17</f>
        <v>19.36046509197892</v>
      </c>
      <c r="E9" s="25">
        <f>Basic!E21*E8/Revenue!E17</f>
        <v>20.669248809188595</v>
      </c>
      <c r="F9" s="25">
        <f>Basic!F21*F8/Revenue!F17</f>
        <v>20.227351895304679</v>
      </c>
      <c r="G9" s="25">
        <f>Basic!G21*G8/Revenue!G17</f>
        <v>19.316904645738795</v>
      </c>
      <c r="H9" s="26">
        <v>20</v>
      </c>
      <c r="I9" s="26">
        <v>20</v>
      </c>
      <c r="J9" s="26">
        <v>20</v>
      </c>
      <c r="K9" s="26">
        <v>20</v>
      </c>
      <c r="L9" s="26">
        <v>19</v>
      </c>
    </row>
    <row r="10" spans="2:12" x14ac:dyDescent="0.35">
      <c r="B10" s="1" t="s">
        <v>215</v>
      </c>
      <c r="C10" s="6" t="s">
        <v>30</v>
      </c>
      <c r="D10" s="25"/>
      <c r="E10" s="25">
        <f>E8-D8</f>
        <v>16.885000000000005</v>
      </c>
      <c r="F10" s="25">
        <f t="shared" ref="F10:L10" si="3">F8-E8</f>
        <v>-6.3379999999999939</v>
      </c>
      <c r="G10" s="25">
        <f t="shared" si="3"/>
        <v>-81.311000000000007</v>
      </c>
      <c r="H10" s="25">
        <f t="shared" si="3"/>
        <v>13.521791780821914</v>
      </c>
      <c r="I10" s="25">
        <f t="shared" si="3"/>
        <v>41.576769337586796</v>
      </c>
      <c r="J10" s="25">
        <f t="shared" si="3"/>
        <v>27.810390279602174</v>
      </c>
      <c r="K10" s="25">
        <f t="shared" si="3"/>
        <v>0</v>
      </c>
      <c r="L10" s="25">
        <f t="shared" si="3"/>
        <v>-6.9525975699005471</v>
      </c>
    </row>
    <row r="12" spans="2:12" x14ac:dyDescent="0.35">
      <c r="B12" t="s">
        <v>110</v>
      </c>
      <c r="D12" s="35">
        <v>462.74099999999999</v>
      </c>
      <c r="E12" s="35">
        <v>454.76400000000001</v>
      </c>
      <c r="F12" s="35">
        <v>489.47399999999999</v>
      </c>
      <c r="G12" s="35">
        <v>343.13</v>
      </c>
      <c r="H12" s="35">
        <f>H13*Expense!H6/Basic!H21</f>
        <v>363.23732945615984</v>
      </c>
      <c r="I12" s="35">
        <f>I13*Expense!I6/Basic!I21</f>
        <v>448.83999640741393</v>
      </c>
      <c r="J12" s="35">
        <f>J13*Expense!J6/Basic!J21</f>
        <v>500.02467796035</v>
      </c>
      <c r="K12" s="35">
        <f>K13*Expense!K6/Basic!K21</f>
        <v>497.56792848486765</v>
      </c>
      <c r="L12" s="35">
        <f>L13*Expense!L6/Basic!L21</f>
        <v>461.19093435283821</v>
      </c>
    </row>
    <row r="13" spans="2:12" x14ac:dyDescent="0.35">
      <c r="B13" s="1" t="s">
        <v>166</v>
      </c>
      <c r="C13" s="6" t="s">
        <v>16</v>
      </c>
      <c r="D13" s="25">
        <f>Basic!D21*D12/Expense!D6</f>
        <v>128.1773631355633</v>
      </c>
      <c r="E13" s="25">
        <f>Basic!E21*E12/Expense!E6</f>
        <v>119.81217099066052</v>
      </c>
      <c r="F13" s="25">
        <f>Basic!F21*F12/Expense!F6</f>
        <v>123.10044173610352</v>
      </c>
      <c r="G13" s="25">
        <f>Basic!G21*G12/Expense!G6</f>
        <v>150.96362152344111</v>
      </c>
      <c r="H13" s="26">
        <v>140</v>
      </c>
      <c r="I13" s="26">
        <v>135</v>
      </c>
      <c r="J13" s="26">
        <v>130</v>
      </c>
      <c r="K13" s="26">
        <v>130</v>
      </c>
      <c r="L13" s="26">
        <v>120</v>
      </c>
    </row>
    <row r="14" spans="2:12" x14ac:dyDescent="0.35">
      <c r="B14" s="1" t="s">
        <v>215</v>
      </c>
      <c r="C14" s="6" t="s">
        <v>30</v>
      </c>
      <c r="D14" s="25"/>
      <c r="E14" s="25">
        <f>E12-D12</f>
        <v>-7.9769999999999754</v>
      </c>
      <c r="F14" s="25">
        <f t="shared" ref="F14:L14" si="4">F12-E12</f>
        <v>34.70999999999998</v>
      </c>
      <c r="G14" s="25">
        <f t="shared" si="4"/>
        <v>-146.34399999999999</v>
      </c>
      <c r="H14" s="25">
        <f t="shared" si="4"/>
        <v>20.107329456159846</v>
      </c>
      <c r="I14" s="25">
        <f t="shared" si="4"/>
        <v>85.602666951254093</v>
      </c>
      <c r="J14" s="25">
        <f t="shared" si="4"/>
        <v>51.18468155293607</v>
      </c>
      <c r="K14" s="25">
        <f t="shared" si="4"/>
        <v>-2.4567494754823542</v>
      </c>
      <c r="L14" s="25">
        <f t="shared" si="4"/>
        <v>-36.376994132029438</v>
      </c>
    </row>
    <row r="16" spans="2:12" x14ac:dyDescent="0.35">
      <c r="B16" s="1" t="s">
        <v>24</v>
      </c>
      <c r="C16" s="6" t="s">
        <v>30</v>
      </c>
      <c r="D16" s="36">
        <v>11.786</v>
      </c>
      <c r="E16" s="36">
        <v>0</v>
      </c>
      <c r="F16" s="36">
        <v>0</v>
      </c>
      <c r="G16" s="36">
        <v>0</v>
      </c>
      <c r="H16" s="36">
        <v>0</v>
      </c>
      <c r="I16" s="36">
        <v>0</v>
      </c>
      <c r="J16" s="36">
        <v>0</v>
      </c>
      <c r="K16" s="36">
        <v>0</v>
      </c>
      <c r="L16" s="36">
        <v>0</v>
      </c>
    </row>
    <row r="17" spans="2:12" x14ac:dyDescent="0.35">
      <c r="B17" t="s">
        <v>216</v>
      </c>
      <c r="C17" s="6" t="s">
        <v>30</v>
      </c>
      <c r="D17" s="35">
        <f>D4+D16</f>
        <v>60.386000000000003</v>
      </c>
      <c r="E17" s="35">
        <f t="shared" ref="E17:L17" si="5">E4+E16</f>
        <v>48.805999999999997</v>
      </c>
      <c r="F17" s="35">
        <f t="shared" si="5"/>
        <v>48.695</v>
      </c>
      <c r="G17" s="35">
        <f t="shared" si="5"/>
        <v>43.783999999999999</v>
      </c>
      <c r="H17" s="35">
        <f t="shared" si="5"/>
        <v>44.10739000539084</v>
      </c>
      <c r="I17" s="35">
        <f t="shared" si="5"/>
        <v>46.546369997805897</v>
      </c>
      <c r="J17" s="35">
        <f t="shared" si="5"/>
        <v>50.002467796034999</v>
      </c>
      <c r="K17" s="35">
        <f t="shared" si="5"/>
        <v>49.756792848486768</v>
      </c>
      <c r="L17" s="35">
        <f t="shared" si="5"/>
        <v>49.962351221557469</v>
      </c>
    </row>
    <row r="20" spans="2:12" x14ac:dyDescent="0.35">
      <c r="B20" s="20" t="s">
        <v>167</v>
      </c>
      <c r="C20" s="28" t="s">
        <v>3</v>
      </c>
      <c r="D20" s="21">
        <f>D2</f>
        <v>43100</v>
      </c>
      <c r="E20" s="21">
        <f t="shared" ref="E20:L20" si="6">E2</f>
        <v>43465</v>
      </c>
      <c r="F20" s="21">
        <f t="shared" si="6"/>
        <v>43830</v>
      </c>
      <c r="G20" s="21">
        <f t="shared" si="6"/>
        <v>44196</v>
      </c>
      <c r="H20" s="21">
        <f t="shared" si="6"/>
        <v>44561</v>
      </c>
      <c r="I20" s="21">
        <f t="shared" si="6"/>
        <v>44926</v>
      </c>
      <c r="J20" s="21">
        <f t="shared" si="6"/>
        <v>45291</v>
      </c>
      <c r="K20" s="21">
        <f t="shared" si="6"/>
        <v>45657</v>
      </c>
      <c r="L20" s="21">
        <f t="shared" si="6"/>
        <v>46022</v>
      </c>
    </row>
    <row r="22" spans="2:12" x14ac:dyDescent="0.35">
      <c r="B22" s="1" t="s">
        <v>197</v>
      </c>
      <c r="D22" s="35">
        <v>5.1999999999999998E-2</v>
      </c>
      <c r="E22" s="35">
        <v>0.17100000000000001</v>
      </c>
      <c r="F22" s="35">
        <v>0.27600000000000002</v>
      </c>
      <c r="G22" s="35">
        <v>0.111</v>
      </c>
      <c r="H22" s="36">
        <v>0</v>
      </c>
      <c r="I22" s="36">
        <v>0</v>
      </c>
      <c r="J22" s="36">
        <v>0</v>
      </c>
      <c r="K22" s="36">
        <v>0</v>
      </c>
      <c r="L22" s="36">
        <v>0</v>
      </c>
    </row>
    <row r="23" spans="2:12" x14ac:dyDescent="0.35">
      <c r="B23" s="1" t="s">
        <v>164</v>
      </c>
      <c r="D23" s="35">
        <v>283.36</v>
      </c>
      <c r="E23" s="35">
        <v>288.72800000000001</v>
      </c>
      <c r="F23" s="35">
        <v>231.38200000000001</v>
      </c>
      <c r="G23" s="35">
        <v>225.52500000000001</v>
      </c>
      <c r="H23" s="35">
        <f>H24-H22</f>
        <v>225.41400000000002</v>
      </c>
      <c r="I23" s="35">
        <f t="shared" ref="I23:L23" si="7">I24-I22</f>
        <v>225.41400000000002</v>
      </c>
      <c r="J23" s="35">
        <f t="shared" si="7"/>
        <v>225.41400000000002</v>
      </c>
      <c r="K23" s="35">
        <f t="shared" si="7"/>
        <v>225.41400000000002</v>
      </c>
      <c r="L23" s="35">
        <f t="shared" si="7"/>
        <v>225.41400000000002</v>
      </c>
    </row>
    <row r="24" spans="2:12" x14ac:dyDescent="0.35">
      <c r="B24" t="s">
        <v>165</v>
      </c>
      <c r="D24" s="35">
        <f t="shared" ref="D24:F24" si="8">D23-D22</f>
        <v>283.30799999999999</v>
      </c>
      <c r="E24" s="35">
        <f t="shared" si="8"/>
        <v>288.55700000000002</v>
      </c>
      <c r="F24" s="35">
        <f t="shared" si="8"/>
        <v>231.10599999999999</v>
      </c>
      <c r="G24" s="35">
        <f>G23-G22</f>
        <v>225.41400000000002</v>
      </c>
      <c r="H24" s="36">
        <f>G24+Combined!H77</f>
        <v>225.41400000000002</v>
      </c>
      <c r="I24" s="36">
        <f>H24+Combined!I77</f>
        <v>225.41400000000002</v>
      </c>
      <c r="J24" s="36">
        <f>I24+Combined!J77</f>
        <v>225.41400000000002</v>
      </c>
      <c r="K24" s="36">
        <f>J24+Combined!K77</f>
        <v>225.41400000000002</v>
      </c>
      <c r="L24" s="36">
        <f>K24+Combined!L77</f>
        <v>225.41400000000002</v>
      </c>
    </row>
    <row r="25" spans="2:12" x14ac:dyDescent="0.35">
      <c r="D25" s="35"/>
      <c r="E25" s="35"/>
      <c r="F25" s="35"/>
      <c r="G25" s="35"/>
      <c r="H25" s="35"/>
      <c r="I25" s="35"/>
      <c r="J25" s="35"/>
      <c r="K25" s="35"/>
      <c r="L25" s="35"/>
    </row>
    <row r="26" spans="2:12" x14ac:dyDescent="0.35">
      <c r="B26" t="s">
        <v>171</v>
      </c>
      <c r="D26" s="35">
        <v>200.303</v>
      </c>
      <c r="E26" s="35">
        <v>201.57300000000001</v>
      </c>
      <c r="F26" s="35">
        <v>209.90600000000001</v>
      </c>
      <c r="G26" s="35">
        <v>116.142</v>
      </c>
      <c r="H26" s="35">
        <f>H27*(Expense!H166+Expense!H70)</f>
        <v>109.53717408727408</v>
      </c>
      <c r="I26" s="35">
        <f>I27*(Expense!I166+Expense!I70)</f>
        <v>170.86905062760007</v>
      </c>
      <c r="J26" s="35">
        <f>J27*(Expense!J166+Expense!J70)</f>
        <v>199.82137156491535</v>
      </c>
      <c r="K26" s="35">
        <f>K27*(Expense!K166+Expense!K70)</f>
        <v>200.35784848553962</v>
      </c>
      <c r="L26" s="35">
        <f>L27*(Expense!L166+Expense!L70)</f>
        <v>199.91633281845759</v>
      </c>
    </row>
    <row r="27" spans="2:12" x14ac:dyDescent="0.35">
      <c r="B27" s="1" t="s">
        <v>172</v>
      </c>
      <c r="D27" s="5">
        <f>D26/(Expense!D166 + Expense!D70)</f>
        <v>0.43644512814255393</v>
      </c>
      <c r="E27" s="5">
        <f>E26/(Expense!E166 + Expense!E70)</f>
        <v>0.41502313199132779</v>
      </c>
      <c r="F27" s="5">
        <f>F26/(Expense!F166 + Expense!F70)</f>
        <v>0.47603993268956007</v>
      </c>
      <c r="G27" s="5">
        <f>G26/(Expense!G166 + Expense!G70)</f>
        <v>0.66979238754325265</v>
      </c>
      <c r="H27" s="8">
        <v>0.6</v>
      </c>
      <c r="I27" s="8">
        <v>0.5</v>
      </c>
      <c r="J27" s="8">
        <v>0.45</v>
      </c>
      <c r="K27" s="8">
        <v>0.45</v>
      </c>
      <c r="L27" s="8">
        <v>0.45</v>
      </c>
    </row>
    <row r="30" spans="2:12" x14ac:dyDescent="0.35">
      <c r="B30" s="20" t="s">
        <v>168</v>
      </c>
      <c r="C30" s="28" t="s">
        <v>3</v>
      </c>
      <c r="D30" s="21">
        <f>D2</f>
        <v>43100</v>
      </c>
      <c r="E30" s="21">
        <f t="shared" ref="E30:L30" si="9">E2</f>
        <v>43465</v>
      </c>
      <c r="F30" s="21">
        <f t="shared" si="9"/>
        <v>43830</v>
      </c>
      <c r="G30" s="21">
        <f t="shared" si="9"/>
        <v>44196</v>
      </c>
      <c r="H30" s="21">
        <f t="shared" si="9"/>
        <v>44561</v>
      </c>
      <c r="I30" s="21">
        <f t="shared" si="9"/>
        <v>44926</v>
      </c>
      <c r="J30" s="21">
        <f t="shared" si="9"/>
        <v>45291</v>
      </c>
      <c r="K30" s="21">
        <f t="shared" si="9"/>
        <v>45657</v>
      </c>
      <c r="L30" s="21">
        <f t="shared" si="9"/>
        <v>46022</v>
      </c>
    </row>
    <row r="32" spans="2:12" x14ac:dyDescent="0.35">
      <c r="B32" s="1" t="s">
        <v>175</v>
      </c>
      <c r="D32" s="35">
        <v>201.49</v>
      </c>
      <c r="E32" s="35">
        <v>203.017</v>
      </c>
      <c r="F32" s="35">
        <v>0</v>
      </c>
      <c r="G32" s="35">
        <v>0</v>
      </c>
      <c r="H32" s="36">
        <v>0</v>
      </c>
      <c r="I32" s="36">
        <v>0</v>
      </c>
      <c r="J32" s="36">
        <v>0</v>
      </c>
      <c r="K32" s="36">
        <v>0</v>
      </c>
      <c r="L32" s="36">
        <v>0</v>
      </c>
    </row>
    <row r="33" spans="2:12" x14ac:dyDescent="0.35">
      <c r="B33" s="1" t="s">
        <v>97</v>
      </c>
      <c r="D33" s="35">
        <v>1.647</v>
      </c>
      <c r="E33" s="35">
        <v>3.3580000000000001</v>
      </c>
      <c r="F33" s="35">
        <v>3.9910000000000001</v>
      </c>
      <c r="G33" s="35">
        <v>3.9769999999999999</v>
      </c>
      <c r="H33" s="35">
        <f>H50*Expense!H147*Expense!H150/unit</f>
        <v>4.8288912000000002</v>
      </c>
      <c r="I33" s="35">
        <f>I50*Expense!I147*Expense!I150/unit</f>
        <v>5.0588384</v>
      </c>
      <c r="J33" s="35">
        <f>J50*Expense!J147*Expense!J150/unit</f>
        <v>5.7486800000000002</v>
      </c>
      <c r="K33" s="35">
        <f>K50*Expense!K147*Expense!K150/unit</f>
        <v>5.7486800000000002</v>
      </c>
      <c r="L33" s="35">
        <f>L50*Expense!L147*Expense!L150/unit</f>
        <v>5.7486800000000002</v>
      </c>
    </row>
    <row r="34" spans="2:12" x14ac:dyDescent="0.35">
      <c r="B34" s="1" t="s">
        <v>176</v>
      </c>
      <c r="D34" s="35">
        <v>0</v>
      </c>
      <c r="E34" s="35">
        <v>0</v>
      </c>
      <c r="F34" s="35">
        <v>0</v>
      </c>
      <c r="G34" s="35">
        <v>0</v>
      </c>
      <c r="H34" s="36">
        <f>G39</f>
        <v>255.99</v>
      </c>
      <c r="I34" s="36">
        <v>0</v>
      </c>
      <c r="J34" s="36">
        <v>0</v>
      </c>
      <c r="K34" s="36">
        <v>0</v>
      </c>
      <c r="L34" s="36">
        <v>0</v>
      </c>
    </row>
    <row r="35" spans="2:12" x14ac:dyDescent="0.35">
      <c r="B35" t="s">
        <v>169</v>
      </c>
      <c r="D35" s="35">
        <f>SUM(D32:D34)</f>
        <v>203.137</v>
      </c>
      <c r="E35" s="35">
        <f t="shared" ref="E35:L35" si="10">SUM(E32:E34)</f>
        <v>206.375</v>
      </c>
      <c r="F35" s="35">
        <f t="shared" si="10"/>
        <v>3.9910000000000001</v>
      </c>
      <c r="G35" s="35">
        <f t="shared" si="10"/>
        <v>3.9769999999999999</v>
      </c>
      <c r="H35" s="35">
        <f t="shared" si="10"/>
        <v>260.8188912</v>
      </c>
      <c r="I35" s="35">
        <f t="shared" si="10"/>
        <v>5.0588384</v>
      </c>
      <c r="J35" s="35">
        <f t="shared" si="10"/>
        <v>5.7486800000000002</v>
      </c>
      <c r="K35" s="35">
        <f t="shared" si="10"/>
        <v>5.7486800000000002</v>
      </c>
      <c r="L35" s="35">
        <f t="shared" si="10"/>
        <v>5.7486800000000002</v>
      </c>
    </row>
    <row r="36" spans="2:12" x14ac:dyDescent="0.35">
      <c r="D36" s="35"/>
      <c r="E36" s="35"/>
      <c r="F36" s="35"/>
      <c r="G36" s="35"/>
      <c r="H36" s="35"/>
      <c r="I36" s="35"/>
      <c r="J36" s="35"/>
      <c r="K36" s="35"/>
      <c r="L36" s="35"/>
    </row>
    <row r="37" spans="2:12" x14ac:dyDescent="0.35">
      <c r="B37" s="1" t="s">
        <v>175</v>
      </c>
      <c r="D37" s="35">
        <v>776.61300000000006</v>
      </c>
      <c r="E37" s="35">
        <v>573.596</v>
      </c>
      <c r="F37" s="35">
        <v>0</v>
      </c>
      <c r="G37" s="35">
        <v>0</v>
      </c>
      <c r="H37" s="36">
        <v>0</v>
      </c>
      <c r="I37" s="36">
        <v>0</v>
      </c>
      <c r="J37" s="36">
        <v>0</v>
      </c>
      <c r="K37" s="36">
        <v>0</v>
      </c>
      <c r="L37" s="36">
        <v>0</v>
      </c>
    </row>
    <row r="38" spans="2:12" x14ac:dyDescent="0.35">
      <c r="B38" s="1" t="s">
        <v>97</v>
      </c>
      <c r="D38" s="35">
        <v>0.998</v>
      </c>
      <c r="E38" s="35">
        <v>12.8</v>
      </c>
      <c r="F38" s="35">
        <v>9.8680000000000003</v>
      </c>
      <c r="G38" s="35">
        <v>6.8019999999999996</v>
      </c>
      <c r="H38" s="35">
        <f>H51*Expense!H147*Expense!H150/unit</f>
        <v>8.6230200000000004</v>
      </c>
      <c r="I38" s="35">
        <f>I51*Expense!I147*Expense!I150/unit</f>
        <v>9.1978880000000007</v>
      </c>
      <c r="J38" s="35">
        <f>J51*Expense!J147*Expense!J150/unit</f>
        <v>10.347624</v>
      </c>
      <c r="K38" s="35">
        <f>K51*Expense!K147*Expense!K150/unit</f>
        <v>10.347624</v>
      </c>
      <c r="L38" s="35">
        <f>L51*Expense!L147*Expense!L150/unit</f>
        <v>10.347624</v>
      </c>
    </row>
    <row r="39" spans="2:12" x14ac:dyDescent="0.35">
      <c r="B39" s="1" t="s">
        <v>176</v>
      </c>
      <c r="D39" s="35">
        <v>235.25200000000001</v>
      </c>
      <c r="E39" s="35">
        <v>245.79900000000001</v>
      </c>
      <c r="F39" s="35">
        <v>246.786</v>
      </c>
      <c r="G39" s="35">
        <v>255.99</v>
      </c>
      <c r="H39" s="36">
        <v>0</v>
      </c>
      <c r="I39" s="36">
        <v>0</v>
      </c>
      <c r="J39" s="36">
        <v>0</v>
      </c>
      <c r="K39" s="36">
        <v>0</v>
      </c>
      <c r="L39" s="36">
        <v>0</v>
      </c>
    </row>
    <row r="40" spans="2:12" x14ac:dyDescent="0.35">
      <c r="B40" t="s">
        <v>170</v>
      </c>
      <c r="D40" s="35">
        <f>SUM(D37:D39)</f>
        <v>1012.8630000000001</v>
      </c>
      <c r="E40" s="35">
        <f t="shared" ref="E40:G40" si="11">SUM(E37:E39)</f>
        <v>832.19499999999994</v>
      </c>
      <c r="F40" s="35">
        <f t="shared" si="11"/>
        <v>256.654</v>
      </c>
      <c r="G40" s="35">
        <f t="shared" si="11"/>
        <v>262.79200000000003</v>
      </c>
      <c r="H40" s="35">
        <f t="shared" ref="H40" si="12">SUM(H37:H39)</f>
        <v>8.6230200000000004</v>
      </c>
      <c r="I40" s="35">
        <f t="shared" ref="I40" si="13">SUM(I37:I39)</f>
        <v>9.1978880000000007</v>
      </c>
      <c r="J40" s="35">
        <f t="shared" ref="J40" si="14">SUM(J37:J39)</f>
        <v>10.347624</v>
      </c>
      <c r="K40" s="35">
        <f t="shared" ref="K40" si="15">SUM(K37:K39)</f>
        <v>10.347624</v>
      </c>
      <c r="L40" s="35">
        <f t="shared" ref="L40" si="16">SUM(L37:L39)</f>
        <v>10.347624</v>
      </c>
    </row>
    <row r="41" spans="2:12" x14ac:dyDescent="0.35">
      <c r="D41" s="35"/>
      <c r="E41" s="35"/>
      <c r="F41" s="35"/>
      <c r="G41" s="35"/>
      <c r="H41" s="35"/>
      <c r="I41" s="35"/>
      <c r="J41" s="35"/>
      <c r="K41" s="35"/>
      <c r="L41" s="35"/>
    </row>
    <row r="42" spans="2:12" x14ac:dyDescent="0.35">
      <c r="B42" s="3" t="s">
        <v>177</v>
      </c>
      <c r="D42" s="35">
        <f>D35+D40</f>
        <v>1216</v>
      </c>
      <c r="E42" s="35">
        <f t="shared" ref="E42:L42" si="17">E35+E40</f>
        <v>1038.57</v>
      </c>
      <c r="F42" s="35">
        <f t="shared" si="17"/>
        <v>260.64499999999998</v>
      </c>
      <c r="G42" s="35">
        <f t="shared" si="17"/>
        <v>266.76900000000001</v>
      </c>
      <c r="H42" s="35">
        <f>H35+H40</f>
        <v>269.44191119999999</v>
      </c>
      <c r="I42" s="35">
        <f>I35+I40</f>
        <v>14.256726400000002</v>
      </c>
      <c r="J42" s="35">
        <f t="shared" si="17"/>
        <v>16.096304</v>
      </c>
      <c r="K42" s="35">
        <f t="shared" si="17"/>
        <v>16.096304</v>
      </c>
      <c r="L42" s="35">
        <f t="shared" si="17"/>
        <v>16.096304</v>
      </c>
    </row>
    <row r="43" spans="2:12" x14ac:dyDescent="0.35">
      <c r="B43" s="1" t="s">
        <v>328</v>
      </c>
      <c r="D43" s="35"/>
      <c r="E43" s="35"/>
      <c r="F43" s="35"/>
      <c r="G43" s="35"/>
      <c r="H43" s="35">
        <f>Expense!H128</f>
        <v>0.79100000000001724</v>
      </c>
      <c r="I43" s="35">
        <f>Expense!I128</f>
        <v>0</v>
      </c>
      <c r="J43" s="35">
        <f>Expense!J128</f>
        <v>0</v>
      </c>
      <c r="K43" s="35">
        <f>Expense!K128</f>
        <v>0</v>
      </c>
      <c r="L43" s="35">
        <f>Expense!L128</f>
        <v>0</v>
      </c>
    </row>
    <row r="44" spans="2:12" x14ac:dyDescent="0.35">
      <c r="B44" s="10" t="s">
        <v>317</v>
      </c>
      <c r="D44" s="35"/>
      <c r="E44" s="35"/>
      <c r="F44" s="35"/>
      <c r="G44" s="35"/>
      <c r="H44" s="35">
        <f>H42-G42-H43</f>
        <v>1.88191119999997</v>
      </c>
      <c r="I44" s="35">
        <f t="shared" ref="I44:L44" si="18">I42-H42-I43</f>
        <v>-255.1851848</v>
      </c>
      <c r="J44" s="35">
        <f>J42-I42-J43</f>
        <v>1.8395775999999984</v>
      </c>
      <c r="K44" s="35">
        <f t="shared" si="18"/>
        <v>0</v>
      </c>
      <c r="L44" s="35">
        <f t="shared" si="18"/>
        <v>0</v>
      </c>
    </row>
    <row r="45" spans="2:12" x14ac:dyDescent="0.35">
      <c r="D45" s="35"/>
      <c r="E45" s="35"/>
      <c r="F45" s="35"/>
      <c r="G45" s="35"/>
      <c r="H45" s="35"/>
      <c r="I45" s="35"/>
      <c r="J45" s="35"/>
      <c r="K45" s="35"/>
      <c r="L45" s="35"/>
    </row>
    <row r="46" spans="2:12" x14ac:dyDescent="0.35">
      <c r="B46" s="1" t="s">
        <v>47</v>
      </c>
      <c r="D46" s="35">
        <f>Combined!D89</f>
        <v>3833.9040000000005</v>
      </c>
      <c r="E46" s="35">
        <v>4214.2370000000001</v>
      </c>
      <c r="F46" s="35">
        <v>3947.25</v>
      </c>
      <c r="G46" s="35">
        <v>3994.0839999999998</v>
      </c>
      <c r="H46" s="37">
        <f>Combined!H89</f>
        <v>0</v>
      </c>
      <c r="I46" s="37">
        <f>Combined!I89</f>
        <v>0</v>
      </c>
      <c r="J46" s="37">
        <f>Combined!J89</f>
        <v>0</v>
      </c>
      <c r="K46" s="37">
        <f>Combined!K89</f>
        <v>0</v>
      </c>
      <c r="L46" s="37">
        <f>Combined!L89</f>
        <v>0</v>
      </c>
    </row>
    <row r="47" spans="2:12" x14ac:dyDescent="0.35">
      <c r="B47" s="1" t="s">
        <v>208</v>
      </c>
      <c r="D47" s="35">
        <v>117.276</v>
      </c>
      <c r="E47" s="35">
        <v>118.851</v>
      </c>
      <c r="F47" s="35">
        <v>0</v>
      </c>
      <c r="G47" s="35">
        <v>0</v>
      </c>
      <c r="H47" s="36">
        <v>0</v>
      </c>
      <c r="I47" s="36">
        <v>0</v>
      </c>
      <c r="J47" s="36">
        <v>0</v>
      </c>
      <c r="K47" s="36">
        <v>0</v>
      </c>
      <c r="L47" s="36">
        <v>0</v>
      </c>
    </row>
    <row r="48" spans="2:12" x14ac:dyDescent="0.35">
      <c r="B48" t="s">
        <v>207</v>
      </c>
      <c r="D48" s="35">
        <f>SUM(D46:D47)</f>
        <v>3951.1800000000003</v>
      </c>
      <c r="E48" s="35">
        <f t="shared" ref="E48:G48" si="19">SUM(E46:E47)</f>
        <v>4333.0879999999997</v>
      </c>
      <c r="F48" s="35">
        <f t="shared" si="19"/>
        <v>3947.25</v>
      </c>
      <c r="G48" s="35">
        <f t="shared" si="19"/>
        <v>3994.0839999999998</v>
      </c>
      <c r="H48" s="35">
        <f t="shared" ref="H48" si="20">SUM(H46:H47)</f>
        <v>0</v>
      </c>
      <c r="I48" s="35">
        <f t="shared" ref="I48" si="21">SUM(I46:I47)</f>
        <v>0</v>
      </c>
      <c r="J48" s="35">
        <f t="shared" ref="J48" si="22">SUM(J46:J47)</f>
        <v>0</v>
      </c>
      <c r="K48" s="35">
        <f t="shared" ref="K48" si="23">SUM(K46:K47)</f>
        <v>0</v>
      </c>
      <c r="L48" s="35">
        <f t="shared" ref="L48" si="24">SUM(L46:L47)</f>
        <v>0</v>
      </c>
    </row>
    <row r="49" spans="2:12" x14ac:dyDescent="0.35">
      <c r="D49" s="35"/>
      <c r="E49" s="35"/>
      <c r="F49" s="35"/>
      <c r="G49" s="35"/>
      <c r="H49" s="35"/>
      <c r="I49" s="35"/>
      <c r="J49" s="35"/>
      <c r="K49" s="35"/>
      <c r="L49" s="35"/>
    </row>
    <row r="50" spans="2:12" x14ac:dyDescent="0.35">
      <c r="B50" t="s">
        <v>178</v>
      </c>
      <c r="C50" s="6" t="s">
        <v>180</v>
      </c>
      <c r="D50" s="35"/>
      <c r="E50" s="35"/>
      <c r="F50" s="35">
        <f>F33*unit/(Expense!F147*Expense!F150)</f>
        <v>71.17494358315291</v>
      </c>
      <c r="G50" s="35">
        <f>G33*unit/(Expense!G147*Expense!G150)</f>
        <v>173.37972558981451</v>
      </c>
      <c r="H50" s="36">
        <v>140</v>
      </c>
      <c r="I50" s="36">
        <v>110</v>
      </c>
      <c r="J50" s="36">
        <v>100</v>
      </c>
      <c r="K50" s="36">
        <v>100</v>
      </c>
      <c r="L50" s="36">
        <v>100</v>
      </c>
    </row>
    <row r="51" spans="2:12" x14ac:dyDescent="0.35">
      <c r="B51" t="s">
        <v>179</v>
      </c>
      <c r="C51" s="6" t="s">
        <v>180</v>
      </c>
      <c r="D51" s="35"/>
      <c r="E51" s="35"/>
      <c r="F51" s="35">
        <f>F38*unit/(Expense!F147*Expense!F150)</f>
        <v>175.98455105952215</v>
      </c>
      <c r="G51" s="35">
        <f>G38*unit/(Expense!G147*Expense!G150)</f>
        <v>296.53731291473935</v>
      </c>
      <c r="H51" s="36">
        <v>250</v>
      </c>
      <c r="I51" s="36">
        <v>200</v>
      </c>
      <c r="J51" s="36">
        <v>180</v>
      </c>
      <c r="K51" s="36">
        <v>180</v>
      </c>
      <c r="L51" s="36">
        <v>180</v>
      </c>
    </row>
    <row r="53" spans="2:12" x14ac:dyDescent="0.35">
      <c r="B53" s="20" t="s">
        <v>195</v>
      </c>
      <c r="C53" s="28" t="s">
        <v>3</v>
      </c>
      <c r="D53" s="21">
        <f>$D$2</f>
        <v>43100</v>
      </c>
      <c r="E53" s="21">
        <f>$E$2</f>
        <v>43465</v>
      </c>
      <c r="F53" s="21">
        <f>$F$2</f>
        <v>43830</v>
      </c>
      <c r="G53" s="21">
        <f>$G$2</f>
        <v>44196</v>
      </c>
      <c r="H53" s="21">
        <f>$H$2</f>
        <v>44561</v>
      </c>
      <c r="I53" s="21">
        <f>$I$2</f>
        <v>44926</v>
      </c>
      <c r="J53" s="21">
        <f>$J$2</f>
        <v>45291</v>
      </c>
      <c r="K53" s="21">
        <f>$K$2</f>
        <v>45657</v>
      </c>
      <c r="L53" s="21">
        <f>$L$2</f>
        <v>46022</v>
      </c>
    </row>
    <row r="55" spans="2:12" x14ac:dyDescent="0.35">
      <c r="B55" s="1" t="s">
        <v>186</v>
      </c>
      <c r="D55" s="35">
        <v>1.0569999999999999</v>
      </c>
      <c r="E55" s="35">
        <v>1.0569999999999999</v>
      </c>
      <c r="F55" s="35">
        <v>1.0569999999999999</v>
      </c>
      <c r="G55" s="35">
        <v>1.0569999999999999</v>
      </c>
      <c r="H55" s="36">
        <v>1.0569999999999999</v>
      </c>
      <c r="I55" s="36">
        <v>1.0569999999999999</v>
      </c>
      <c r="J55" s="36">
        <v>1.0569999999999999</v>
      </c>
      <c r="K55" s="36">
        <v>1.0569999999999999</v>
      </c>
      <c r="L55" s="36">
        <v>1.0569999999999999</v>
      </c>
    </row>
    <row r="56" spans="2:12" x14ac:dyDescent="0.35">
      <c r="B56" s="1" t="s">
        <v>187</v>
      </c>
      <c r="D56" s="35">
        <v>83.049000000000007</v>
      </c>
      <c r="E56" s="35">
        <v>83.049000000000007</v>
      </c>
      <c r="F56" s="35">
        <v>83.049000000000007</v>
      </c>
      <c r="G56" s="35">
        <v>83.049000000000007</v>
      </c>
      <c r="H56" s="36">
        <v>83.049000000000007</v>
      </c>
      <c r="I56" s="36">
        <v>83.049000000000007</v>
      </c>
      <c r="J56" s="36">
        <v>83.049000000000007</v>
      </c>
      <c r="K56" s="36">
        <v>83.049000000000007</v>
      </c>
      <c r="L56" s="36">
        <v>83.049000000000007</v>
      </c>
    </row>
    <row r="57" spans="2:12" x14ac:dyDescent="0.35">
      <c r="B57" s="1" t="s">
        <v>188</v>
      </c>
      <c r="D57" s="35">
        <v>33.664000000000001</v>
      </c>
      <c r="E57" s="35">
        <v>11.143000000000001</v>
      </c>
      <c r="F57" s="35">
        <v>58.570999999999998</v>
      </c>
      <c r="G57" s="35">
        <v>34.167000000000002</v>
      </c>
      <c r="H57" s="36">
        <f>G57-H63+H73</f>
        <v>10.113</v>
      </c>
      <c r="I57" s="36">
        <f>H57-I63+I73</f>
        <v>63.058999999999997</v>
      </c>
      <c r="J57" s="36">
        <f t="shared" ref="J57:L57" si="25">I57-J63+J73</f>
        <v>38.004999999999995</v>
      </c>
      <c r="K57" s="36">
        <f t="shared" si="25"/>
        <v>12.950999999999993</v>
      </c>
      <c r="L57" s="36">
        <f t="shared" si="25"/>
        <v>71.23033333333332</v>
      </c>
    </row>
    <row r="58" spans="2:12" x14ac:dyDescent="0.35">
      <c r="B58" s="1" t="s">
        <v>189</v>
      </c>
      <c r="D58" s="35">
        <v>7.0419999999999998</v>
      </c>
      <c r="E58" s="35">
        <v>8.0640000000000001</v>
      </c>
      <c r="F58" s="35">
        <v>10.202999999999999</v>
      </c>
      <c r="G58" s="35">
        <v>13.02</v>
      </c>
      <c r="H58" s="36">
        <f>G58-H64</f>
        <v>11.32</v>
      </c>
      <c r="I58" s="36">
        <f>H58-I64</f>
        <v>9.620000000000001</v>
      </c>
      <c r="J58" s="36">
        <f t="shared" ref="J58:L58" si="26">I58-J64</f>
        <v>7.9200000000000008</v>
      </c>
      <c r="K58" s="36">
        <f t="shared" si="26"/>
        <v>6.2200000000000006</v>
      </c>
      <c r="L58" s="36">
        <f t="shared" si="26"/>
        <v>4.5200000000000005</v>
      </c>
    </row>
    <row r="59" spans="2:12" x14ac:dyDescent="0.35">
      <c r="B59" s="30" t="s">
        <v>190</v>
      </c>
      <c r="C59" s="12"/>
      <c r="D59" s="46">
        <f>SUM(D55:D58)</f>
        <v>124.81200000000001</v>
      </c>
      <c r="E59" s="46">
        <f>SUM(E55:E58)</f>
        <v>103.31300000000002</v>
      </c>
      <c r="F59" s="46">
        <f>SUM(F55:F58)</f>
        <v>152.88000000000002</v>
      </c>
      <c r="G59" s="46">
        <f>SUM(G55:G58)</f>
        <v>131.29300000000001</v>
      </c>
      <c r="H59" s="46">
        <f>SUM(H55:H58)</f>
        <v>105.53900000000002</v>
      </c>
      <c r="I59" s="46">
        <f t="shared" ref="I59:L59" si="27">SUM(I55:I58)</f>
        <v>156.78500000000003</v>
      </c>
      <c r="J59" s="46">
        <f t="shared" si="27"/>
        <v>130.03100000000001</v>
      </c>
      <c r="K59" s="46">
        <f t="shared" si="27"/>
        <v>103.277</v>
      </c>
      <c r="L59" s="46">
        <f t="shared" si="27"/>
        <v>159.85633333333334</v>
      </c>
    </row>
    <row r="60" spans="2:12" x14ac:dyDescent="0.35">
      <c r="D60" s="35"/>
      <c r="E60" s="35"/>
      <c r="F60" s="35"/>
      <c r="G60" s="35"/>
      <c r="H60" s="35"/>
      <c r="I60" s="35"/>
      <c r="J60" s="35"/>
      <c r="K60" s="35"/>
      <c r="L60" s="35"/>
    </row>
    <row r="61" spans="2:12" x14ac:dyDescent="0.35">
      <c r="B61" s="1" t="s">
        <v>186</v>
      </c>
      <c r="D61" s="35">
        <v>0</v>
      </c>
      <c r="E61" s="35">
        <v>0</v>
      </c>
      <c r="F61" s="35">
        <v>0</v>
      </c>
      <c r="G61" s="35">
        <v>0</v>
      </c>
      <c r="H61" s="35">
        <v>0</v>
      </c>
      <c r="I61" s="35">
        <v>0</v>
      </c>
      <c r="J61" s="35">
        <v>0</v>
      </c>
      <c r="K61" s="35">
        <v>0</v>
      </c>
      <c r="L61" s="35">
        <v>0</v>
      </c>
    </row>
    <row r="62" spans="2:12" x14ac:dyDescent="0.35">
      <c r="B62" s="1" t="s">
        <v>187</v>
      </c>
      <c r="D62" s="35">
        <v>0</v>
      </c>
      <c r="E62" s="35">
        <v>0</v>
      </c>
      <c r="F62" s="35">
        <v>0</v>
      </c>
      <c r="G62" s="35">
        <v>0</v>
      </c>
      <c r="H62" s="35">
        <v>0</v>
      </c>
      <c r="I62" s="35">
        <v>0</v>
      </c>
      <c r="J62" s="35">
        <v>0</v>
      </c>
      <c r="K62" s="35">
        <v>0</v>
      </c>
      <c r="L62" s="35">
        <v>0</v>
      </c>
    </row>
    <row r="63" spans="2:12" x14ac:dyDescent="0.35">
      <c r="B63" s="1" t="s">
        <v>188</v>
      </c>
      <c r="D63" s="35">
        <v>22.521999999999998</v>
      </c>
      <c r="E63" s="35">
        <v>22.521000000000001</v>
      </c>
      <c r="F63" s="35">
        <v>24.571999999999999</v>
      </c>
      <c r="G63" s="35">
        <v>24.404</v>
      </c>
      <c r="H63" s="36">
        <f>(H75-H76)/3</f>
        <v>24.054000000000002</v>
      </c>
      <c r="I63" s="36">
        <f>(I75-I76)/3</f>
        <v>25.054000000000002</v>
      </c>
      <c r="J63" s="36">
        <f>(J75-J76)/3</f>
        <v>25.054000000000002</v>
      </c>
      <c r="K63" s="36">
        <f>(K75-K76)/3</f>
        <v>25.054000000000002</v>
      </c>
      <c r="L63" s="36">
        <f>(L75-L76)/3</f>
        <v>25.72066666666667</v>
      </c>
    </row>
    <row r="64" spans="2:12" x14ac:dyDescent="0.35">
      <c r="B64" s="1" t="s">
        <v>189</v>
      </c>
      <c r="D64" s="35">
        <v>1.1990000000000001</v>
      </c>
      <c r="E64" s="35">
        <v>1.4550000000000001</v>
      </c>
      <c r="F64" s="35">
        <v>1.573</v>
      </c>
      <c r="G64" s="35">
        <v>1.623</v>
      </c>
      <c r="H64" s="36">
        <v>1.7</v>
      </c>
      <c r="I64" s="36">
        <v>1.7</v>
      </c>
      <c r="J64" s="36">
        <v>1.7</v>
      </c>
      <c r="K64" s="36">
        <v>1.7</v>
      </c>
      <c r="L64" s="36">
        <v>1.7</v>
      </c>
    </row>
    <row r="65" spans="2:12" x14ac:dyDescent="0.35">
      <c r="B65" s="3" t="s">
        <v>191</v>
      </c>
      <c r="D65" s="35">
        <f>SUM(D61:D64)</f>
        <v>23.721</v>
      </c>
      <c r="E65" s="35">
        <f t="shared" ref="E65" si="28">SUM(E61:E64)</f>
        <v>23.975999999999999</v>
      </c>
      <c r="F65" s="35">
        <f>SUM(F61:F64)</f>
        <v>26.145</v>
      </c>
      <c r="G65" s="35">
        <f>SUM(G61:G64)</f>
        <v>26.027000000000001</v>
      </c>
      <c r="H65" s="35">
        <f>SUM(H61:H64)</f>
        <v>25.754000000000001</v>
      </c>
      <c r="I65" s="35">
        <f t="shared" ref="I65:L65" si="29">SUM(I61:I64)</f>
        <v>26.754000000000001</v>
      </c>
      <c r="J65" s="35">
        <f t="shared" si="29"/>
        <v>26.754000000000001</v>
      </c>
      <c r="K65" s="35">
        <f t="shared" si="29"/>
        <v>26.754000000000001</v>
      </c>
      <c r="L65" s="35">
        <f t="shared" si="29"/>
        <v>27.420666666666669</v>
      </c>
    </row>
    <row r="66" spans="2:12" x14ac:dyDescent="0.35">
      <c r="B66" s="1"/>
      <c r="D66" s="35"/>
      <c r="E66" s="35"/>
      <c r="F66" s="35"/>
      <c r="G66" s="35"/>
      <c r="H66" s="35"/>
      <c r="I66" s="35"/>
      <c r="J66" s="35"/>
      <c r="K66" s="35"/>
      <c r="L66" s="35"/>
    </row>
    <row r="67" spans="2:12" x14ac:dyDescent="0.35">
      <c r="B67" s="1"/>
      <c r="D67" s="35"/>
      <c r="E67" s="35"/>
      <c r="F67" s="35"/>
      <c r="G67" s="35"/>
      <c r="H67" s="35"/>
      <c r="I67" s="35"/>
      <c r="J67" s="35"/>
      <c r="K67" s="35"/>
      <c r="L67" s="35"/>
    </row>
    <row r="68" spans="2:12" x14ac:dyDescent="0.35">
      <c r="B68" s="1" t="s">
        <v>188</v>
      </c>
      <c r="D68" s="35">
        <v>0</v>
      </c>
      <c r="E68" s="35">
        <v>0</v>
      </c>
      <c r="F68" s="35">
        <v>6</v>
      </c>
      <c r="G68" s="35">
        <v>0</v>
      </c>
      <c r="H68" s="35">
        <v>0</v>
      </c>
      <c r="I68" s="35">
        <v>6</v>
      </c>
      <c r="J68" s="35">
        <v>0</v>
      </c>
      <c r="K68" s="35">
        <v>0</v>
      </c>
      <c r="L68" s="35">
        <v>6</v>
      </c>
    </row>
    <row r="69" spans="2:12" x14ac:dyDescent="0.35">
      <c r="B69" s="1" t="s">
        <v>189</v>
      </c>
      <c r="D69" s="35">
        <v>2.214</v>
      </c>
      <c r="E69" s="35">
        <v>2.4769999999999999</v>
      </c>
      <c r="F69" s="35">
        <v>3.7120000000000002</v>
      </c>
      <c r="G69" s="35">
        <v>4.4400000000000004</v>
      </c>
      <c r="H69" s="36">
        <v>0</v>
      </c>
      <c r="I69" s="36">
        <v>0</v>
      </c>
      <c r="J69" s="36">
        <v>0</v>
      </c>
      <c r="K69" s="36">
        <v>0</v>
      </c>
      <c r="L69" s="36">
        <v>0</v>
      </c>
    </row>
    <row r="70" spans="2:12" x14ac:dyDescent="0.35">
      <c r="B70" s="3" t="s">
        <v>192</v>
      </c>
      <c r="D70" s="35">
        <f>SUM(D68:D69)</f>
        <v>2.214</v>
      </c>
      <c r="E70" s="35">
        <f t="shared" ref="E70:L70" si="30">SUM(E68:E69)</f>
        <v>2.4769999999999999</v>
      </c>
      <c r="F70" s="35">
        <f t="shared" si="30"/>
        <v>9.7119999999999997</v>
      </c>
      <c r="G70" s="35">
        <f t="shared" si="30"/>
        <v>4.4400000000000004</v>
      </c>
      <c r="H70" s="35">
        <f t="shared" si="30"/>
        <v>0</v>
      </c>
      <c r="I70" s="35">
        <f t="shared" si="30"/>
        <v>6</v>
      </c>
      <c r="J70" s="35">
        <f t="shared" si="30"/>
        <v>0</v>
      </c>
      <c r="K70" s="35">
        <f t="shared" si="30"/>
        <v>0</v>
      </c>
      <c r="L70" s="35">
        <f t="shared" si="30"/>
        <v>6</v>
      </c>
    </row>
    <row r="71" spans="2:12" x14ac:dyDescent="0.35">
      <c r="D71" s="35"/>
      <c r="E71" s="35"/>
      <c r="F71" s="35"/>
      <c r="G71" s="35"/>
      <c r="H71" s="35"/>
      <c r="I71" s="35"/>
      <c r="J71" s="35"/>
      <c r="K71" s="35"/>
      <c r="L71" s="35"/>
    </row>
    <row r="72" spans="2:12" x14ac:dyDescent="0.35">
      <c r="B72" s="1" t="s">
        <v>314</v>
      </c>
      <c r="D72" s="35">
        <f>IF(66+D68&gt;66,66+D68,66)</f>
        <v>66</v>
      </c>
      <c r="E72" s="35">
        <f>D72+E68</f>
        <v>66</v>
      </c>
      <c r="F72" s="35">
        <f>E72+F68</f>
        <v>72</v>
      </c>
      <c r="G72" s="35">
        <f t="shared" ref="G72:L72" si="31">F72+G68</f>
        <v>72</v>
      </c>
      <c r="H72" s="35">
        <f t="shared" si="31"/>
        <v>72</v>
      </c>
      <c r="I72" s="35">
        <f t="shared" si="31"/>
        <v>78</v>
      </c>
      <c r="J72" s="35">
        <f t="shared" si="31"/>
        <v>78</v>
      </c>
      <c r="K72" s="35">
        <f t="shared" si="31"/>
        <v>78</v>
      </c>
      <c r="L72" s="35">
        <f t="shared" si="31"/>
        <v>84</v>
      </c>
    </row>
    <row r="73" spans="2:12" x14ac:dyDescent="0.35">
      <c r="B73" s="30" t="s">
        <v>265</v>
      </c>
      <c r="C73" s="12"/>
      <c r="D73" s="46">
        <f>IF(D68=0,D70,D69+D72)</f>
        <v>2.214</v>
      </c>
      <c r="E73" s="46">
        <f t="shared" ref="E73:L73" si="32">IF(E68=0,E70,E69+E72)</f>
        <v>2.4769999999999999</v>
      </c>
      <c r="F73" s="46">
        <f t="shared" si="32"/>
        <v>75.712000000000003</v>
      </c>
      <c r="G73" s="46">
        <f t="shared" si="32"/>
        <v>4.4400000000000004</v>
      </c>
      <c r="H73" s="46">
        <f t="shared" si="32"/>
        <v>0</v>
      </c>
      <c r="I73" s="46">
        <f t="shared" si="32"/>
        <v>78</v>
      </c>
      <c r="J73" s="46">
        <f t="shared" si="32"/>
        <v>0</v>
      </c>
      <c r="K73" s="46">
        <f t="shared" si="32"/>
        <v>0</v>
      </c>
      <c r="L73" s="46">
        <f t="shared" si="32"/>
        <v>84</v>
      </c>
    </row>
    <row r="74" spans="2:12" x14ac:dyDescent="0.35">
      <c r="B74" s="1"/>
      <c r="D74" s="35"/>
      <c r="E74" s="35"/>
      <c r="F74" s="35"/>
      <c r="G74" s="35"/>
      <c r="H74" s="35"/>
      <c r="I74" s="35"/>
      <c r="J74" s="35"/>
      <c r="K74" s="35"/>
      <c r="L74" s="35"/>
    </row>
    <row r="75" spans="2:12" x14ac:dyDescent="0.35">
      <c r="B75" s="1" t="s">
        <v>193</v>
      </c>
      <c r="D75" s="35">
        <v>81.162000000000006</v>
      </c>
      <c r="E75" s="35">
        <v>81.162000000000006</v>
      </c>
      <c r="F75" s="35">
        <f>E75+F68</f>
        <v>87.162000000000006</v>
      </c>
      <c r="G75" s="35">
        <f t="shared" ref="G75:L75" si="33">F75+G68</f>
        <v>87.162000000000006</v>
      </c>
      <c r="H75" s="35">
        <f t="shared" si="33"/>
        <v>87.162000000000006</v>
      </c>
      <c r="I75" s="35">
        <f t="shared" si="33"/>
        <v>93.162000000000006</v>
      </c>
      <c r="J75" s="35">
        <f t="shared" si="33"/>
        <v>93.162000000000006</v>
      </c>
      <c r="K75" s="35">
        <f t="shared" si="33"/>
        <v>93.162000000000006</v>
      </c>
      <c r="L75" s="35">
        <f t="shared" si="33"/>
        <v>99.162000000000006</v>
      </c>
    </row>
    <row r="76" spans="2:12" x14ac:dyDescent="0.35">
      <c r="B76" s="1" t="s">
        <v>194</v>
      </c>
      <c r="D76" s="35">
        <v>11</v>
      </c>
      <c r="E76" s="35">
        <v>11</v>
      </c>
      <c r="F76" s="35">
        <v>15</v>
      </c>
      <c r="G76" s="35">
        <v>15</v>
      </c>
      <c r="H76" s="35">
        <v>15</v>
      </c>
      <c r="I76" s="35">
        <v>18</v>
      </c>
      <c r="J76" s="35">
        <v>18</v>
      </c>
      <c r="K76" s="35">
        <v>18</v>
      </c>
      <c r="L76" s="35">
        <v>22</v>
      </c>
    </row>
    <row r="77" spans="2:12" x14ac:dyDescent="0.35">
      <c r="B77" t="s">
        <v>264</v>
      </c>
      <c r="D77" s="35">
        <f>D75-D76</f>
        <v>70.162000000000006</v>
      </c>
      <c r="E77" s="35">
        <f t="shared" ref="E77:L77" si="34">E75-E76</f>
        <v>70.162000000000006</v>
      </c>
      <c r="F77" s="35">
        <f t="shared" si="34"/>
        <v>72.162000000000006</v>
      </c>
      <c r="G77" s="35">
        <f t="shared" si="34"/>
        <v>72.162000000000006</v>
      </c>
      <c r="H77" s="35">
        <f t="shared" si="34"/>
        <v>72.162000000000006</v>
      </c>
      <c r="I77" s="35">
        <f t="shared" si="34"/>
        <v>75.162000000000006</v>
      </c>
      <c r="J77" s="35">
        <f t="shared" si="34"/>
        <v>75.162000000000006</v>
      </c>
      <c r="K77" s="35">
        <f t="shared" si="34"/>
        <v>75.162000000000006</v>
      </c>
      <c r="L77" s="35">
        <f t="shared" si="34"/>
        <v>77.162000000000006</v>
      </c>
    </row>
    <row r="78" spans="2:12" x14ac:dyDescent="0.35">
      <c r="D78" s="35"/>
      <c r="E78" s="35"/>
      <c r="F78" s="35"/>
      <c r="G78" s="35"/>
      <c r="H78" s="35"/>
      <c r="I78" s="35"/>
      <c r="J78" s="35"/>
      <c r="K78" s="35"/>
      <c r="L78" s="35"/>
    </row>
    <row r="79" spans="2:12" x14ac:dyDescent="0.35">
      <c r="B79" s="1"/>
      <c r="D79" s="35"/>
      <c r="E79" s="35"/>
      <c r="F79" s="35"/>
      <c r="G79" s="35"/>
      <c r="H79" s="35"/>
      <c r="I79" s="35"/>
      <c r="J79" s="35"/>
      <c r="K79" s="35"/>
      <c r="L79" s="35"/>
    </row>
    <row r="80" spans="2:12" x14ac:dyDescent="0.35">
      <c r="B80" s="1"/>
      <c r="D80" s="35"/>
      <c r="E80" s="35"/>
      <c r="F80" s="35"/>
      <c r="G80" s="35"/>
      <c r="H80" s="35"/>
      <c r="I80" s="35"/>
      <c r="J80" s="35"/>
      <c r="K80" s="35"/>
      <c r="L80" s="35"/>
    </row>
    <row r="81" spans="2:12" x14ac:dyDescent="0.35">
      <c r="B81" s="1"/>
      <c r="D81" s="35"/>
      <c r="E81" s="35"/>
      <c r="F81" s="35"/>
      <c r="G81" s="35"/>
      <c r="H81" s="35"/>
      <c r="I81" s="35"/>
      <c r="J81" s="35"/>
      <c r="K81" s="35"/>
      <c r="L81" s="35"/>
    </row>
    <row r="82" spans="2:12" x14ac:dyDescent="0.35">
      <c r="B82" s="1"/>
      <c r="D82" s="35"/>
      <c r="E82" s="35"/>
      <c r="F82" s="35"/>
      <c r="G82" s="35"/>
      <c r="H82" s="35"/>
      <c r="I82" s="35"/>
      <c r="J82" s="35"/>
      <c r="K82" s="35"/>
      <c r="L82" s="35"/>
    </row>
    <row r="84" spans="2:12" x14ac:dyDescent="0.35">
      <c r="B84" s="20" t="s">
        <v>196</v>
      </c>
      <c r="C84" s="28" t="s">
        <v>3</v>
      </c>
      <c r="D84" s="21">
        <f>$D$2</f>
        <v>43100</v>
      </c>
      <c r="E84" s="21">
        <f>$E$2</f>
        <v>43465</v>
      </c>
      <c r="F84" s="21">
        <f>$F$2</f>
        <v>43830</v>
      </c>
      <c r="G84" s="21">
        <f>$G$2</f>
        <v>44196</v>
      </c>
      <c r="H84" s="21">
        <f>$H$2</f>
        <v>44561</v>
      </c>
      <c r="I84" s="21">
        <f>$I$2</f>
        <v>44926</v>
      </c>
      <c r="J84" s="21">
        <f>$J$2</f>
        <v>45291</v>
      </c>
      <c r="K84" s="21">
        <f>$K$2</f>
        <v>45657</v>
      </c>
      <c r="L84" s="21">
        <f>$L$2</f>
        <v>46022</v>
      </c>
    </row>
    <row r="86" spans="2:12" x14ac:dyDescent="0.35">
      <c r="B86" t="s">
        <v>185</v>
      </c>
      <c r="H86">
        <f>G91</f>
        <v>4453.3069999999998</v>
      </c>
      <c r="I86">
        <f>H91</f>
        <v>4327.7407599999997</v>
      </c>
      <c r="J86">
        <f>I91</f>
        <v>4207.9788799999997</v>
      </c>
      <c r="K86">
        <f>J91</f>
        <v>4116.9603999999999</v>
      </c>
      <c r="L86">
        <f>K91</f>
        <v>3945.4603999999999</v>
      </c>
    </row>
    <row r="87" spans="2:12" x14ac:dyDescent="0.35">
      <c r="B87" s="1" t="s">
        <v>129</v>
      </c>
      <c r="H87">
        <f>Expense!H57</f>
        <v>277.657128</v>
      </c>
      <c r="I87">
        <f>Expense!I57</f>
        <v>345.06897600000002</v>
      </c>
      <c r="J87">
        <f>Expense!J57</f>
        <v>372.50897599999996</v>
      </c>
      <c r="K87">
        <f>Expense!K57</f>
        <v>343.95765600000004</v>
      </c>
      <c r="L87">
        <f>Expense!L57</f>
        <v>343.38278800000001</v>
      </c>
    </row>
    <row r="88" spans="2:12" x14ac:dyDescent="0.35">
      <c r="B88" s="1" t="s">
        <v>184</v>
      </c>
      <c r="H88" s="37">
        <f>H86-H91-H87-H89-H90</f>
        <v>-153.37569739999989</v>
      </c>
      <c r="I88" s="37">
        <f t="shared" ref="I88:L88" si="35">I86-I91-I87-I89-I90</f>
        <v>-226.44914879999999</v>
      </c>
      <c r="J88" s="37">
        <f t="shared" si="35"/>
        <v>-282.34703560000025</v>
      </c>
      <c r="K88" s="37">
        <f t="shared" si="35"/>
        <v>-173.31419560000003</v>
      </c>
      <c r="L88" s="37">
        <f t="shared" si="35"/>
        <v>-201.48272760000029</v>
      </c>
    </row>
    <row r="89" spans="2:12" x14ac:dyDescent="0.35">
      <c r="B89" s="1" t="s">
        <v>82</v>
      </c>
      <c r="H89" s="37">
        <f>Expense!H103</f>
        <v>1.2848094000000001</v>
      </c>
      <c r="I89" s="37">
        <f>Expense!I103</f>
        <v>1.1420528000000001</v>
      </c>
      <c r="J89" s="37">
        <f>Expense!J103</f>
        <v>0.85653960000000007</v>
      </c>
      <c r="K89" s="37">
        <f>Expense!K103</f>
        <v>0.85653960000000007</v>
      </c>
      <c r="L89" s="37">
        <f>Expense!L103</f>
        <v>0.85653960000000007</v>
      </c>
    </row>
    <row r="90" spans="2:12" x14ac:dyDescent="0.35">
      <c r="B90" s="1" t="s">
        <v>303</v>
      </c>
      <c r="H90" s="36">
        <v>0</v>
      </c>
      <c r="I90" s="36">
        <v>0</v>
      </c>
      <c r="J90" s="36">
        <v>0</v>
      </c>
      <c r="K90" s="36">
        <v>0</v>
      </c>
      <c r="L90" s="36">
        <v>0</v>
      </c>
    </row>
    <row r="91" spans="2:12" x14ac:dyDescent="0.35">
      <c r="B91" t="s">
        <v>302</v>
      </c>
      <c r="D91">
        <v>5068.857</v>
      </c>
      <c r="E91">
        <v>4857.0460000000003</v>
      </c>
      <c r="F91">
        <v>4667.0619999999999</v>
      </c>
      <c r="G91">
        <v>4453.3069999999998</v>
      </c>
      <c r="H91" s="7">
        <f>(Expense!H158*Expense!H148/unit)+Expense!H139</f>
        <v>4327.7407599999997</v>
      </c>
      <c r="I91" s="7">
        <f>(Expense!I158*Expense!I148/unit)+Expense!I139</f>
        <v>4207.9788799999997</v>
      </c>
      <c r="J91" s="7">
        <f>(Expense!J158*Expense!J148/unit)+Expense!J139</f>
        <v>4116.9603999999999</v>
      </c>
      <c r="K91" s="7">
        <f>(Expense!K158*Expense!K148/unit)+Expense!K139</f>
        <v>3945.4603999999999</v>
      </c>
      <c r="L91" s="7">
        <f>(Expense!L158*Expense!L148/unit)+Expense!L139</f>
        <v>3802.7038000000002</v>
      </c>
    </row>
    <row r="94" spans="2:12" x14ac:dyDescent="0.35">
      <c r="H94" s="35"/>
    </row>
    <row r="98" spans="2:12" x14ac:dyDescent="0.35">
      <c r="B98" s="20" t="s">
        <v>288</v>
      </c>
      <c r="C98" s="28" t="s">
        <v>3</v>
      </c>
      <c r="D98" s="21">
        <f>$D$2</f>
        <v>43100</v>
      </c>
      <c r="E98" s="21">
        <f>$E$2</f>
        <v>43465</v>
      </c>
      <c r="F98" s="21">
        <f>$F$2</f>
        <v>43830</v>
      </c>
      <c r="G98" s="21">
        <f>$G$2</f>
        <v>44196</v>
      </c>
      <c r="H98" s="21">
        <f>$H$2</f>
        <v>44561</v>
      </c>
      <c r="I98" s="21">
        <f>$I$2</f>
        <v>44926</v>
      </c>
      <c r="J98" s="21">
        <f>$J$2</f>
        <v>45291</v>
      </c>
      <c r="K98" s="21">
        <f>$K$2</f>
        <v>45657</v>
      </c>
      <c r="L98" s="21">
        <f>$L$2</f>
        <v>46022</v>
      </c>
    </row>
    <row r="100" spans="2:12" x14ac:dyDescent="0.35">
      <c r="B100" s="1" t="s">
        <v>205</v>
      </c>
      <c r="D100" s="25">
        <v>63.634999999999991</v>
      </c>
      <c r="E100" s="25">
        <f>D102</f>
        <v>67.866249999999994</v>
      </c>
      <c r="F100" s="25">
        <f t="shared" ref="F100:G100" si="36">E102</f>
        <v>72.814999999999998</v>
      </c>
      <c r="G100" s="25">
        <f t="shared" si="36"/>
        <v>77.798749999999998</v>
      </c>
      <c r="H100" s="25">
        <f t="shared" ref="H100:L100" si="37">G102</f>
        <v>79.353750000000005</v>
      </c>
      <c r="I100" s="25">
        <f t="shared" si="37"/>
        <v>81.578669287500006</v>
      </c>
      <c r="J100" s="25">
        <f t="shared" si="37"/>
        <v>85.13144664571918</v>
      </c>
      <c r="K100" s="25">
        <f t="shared" si="37"/>
        <v>89.731024475556509</v>
      </c>
      <c r="L100" s="25">
        <f t="shared" si="37"/>
        <v>94.489208437457194</v>
      </c>
    </row>
    <row r="101" spans="2:12" x14ac:dyDescent="0.35">
      <c r="B101" s="1" t="s">
        <v>204</v>
      </c>
      <c r="D101" s="25">
        <f>Expense!D169/Basic!$F$9</f>
        <v>4.2312499999999993</v>
      </c>
      <c r="E101" s="25">
        <f>Expense!E169/Basic!$F$9</f>
        <v>4.9487499999999995</v>
      </c>
      <c r="F101" s="25">
        <f>Expense!F169/Basic!$F$9</f>
        <v>4.9837499999999997</v>
      </c>
      <c r="G101" s="25">
        <f>Expense!G169/Basic!$F$9</f>
        <v>1.5549999999999999</v>
      </c>
      <c r="H101" s="25">
        <f>Expense!H169/Basic!$F$9</f>
        <v>2.2249192875000001</v>
      </c>
      <c r="I101" s="25">
        <f>Expense!I169/Basic!$F$9</f>
        <v>3.5527773582191777</v>
      </c>
      <c r="J101" s="25">
        <f>Expense!J169/Basic!$F$9</f>
        <v>4.5995778298373287</v>
      </c>
      <c r="K101" s="25">
        <f>Expense!K169/Basic!$F$9</f>
        <v>4.7581839619006852</v>
      </c>
      <c r="L101" s="25">
        <f>Expense!L169/Basic!$F$9</f>
        <v>4.7581839619006852</v>
      </c>
    </row>
    <row r="102" spans="2:12" x14ac:dyDescent="0.35">
      <c r="B102" s="1" t="s">
        <v>203</v>
      </c>
      <c r="D102" s="25">
        <f>D100+D101</f>
        <v>67.866249999999994</v>
      </c>
      <c r="E102" s="25">
        <f>E100+E101</f>
        <v>72.814999999999998</v>
      </c>
      <c r="F102" s="25">
        <f>F100+F101</f>
        <v>77.798749999999998</v>
      </c>
      <c r="G102" s="25">
        <f>G100+G101</f>
        <v>79.353750000000005</v>
      </c>
      <c r="H102" s="25">
        <f t="shared" ref="H102:L102" si="38">H100+H101</f>
        <v>81.578669287500006</v>
      </c>
      <c r="I102" s="25">
        <f t="shared" si="38"/>
        <v>85.13144664571918</v>
      </c>
      <c r="J102" s="25">
        <f t="shared" si="38"/>
        <v>89.731024475556509</v>
      </c>
      <c r="K102" s="25">
        <f t="shared" si="38"/>
        <v>94.489208437457194</v>
      </c>
      <c r="L102" s="25">
        <f t="shared" si="38"/>
        <v>99.247392399357878</v>
      </c>
    </row>
    <row r="103" spans="2:12" x14ac:dyDescent="0.35">
      <c r="B103" s="11" t="s">
        <v>198</v>
      </c>
      <c r="C103" s="12"/>
      <c r="D103" s="27">
        <f>D102*Basic!$F$9</f>
        <v>54.292999999999999</v>
      </c>
      <c r="E103" s="27">
        <f>E102*Basic!$F$9</f>
        <v>58.252000000000002</v>
      </c>
      <c r="F103" s="27">
        <f>F102*Basic!$F$9</f>
        <v>62.239000000000004</v>
      </c>
      <c r="G103" s="27">
        <f>G102*Basic!$F$9</f>
        <v>63.483000000000004</v>
      </c>
      <c r="H103" s="27">
        <f>H102*Basic!$F$9</f>
        <v>65.262935430000013</v>
      </c>
      <c r="I103" s="27">
        <f>I102*Basic!$F$9</f>
        <v>68.105157316575344</v>
      </c>
      <c r="J103" s="27">
        <f>J102*Basic!$F$9</f>
        <v>71.784819580445216</v>
      </c>
      <c r="K103" s="27">
        <f>K102*Basic!$F$9</f>
        <v>75.591366749965758</v>
      </c>
      <c r="L103" s="27">
        <f>L102*Basic!$F$9</f>
        <v>79.397913919486314</v>
      </c>
    </row>
    <row r="104" spans="2:12" x14ac:dyDescent="0.35">
      <c r="H104" s="60"/>
      <c r="I104" s="60"/>
      <c r="J104" s="60"/>
      <c r="K104" s="60"/>
      <c r="L104" s="60"/>
    </row>
    <row r="105" spans="2:12" x14ac:dyDescent="0.35">
      <c r="B105" s="1" t="s">
        <v>199</v>
      </c>
      <c r="D105" s="35"/>
      <c r="E105" s="35">
        <v>183.137</v>
      </c>
      <c r="F105" s="35">
        <v>195.40700000000001</v>
      </c>
      <c r="G105" s="35">
        <v>0</v>
      </c>
      <c r="H105" s="37"/>
      <c r="I105" s="37"/>
      <c r="J105" s="37"/>
      <c r="K105" s="37"/>
      <c r="L105" s="37"/>
    </row>
    <row r="106" spans="2:12" x14ac:dyDescent="0.35">
      <c r="B106" s="1" t="s">
        <v>200</v>
      </c>
      <c r="D106" s="35"/>
      <c r="E106" s="35">
        <v>37.994</v>
      </c>
      <c r="F106" s="35">
        <v>37.844000000000001</v>
      </c>
      <c r="G106" s="35">
        <v>37.915999999999997</v>
      </c>
      <c r="H106" s="37"/>
      <c r="I106" s="37"/>
      <c r="J106" s="37"/>
      <c r="K106" s="37"/>
      <c r="L106" s="37"/>
    </row>
    <row r="107" spans="2:12" x14ac:dyDescent="0.35">
      <c r="B107" s="11" t="s">
        <v>201</v>
      </c>
      <c r="C107" s="12"/>
      <c r="D107" s="46">
        <v>217.29900000000001</v>
      </c>
      <c r="E107" s="46">
        <f t="shared" ref="E107:F107" si="39">SUM(E105:E106)</f>
        <v>221.131</v>
      </c>
      <c r="F107" s="46">
        <f t="shared" si="39"/>
        <v>233.251</v>
      </c>
      <c r="G107" s="46">
        <f>SUM(G105:G106)</f>
        <v>37.915999999999997</v>
      </c>
      <c r="H107" s="46">
        <f>IF(G107-CF!H52+Expense!H178&gt;0, G107-CF!H52+Expense!H178, "ERROR")</f>
        <v>37.915999999999997</v>
      </c>
      <c r="I107" s="46">
        <f>IF(H107-CF!I48+Expense!I178&gt;0, H107-CF!I48+Expense!I178, "ERROR")</f>
        <v>37.915999999999997</v>
      </c>
      <c r="J107" s="46">
        <f>IF(I107-CF!J48+Expense!J178&gt;0, I107-CF!J48+Expense!J178, "ERROR")</f>
        <v>37.915999999999997</v>
      </c>
      <c r="K107" s="46">
        <f>IF(J107-CF!K48+Expense!K178&gt;0, J107-CF!K48+Expense!K178, "ERROR")</f>
        <v>37.915999999999997</v>
      </c>
      <c r="L107" s="46">
        <f>IF(K107-CF!L48+Expense!L178&gt;0, K107-CF!L48+Expense!L178, "ERROR")</f>
        <v>37.915999999999997</v>
      </c>
    </row>
    <row r="108" spans="2:12" x14ac:dyDescent="0.35">
      <c r="D108" s="35"/>
      <c r="E108" s="35"/>
      <c r="F108" s="35"/>
      <c r="G108" s="35"/>
      <c r="H108" s="35"/>
      <c r="I108" s="35"/>
      <c r="J108" s="35"/>
      <c r="K108" s="35"/>
      <c r="L108" s="35"/>
    </row>
    <row r="109" spans="2:12" x14ac:dyDescent="0.35">
      <c r="B109" t="s">
        <v>202</v>
      </c>
      <c r="D109" s="35">
        <v>3.04</v>
      </c>
      <c r="E109" s="35">
        <v>1.5429999999999999</v>
      </c>
      <c r="F109" s="35">
        <v>0.97099999999999997</v>
      </c>
      <c r="G109" s="35">
        <v>7.431</v>
      </c>
      <c r="H109" s="36">
        <v>5</v>
      </c>
      <c r="I109" s="36">
        <v>3</v>
      </c>
      <c r="J109" s="36">
        <v>2</v>
      </c>
      <c r="K109" s="36">
        <v>2</v>
      </c>
      <c r="L109" s="36">
        <v>2</v>
      </c>
    </row>
    <row r="110" spans="2:12" x14ac:dyDescent="0.35">
      <c r="D110" s="35"/>
      <c r="E110" s="35"/>
      <c r="F110" s="35"/>
      <c r="G110" s="35"/>
      <c r="H110" s="35"/>
      <c r="I110" s="35"/>
      <c r="J110" s="35"/>
      <c r="K110" s="35"/>
      <c r="L110" s="35"/>
    </row>
    <row r="111" spans="2:12" x14ac:dyDescent="0.35">
      <c r="B111" t="s">
        <v>226</v>
      </c>
      <c r="D111" s="35">
        <v>2.3860000000000001</v>
      </c>
      <c r="E111" s="35">
        <v>1.67</v>
      </c>
      <c r="F111" s="35">
        <v>0.81699999999999995</v>
      </c>
      <c r="G111" s="35">
        <v>0.219</v>
      </c>
      <c r="H111" s="36">
        <v>0.2</v>
      </c>
      <c r="I111" s="36">
        <v>0.2</v>
      </c>
      <c r="J111" s="36">
        <v>0.2</v>
      </c>
      <c r="K111" s="36">
        <v>0.2</v>
      </c>
      <c r="L111" s="36">
        <v>0.2</v>
      </c>
    </row>
    <row r="113" spans="2:12" x14ac:dyDescent="0.35">
      <c r="B113" s="20" t="s">
        <v>230</v>
      </c>
      <c r="C113" s="28" t="s">
        <v>3</v>
      </c>
      <c r="D113" s="21">
        <f>$D$2</f>
        <v>43100</v>
      </c>
      <c r="E113" s="21">
        <f>$E$2</f>
        <v>43465</v>
      </c>
      <c r="F113" s="21">
        <f>$F$2</f>
        <v>43830</v>
      </c>
      <c r="G113" s="21">
        <f>$G$2</f>
        <v>44196</v>
      </c>
      <c r="H113" s="21">
        <f>$H$2</f>
        <v>44561</v>
      </c>
      <c r="I113" s="21">
        <f>$I$2</f>
        <v>44926</v>
      </c>
      <c r="J113" s="21">
        <f>$J$2</f>
        <v>45291</v>
      </c>
      <c r="K113" s="21">
        <f>$K$2</f>
        <v>45657</v>
      </c>
      <c r="L113" s="21">
        <f>$L$2</f>
        <v>46022</v>
      </c>
    </row>
    <row r="115" spans="2:12" x14ac:dyDescent="0.35">
      <c r="B115" s="1" t="s">
        <v>231</v>
      </c>
      <c r="D115" s="35">
        <v>5527.7049999999999</v>
      </c>
      <c r="E115" s="35">
        <v>5527.7049999999999</v>
      </c>
      <c r="F115" s="35">
        <v>5527.7049999999999</v>
      </c>
      <c r="G115" s="35">
        <v>5527.7049999999999</v>
      </c>
      <c r="H115" s="36">
        <v>5527.7049999999999</v>
      </c>
      <c r="I115" s="36">
        <v>5527.7049999999999</v>
      </c>
      <c r="J115" s="36">
        <v>5527.7049999999999</v>
      </c>
      <c r="K115" s="36">
        <v>5527.7049999999999</v>
      </c>
      <c r="L115" s="36">
        <v>5527.7049999999999</v>
      </c>
    </row>
    <row r="116" spans="2:12" x14ac:dyDescent="0.35">
      <c r="B116" s="1" t="s">
        <v>232</v>
      </c>
      <c r="D116" s="35">
        <f>-44.432</f>
        <v>-44.432000000000002</v>
      </c>
      <c r="E116" s="35">
        <f>-35.349</f>
        <v>-35.348999999999997</v>
      </c>
      <c r="F116" s="35">
        <f>-29.541</f>
        <v>-29.541</v>
      </c>
      <c r="G116" s="35">
        <f>-23.485</f>
        <v>-23.484999999999999</v>
      </c>
      <c r="H116" s="37">
        <f>H127</f>
        <v>-23.484999999999999</v>
      </c>
      <c r="I116" s="37">
        <f t="shared" ref="I116:L116" si="40">I127</f>
        <v>-23.484999999999999</v>
      </c>
      <c r="J116" s="37">
        <f t="shared" si="40"/>
        <v>-23.484999999999999</v>
      </c>
      <c r="K116" s="37">
        <f t="shared" si="40"/>
        <v>-23.484999999999999</v>
      </c>
      <c r="L116" s="37">
        <f t="shared" si="40"/>
        <v>-23.484999999999999</v>
      </c>
    </row>
    <row r="117" spans="2:12" x14ac:dyDescent="0.35">
      <c r="B117" s="1" t="s">
        <v>233</v>
      </c>
      <c r="D117" s="35">
        <v>32.555999999999997</v>
      </c>
      <c r="E117" s="35">
        <v>15.242000000000001</v>
      </c>
      <c r="F117" s="35">
        <v>16.774000000000001</v>
      </c>
      <c r="G117" s="35">
        <v>19.216999999999999</v>
      </c>
      <c r="H117" s="37">
        <f>G117+Expense!H40+Combined!H26</f>
        <v>26.8452947</v>
      </c>
      <c r="I117" s="37">
        <f>H117+Expense!I40+Combined!I26</f>
        <v>36.996087152054798</v>
      </c>
      <c r="J117" s="37">
        <f>I117+Expense!J40+Combined!J26</f>
        <v>47.146879604109593</v>
      </c>
      <c r="K117" s="37">
        <f>J117+Expense!K40+Combined!K26</f>
        <v>56.790132433561652</v>
      </c>
      <c r="L117" s="37">
        <f>K117+Expense!L40+Combined!L26</f>
        <v>66.433385263013705</v>
      </c>
    </row>
    <row r="118" spans="2:12" x14ac:dyDescent="0.35">
      <c r="B118" s="1" t="s">
        <v>234</v>
      </c>
      <c r="D118" s="35">
        <v>1925.729</v>
      </c>
      <c r="E118" s="35">
        <v>2273.7469999999998</v>
      </c>
      <c r="F118" s="35">
        <v>2542.6509999999998</v>
      </c>
      <c r="G118" s="35">
        <v>2312.123</v>
      </c>
      <c r="H118" s="37">
        <f>G118+Combined!H24+CF!H60</f>
        <v>2206.7548287186028</v>
      </c>
      <c r="I118" s="37">
        <f>H118+Combined!I24+CF!I60</f>
        <v>2460.4335791887861</v>
      </c>
      <c r="J118" s="37">
        <f>I118+Combined!J24+CF!J60</f>
        <v>2875.1843315904421</v>
      </c>
      <c r="K118" s="37">
        <f>J118+Combined!K24+CF!K60</f>
        <v>3295.8825681672674</v>
      </c>
      <c r="L118" s="37">
        <f>K118+Combined!L24+CF!L60</f>
        <v>3711.790504042418</v>
      </c>
    </row>
    <row r="119" spans="2:12" x14ac:dyDescent="0.35">
      <c r="B119" s="3" t="s">
        <v>235</v>
      </c>
      <c r="D119" s="35">
        <f>SUM(D115:D118)</f>
        <v>7441.558</v>
      </c>
      <c r="E119" s="35">
        <f t="shared" ref="E119:L119" si="41">SUM(E115:E118)</f>
        <v>7781.3449999999993</v>
      </c>
      <c r="F119" s="35">
        <f t="shared" si="41"/>
        <v>8057.5889999999999</v>
      </c>
      <c r="G119" s="35">
        <f t="shared" si="41"/>
        <v>7835.5599999999995</v>
      </c>
      <c r="H119" s="35">
        <f t="shared" si="41"/>
        <v>7737.8201234186026</v>
      </c>
      <c r="I119" s="35">
        <f t="shared" si="41"/>
        <v>8001.6496663408416</v>
      </c>
      <c r="J119" s="35">
        <f t="shared" si="41"/>
        <v>8426.5512111945518</v>
      </c>
      <c r="K119" s="35">
        <f t="shared" si="41"/>
        <v>8856.8927006008289</v>
      </c>
      <c r="L119" s="35">
        <f t="shared" si="41"/>
        <v>9282.4438893054321</v>
      </c>
    </row>
    <row r="120" spans="2:12" x14ac:dyDescent="0.35">
      <c r="B120" s="1" t="s">
        <v>236</v>
      </c>
      <c r="D120" s="35">
        <v>2E-3</v>
      </c>
      <c r="E120" s="35">
        <v>2E-3</v>
      </c>
      <c r="F120" s="35">
        <v>2E-3</v>
      </c>
      <c r="G120" s="35">
        <v>2E-3</v>
      </c>
      <c r="H120" s="36">
        <v>2E-3</v>
      </c>
      <c r="I120" s="36">
        <v>2E-3</v>
      </c>
      <c r="J120" s="36">
        <v>2E-3</v>
      </c>
      <c r="K120" s="36">
        <v>2E-3</v>
      </c>
      <c r="L120" s="36">
        <v>2E-3</v>
      </c>
    </row>
    <row r="121" spans="2:12" x14ac:dyDescent="0.35">
      <c r="B121" s="30" t="s">
        <v>229</v>
      </c>
      <c r="C121" s="12"/>
      <c r="D121" s="46">
        <f>D120+D119</f>
        <v>7441.56</v>
      </c>
      <c r="E121" s="46">
        <f>E120+E119</f>
        <v>7781.3469999999998</v>
      </c>
      <c r="F121" s="46">
        <f t="shared" ref="F121:L121" si="42">F120+F119</f>
        <v>8057.5910000000003</v>
      </c>
      <c r="G121" s="46">
        <f t="shared" si="42"/>
        <v>7835.5619999999999</v>
      </c>
      <c r="H121" s="46">
        <f t="shared" si="42"/>
        <v>7737.822123418603</v>
      </c>
      <c r="I121" s="46">
        <f t="shared" si="42"/>
        <v>8001.651666340842</v>
      </c>
      <c r="J121" s="46">
        <f t="shared" si="42"/>
        <v>8426.5532111945522</v>
      </c>
      <c r="K121" s="46">
        <f t="shared" si="42"/>
        <v>8856.8947006008293</v>
      </c>
      <c r="L121" s="46">
        <f t="shared" si="42"/>
        <v>9282.4458893054325</v>
      </c>
    </row>
    <row r="122" spans="2:12" x14ac:dyDescent="0.35">
      <c r="D122" s="35"/>
      <c r="E122" s="35"/>
      <c r="F122" s="35"/>
      <c r="G122" s="35"/>
      <c r="H122" s="35"/>
      <c r="I122" s="35"/>
      <c r="J122" s="35"/>
      <c r="K122" s="35"/>
      <c r="L122" s="35"/>
    </row>
    <row r="123" spans="2:12" x14ac:dyDescent="0.35">
      <c r="D123" s="35"/>
      <c r="E123" s="35"/>
      <c r="F123" s="35"/>
      <c r="G123" s="35"/>
      <c r="H123" s="35"/>
      <c r="I123" s="35"/>
      <c r="J123" s="35"/>
      <c r="K123" s="35"/>
      <c r="L123" s="35"/>
    </row>
    <row r="124" spans="2:12" x14ac:dyDescent="0.35">
      <c r="B124" t="s">
        <v>292</v>
      </c>
      <c r="D124" s="35"/>
      <c r="E124" s="35"/>
      <c r="F124" s="35"/>
      <c r="G124" s="35"/>
      <c r="H124" s="35">
        <f>G116</f>
        <v>-23.484999999999999</v>
      </c>
      <c r="I124" s="35">
        <f t="shared" ref="I124:L124" si="43">H116</f>
        <v>-23.484999999999999</v>
      </c>
      <c r="J124" s="35">
        <f t="shared" si="43"/>
        <v>-23.484999999999999</v>
      </c>
      <c r="K124" s="35">
        <f t="shared" si="43"/>
        <v>-23.484999999999999</v>
      </c>
      <c r="L124" s="35">
        <f t="shared" si="43"/>
        <v>-23.484999999999999</v>
      </c>
    </row>
    <row r="125" spans="2:12" x14ac:dyDescent="0.35">
      <c r="B125" s="1" t="s">
        <v>289</v>
      </c>
      <c r="D125" s="35"/>
      <c r="E125" s="35"/>
      <c r="F125" s="35"/>
      <c r="G125" s="35"/>
      <c r="H125" s="36">
        <v>0</v>
      </c>
      <c r="I125" s="36">
        <v>0</v>
      </c>
      <c r="J125" s="36">
        <v>0</v>
      </c>
      <c r="K125" s="36">
        <v>0</v>
      </c>
      <c r="L125" s="36">
        <v>0</v>
      </c>
    </row>
    <row r="126" spans="2:12" x14ac:dyDescent="0.35">
      <c r="B126" s="1" t="s">
        <v>290</v>
      </c>
      <c r="D126" s="35"/>
      <c r="E126" s="35"/>
      <c r="F126" s="35"/>
      <c r="G126" s="35"/>
      <c r="H126" s="36">
        <v>0</v>
      </c>
      <c r="I126" s="36">
        <v>0</v>
      </c>
      <c r="J126" s="36">
        <v>0</v>
      </c>
      <c r="K126" s="36">
        <v>0</v>
      </c>
      <c r="L126" s="36">
        <v>0</v>
      </c>
    </row>
    <row r="127" spans="2:12" x14ac:dyDescent="0.35">
      <c r="B127" t="s">
        <v>291</v>
      </c>
      <c r="D127" s="35"/>
      <c r="E127" s="35"/>
      <c r="F127" s="35"/>
      <c r="G127" s="35"/>
      <c r="H127" s="35">
        <f>SUM(H124:H126)</f>
        <v>-23.484999999999999</v>
      </c>
      <c r="I127" s="35">
        <f t="shared" ref="I127:L127" si="44">SUM(I124:I126)</f>
        <v>-23.484999999999999</v>
      </c>
      <c r="J127" s="35">
        <f t="shared" si="44"/>
        <v>-23.484999999999999</v>
      </c>
      <c r="K127" s="35">
        <f t="shared" si="44"/>
        <v>-23.484999999999999</v>
      </c>
      <c r="L127" s="35">
        <f t="shared" si="44"/>
        <v>-23.484999999999999</v>
      </c>
    </row>
    <row r="128" spans="2:12" x14ac:dyDescent="0.35">
      <c r="D128" s="35"/>
      <c r="E128" s="35"/>
      <c r="F128" s="35"/>
      <c r="G128" s="35"/>
      <c r="H128" s="35"/>
      <c r="I128" s="35"/>
      <c r="J128" s="35"/>
      <c r="K128" s="35"/>
      <c r="L128" s="35"/>
    </row>
    <row r="129" spans="2:12" x14ac:dyDescent="0.35">
      <c r="B129" t="s">
        <v>293</v>
      </c>
      <c r="D129" s="36">
        <v>-20</v>
      </c>
      <c r="E129" s="36">
        <v>-20</v>
      </c>
      <c r="F129" s="36">
        <v>-20</v>
      </c>
      <c r="G129" s="36">
        <v>-20</v>
      </c>
      <c r="H129" s="36">
        <v>-20</v>
      </c>
      <c r="I129" s="36">
        <v>-20</v>
      </c>
      <c r="J129" s="36">
        <v>-20</v>
      </c>
      <c r="K129" s="36">
        <v>-20</v>
      </c>
      <c r="L129" s="36">
        <v>-20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F3983-376B-46BF-B2C1-9AC604AB468F}">
  <dimension ref="B2:L75"/>
  <sheetViews>
    <sheetView workbookViewId="0">
      <selection activeCell="J24" sqref="J24"/>
    </sheetView>
  </sheetViews>
  <sheetFormatPr defaultRowHeight="14.5" x14ac:dyDescent="0.35"/>
  <cols>
    <col min="2" max="2" width="41.1796875" bestFit="1" customWidth="1"/>
    <col min="4" max="4" width="13.36328125" customWidth="1"/>
    <col min="5" max="12" width="11.54296875" customWidth="1"/>
  </cols>
  <sheetData>
    <row r="2" spans="2:12" x14ac:dyDescent="0.35">
      <c r="B2" s="20" t="s">
        <v>238</v>
      </c>
      <c r="C2" s="28" t="s">
        <v>3</v>
      </c>
      <c r="D2" s="21">
        <f t="shared" ref="D2:E2" si="0">EOMONTH(E2,-12)</f>
        <v>43100</v>
      </c>
      <c r="E2" s="21">
        <f t="shared" si="0"/>
        <v>43465</v>
      </c>
      <c r="F2" s="21">
        <f>EOMONTH(G2,-12)</f>
        <v>43830</v>
      </c>
      <c r="G2" s="21">
        <f>Hist_Yr</f>
        <v>44196</v>
      </c>
      <c r="H2" s="21">
        <f>EOMONTH(G2,12)</f>
        <v>44561</v>
      </c>
      <c r="I2" s="21">
        <f t="shared" ref="I2:L2" si="1">EOMONTH(H2,12)</f>
        <v>44926</v>
      </c>
      <c r="J2" s="21">
        <f t="shared" si="1"/>
        <v>45291</v>
      </c>
      <c r="K2" s="21">
        <f t="shared" si="1"/>
        <v>45657</v>
      </c>
      <c r="L2" s="21">
        <f t="shared" si="1"/>
        <v>46022</v>
      </c>
    </row>
    <row r="4" spans="2:12" x14ac:dyDescent="0.35">
      <c r="B4" s="1" t="s">
        <v>240</v>
      </c>
      <c r="D4" s="35">
        <f>Expense!D57-Expense!D103+Expense!D109+Expense!D110</f>
        <v>279.70600000000007</v>
      </c>
      <c r="E4" s="35">
        <f>Expense!E57-Expense!E103+Expense!E109+Expense!E110</f>
        <v>294.29300000000001</v>
      </c>
      <c r="F4" s="35">
        <f>Expense!F57-Expense!F103+Expense!F109+Expense!F110</f>
        <v>364.36899999999997</v>
      </c>
      <c r="G4" s="35">
        <f>Expense!G57-Expense!G103+Expense!G109+Expense!G110</f>
        <v>299.24400000000003</v>
      </c>
      <c r="H4" s="35">
        <f>Expense!H57+Expense!H103+Expense!H109+Expense!H110</f>
        <v>278.94193739999997</v>
      </c>
      <c r="I4" s="35">
        <f>Expense!I57+Expense!I103+Expense!I109+Expense!I110</f>
        <v>346.21102880000001</v>
      </c>
      <c r="J4" s="35">
        <f>Expense!J57+Expense!J103+Expense!J109+Expense!J110</f>
        <v>373.36551559999998</v>
      </c>
      <c r="K4" s="35">
        <f>Expense!K57+Expense!K103+Expense!K109+Expense!K110</f>
        <v>344.81419560000006</v>
      </c>
      <c r="L4" s="35">
        <f>Expense!L57+Expense!L103+Expense!L109+Expense!L110</f>
        <v>344.23932760000002</v>
      </c>
    </row>
    <row r="5" spans="2:12" x14ac:dyDescent="0.35">
      <c r="B5" s="1" t="s">
        <v>239</v>
      </c>
      <c r="D5" s="35">
        <f>'Balance Sheet'!D65</f>
        <v>23.721</v>
      </c>
      <c r="E5" s="35">
        <f>'Balance Sheet'!E65</f>
        <v>23.975999999999999</v>
      </c>
      <c r="F5" s="35">
        <f>'Balance Sheet'!F65</f>
        <v>26.145</v>
      </c>
      <c r="G5" s="35">
        <f>'Balance Sheet'!G65</f>
        <v>26.027000000000001</v>
      </c>
      <c r="H5" s="35">
        <f>'Balance Sheet'!H65</f>
        <v>25.754000000000001</v>
      </c>
      <c r="I5" s="35">
        <f>'Balance Sheet'!I65</f>
        <v>26.754000000000001</v>
      </c>
      <c r="J5" s="35">
        <f>'Balance Sheet'!J65</f>
        <v>26.754000000000001</v>
      </c>
      <c r="K5" s="35">
        <f>'Balance Sheet'!K65</f>
        <v>26.754000000000001</v>
      </c>
      <c r="L5" s="35">
        <f>'Balance Sheet'!L65</f>
        <v>27.420666666666669</v>
      </c>
    </row>
    <row r="6" spans="2:12" x14ac:dyDescent="0.35">
      <c r="B6" s="1" t="s">
        <v>325</v>
      </c>
      <c r="D6" s="35">
        <f>-Expense!D105+Expense!D113-Expense!D104+Expense!D112</f>
        <v>-90.74</v>
      </c>
      <c r="E6" s="35">
        <f>-Expense!E105+Expense!E113-Expense!E104+Expense!E112</f>
        <v>-3.2149999999999999</v>
      </c>
      <c r="F6" s="35">
        <f>-Expense!F105+Expense!F113-Expense!F104+Expense!F112</f>
        <v>-13.551</v>
      </c>
      <c r="G6" s="35">
        <f>-Expense!G105+Expense!G113-Expense!G104+Expense!G112</f>
        <v>-8.2729999999999997</v>
      </c>
      <c r="H6" s="35">
        <f>-Expense!H105+Expense!H113-Expense!H104+Expense!H112</f>
        <v>0</v>
      </c>
      <c r="I6" s="35">
        <f>-Expense!I105+Expense!I113-Expense!I104+Expense!I112</f>
        <v>0</v>
      </c>
      <c r="J6" s="35">
        <f>-Expense!J105+Expense!J113-Expense!J104+Expense!J112</f>
        <v>0</v>
      </c>
      <c r="K6" s="35">
        <f>-Expense!K105+Expense!K113-Expense!K104+Expense!K112</f>
        <v>0</v>
      </c>
      <c r="L6" s="35">
        <f>-Expense!L105+Expense!L113-Expense!L104+Expense!L112</f>
        <v>0</v>
      </c>
    </row>
    <row r="7" spans="2:12" x14ac:dyDescent="0.35">
      <c r="B7" s="1" t="s">
        <v>43</v>
      </c>
      <c r="D7" s="35">
        <f>Expense!D40</f>
        <v>10.765000000000001</v>
      </c>
      <c r="E7" s="35">
        <f>Expense!E40</f>
        <v>9.2059999999999995</v>
      </c>
      <c r="F7" s="35">
        <f>Expense!F40</f>
        <v>9.5300000000000011</v>
      </c>
      <c r="G7" s="35">
        <f>Expense!G40</f>
        <v>11.131000000000002</v>
      </c>
      <c r="H7" s="35">
        <f>Expense!H40</f>
        <v>7.6282947000000005</v>
      </c>
      <c r="I7" s="35">
        <f>Expense!I40</f>
        <v>10.150792452054795</v>
      </c>
      <c r="J7" s="35">
        <f>Expense!J40</f>
        <v>10.150792452054795</v>
      </c>
      <c r="K7" s="35">
        <f>Expense!K40</f>
        <v>9.6432528294520559</v>
      </c>
      <c r="L7" s="35">
        <f>Expense!L40</f>
        <v>9.6432528294520559</v>
      </c>
    </row>
    <row r="8" spans="2:12" x14ac:dyDescent="0.35">
      <c r="B8" s="1" t="s">
        <v>139</v>
      </c>
      <c r="D8" s="35">
        <f>Expense!D132</f>
        <v>35.647999999999996</v>
      </c>
      <c r="E8" s="35">
        <f>Expense!E132</f>
        <v>35.912999999999997</v>
      </c>
      <c r="F8" s="35">
        <f>Expense!F132</f>
        <v>20.494999999999997</v>
      </c>
      <c r="G8" s="35">
        <f>Expense!G132</f>
        <v>4.0469999999999997</v>
      </c>
      <c r="H8" s="35">
        <f>Expense!H132</f>
        <v>4.1656673600000005</v>
      </c>
      <c r="I8" s="35">
        <f>Expense!I132</f>
        <v>1.8096304000000001</v>
      </c>
      <c r="J8" s="35">
        <f>Expense!J132</f>
        <v>1.924604</v>
      </c>
      <c r="K8" s="35">
        <f>Expense!K132</f>
        <v>1.8096304000000001</v>
      </c>
      <c r="L8" s="35">
        <f>Expense!L132</f>
        <v>1.8096304000000001</v>
      </c>
    </row>
    <row r="9" spans="2:12" x14ac:dyDescent="0.35">
      <c r="B9" s="1" t="s">
        <v>198</v>
      </c>
      <c r="D9" s="35">
        <f>-Expense!D169</f>
        <v>-3.3849999999999998</v>
      </c>
      <c r="E9" s="35">
        <f>-Expense!E169</f>
        <v>-3.9590000000000001</v>
      </c>
      <c r="F9" s="35">
        <f>-Expense!F169</f>
        <v>-3.9870000000000001</v>
      </c>
      <c r="G9" s="35">
        <f>-Expense!G169</f>
        <v>-1.244</v>
      </c>
      <c r="H9" s="35">
        <f>-Expense!H169</f>
        <v>-1.7799354300000001</v>
      </c>
      <c r="I9" s="35">
        <f>-Expense!I169</f>
        <v>-2.8422218865753424</v>
      </c>
      <c r="J9" s="35">
        <f>-Expense!J169</f>
        <v>-3.6796622638698628</v>
      </c>
      <c r="K9" s="35">
        <f>-Expense!K169</f>
        <v>-3.8065471695205484</v>
      </c>
      <c r="L9" s="35">
        <f>-Expense!L169</f>
        <v>-3.8065471695205484</v>
      </c>
    </row>
    <row r="10" spans="2:12" x14ac:dyDescent="0.35">
      <c r="B10" s="1" t="s">
        <v>252</v>
      </c>
      <c r="D10" s="35">
        <f>Expense!D96</f>
        <v>0.40600000000000003</v>
      </c>
      <c r="E10" s="35">
        <f>Expense!E96</f>
        <v>2.4340000000000002</v>
      </c>
      <c r="F10" s="35">
        <f>Expense!F96</f>
        <v>0.79200000000000004</v>
      </c>
      <c r="G10" s="35">
        <f>Expense!G96</f>
        <v>3.4169999999999998</v>
      </c>
      <c r="H10" s="35">
        <f>Expense!H96</f>
        <v>0</v>
      </c>
      <c r="I10" s="35">
        <f>Expense!I96</f>
        <v>0</v>
      </c>
      <c r="J10" s="35">
        <f>Expense!J96</f>
        <v>0</v>
      </c>
      <c r="K10" s="35">
        <f>Expense!K96</f>
        <v>0</v>
      </c>
      <c r="L10" s="35">
        <f>Expense!L96</f>
        <v>0</v>
      </c>
    </row>
    <row r="11" spans="2:12" x14ac:dyDescent="0.35">
      <c r="B11" s="1" t="s">
        <v>253</v>
      </c>
      <c r="D11" s="35">
        <f>Expense!D98</f>
        <v>48.32</v>
      </c>
      <c r="E11" s="35">
        <f>Expense!E98</f>
        <v>58.07</v>
      </c>
      <c r="F11" s="35">
        <f>Expense!F98</f>
        <v>101.128</v>
      </c>
      <c r="G11" s="35">
        <f>Expense!G98</f>
        <v>-22.82</v>
      </c>
      <c r="H11" s="35">
        <f>Expense!H98</f>
        <v>0</v>
      </c>
      <c r="I11" s="35">
        <f>Expense!I98</f>
        <v>0</v>
      </c>
      <c r="J11" s="35">
        <f>Expense!J98</f>
        <v>0</v>
      </c>
      <c r="K11" s="35">
        <f>Expense!K98</f>
        <v>0</v>
      </c>
      <c r="L11" s="35">
        <f>Expense!L98</f>
        <v>0</v>
      </c>
    </row>
    <row r="12" spans="2:12" x14ac:dyDescent="0.35">
      <c r="B12" s="1" t="s">
        <v>244</v>
      </c>
      <c r="D12" s="35">
        <v>67.037999999999997</v>
      </c>
      <c r="E12" s="35">
        <v>-4.6449999999999996</v>
      </c>
      <c r="F12" s="35">
        <v>2.4249999999999998</v>
      </c>
      <c r="G12" s="35">
        <v>5.12</v>
      </c>
      <c r="H12" s="36">
        <f>-(Expense!H129+Expense!H103)</f>
        <v>-1.4938093999999829</v>
      </c>
      <c r="I12" s="36">
        <f>-(Expense!I129+Expense!I103)</f>
        <v>-1.3420528</v>
      </c>
      <c r="J12" s="36">
        <f>-(Expense!J129+Expense!J103)</f>
        <v>-1.0565396</v>
      </c>
      <c r="K12" s="36">
        <f>-(Expense!K129+Expense!K103)</f>
        <v>-1.0565396</v>
      </c>
      <c r="L12" s="36">
        <f>-(Expense!L129+Expense!L103)</f>
        <v>-1.0565396</v>
      </c>
    </row>
    <row r="13" spans="2:12" x14ac:dyDescent="0.35">
      <c r="B13" s="1"/>
      <c r="D13" s="35"/>
      <c r="E13" s="35"/>
      <c r="F13" s="35"/>
      <c r="G13" s="35"/>
      <c r="H13" s="35"/>
      <c r="I13" s="35"/>
      <c r="J13" s="35"/>
      <c r="K13" s="35"/>
      <c r="L13" s="35"/>
    </row>
    <row r="14" spans="2:12" x14ac:dyDescent="0.35">
      <c r="B14" s="3" t="s">
        <v>241</v>
      </c>
      <c r="D14" s="35">
        <f>SUM(D4:D12)+0.002</f>
        <v>371.48100000000005</v>
      </c>
      <c r="E14" s="35">
        <f t="shared" ref="E14:F14" si="2">SUM(E4:E12)</f>
        <v>412.07300000000009</v>
      </c>
      <c r="F14" s="35">
        <f t="shared" si="2"/>
        <v>507.34599999999989</v>
      </c>
      <c r="G14" s="35">
        <f>SUM(G4:G12)</f>
        <v>316.649</v>
      </c>
      <c r="H14" s="35">
        <f t="shared" ref="H14:L14" si="3">SUM(H4:H12)</f>
        <v>313.21615463000001</v>
      </c>
      <c r="I14" s="35">
        <f t="shared" si="3"/>
        <v>380.74117696547955</v>
      </c>
      <c r="J14" s="35">
        <f t="shared" si="3"/>
        <v>407.45871018818491</v>
      </c>
      <c r="K14" s="35">
        <f t="shared" si="3"/>
        <v>378.15799205993159</v>
      </c>
      <c r="L14" s="35">
        <f t="shared" si="3"/>
        <v>378.24979072659818</v>
      </c>
    </row>
    <row r="15" spans="2:12" x14ac:dyDescent="0.35">
      <c r="D15" s="35"/>
      <c r="E15" s="35"/>
      <c r="F15" s="35"/>
      <c r="G15" s="35"/>
      <c r="H15" s="35"/>
      <c r="I15" s="35"/>
      <c r="J15" s="35"/>
      <c r="K15" s="35"/>
      <c r="L15" s="35"/>
    </row>
    <row r="16" spans="2:12" x14ac:dyDescent="0.35">
      <c r="B16" s="1" t="s">
        <v>108</v>
      </c>
      <c r="D16" s="35"/>
      <c r="E16" s="35">
        <f>-'Balance Sheet'!E6</f>
        <v>-0.20599999999999596</v>
      </c>
      <c r="F16" s="35">
        <f>-'Balance Sheet'!F6</f>
        <v>0.1109999999999971</v>
      </c>
      <c r="G16" s="35">
        <f>-'Balance Sheet'!G6</f>
        <v>4.9110000000000014</v>
      </c>
      <c r="H16" s="35">
        <f>-'Balance Sheet'!H6</f>
        <v>-0.3233900053908414</v>
      </c>
      <c r="I16" s="35">
        <f>-'Balance Sheet'!I6</f>
        <v>-2.4389799924150566</v>
      </c>
      <c r="J16" s="35">
        <f>-'Balance Sheet'!J6</f>
        <v>-3.4560977982291021</v>
      </c>
      <c r="K16" s="35">
        <f>-'Balance Sheet'!K6</f>
        <v>0.24567494754823116</v>
      </c>
      <c r="L16" s="35">
        <f>-'Balance Sheet'!L6</f>
        <v>-0.20555837307070135</v>
      </c>
    </row>
    <row r="17" spans="2:12" x14ac:dyDescent="0.35">
      <c r="B17" s="1" t="s">
        <v>79</v>
      </c>
      <c r="D17" s="35"/>
      <c r="E17" s="35">
        <f>-'Balance Sheet'!E10</f>
        <v>-16.885000000000005</v>
      </c>
      <c r="F17" s="35">
        <f>-'Balance Sheet'!F10</f>
        <v>6.3379999999999939</v>
      </c>
      <c r="G17" s="35">
        <f>-'Balance Sheet'!G10</f>
        <v>81.311000000000007</v>
      </c>
      <c r="H17" s="35">
        <f>-'Balance Sheet'!H10</f>
        <v>-13.521791780821914</v>
      </c>
      <c r="I17" s="35">
        <f>-'Balance Sheet'!I10</f>
        <v>-41.576769337586796</v>
      </c>
      <c r="J17" s="35">
        <f>-'Balance Sheet'!J10</f>
        <v>-27.810390279602174</v>
      </c>
      <c r="K17" s="35">
        <f>-'Balance Sheet'!K10</f>
        <v>0</v>
      </c>
      <c r="L17" s="35">
        <f>-'Balance Sheet'!L10</f>
        <v>6.9525975699005471</v>
      </c>
    </row>
    <row r="18" spans="2:12" x14ac:dyDescent="0.35">
      <c r="B18" s="1" t="s">
        <v>242</v>
      </c>
      <c r="D18" s="35"/>
      <c r="E18" s="35">
        <f>'Balance Sheet'!E14</f>
        <v>-7.9769999999999754</v>
      </c>
      <c r="F18" s="35">
        <f>'Balance Sheet'!F14</f>
        <v>34.70999999999998</v>
      </c>
      <c r="G18" s="35">
        <f>'Balance Sheet'!G14</f>
        <v>-146.34399999999999</v>
      </c>
      <c r="H18" s="35">
        <f>'Balance Sheet'!H14</f>
        <v>20.107329456159846</v>
      </c>
      <c r="I18" s="35">
        <f>'Balance Sheet'!I14</f>
        <v>85.602666951254093</v>
      </c>
      <c r="J18" s="35">
        <f>'Balance Sheet'!J14</f>
        <v>51.18468155293607</v>
      </c>
      <c r="K18" s="35">
        <f>'Balance Sheet'!K14</f>
        <v>-2.4567494754823542</v>
      </c>
      <c r="L18" s="35">
        <f>'Balance Sheet'!L14</f>
        <v>-36.376994132029438</v>
      </c>
    </row>
    <row r="19" spans="2:12" x14ac:dyDescent="0.35">
      <c r="B19" t="s">
        <v>243</v>
      </c>
      <c r="D19" s="35"/>
      <c r="E19" s="35">
        <f>SUM(E16:E18)</f>
        <v>-25.067999999999977</v>
      </c>
      <c r="F19" s="35">
        <f t="shared" ref="F19:G19" si="4">SUM(F16:F18)</f>
        <v>41.15899999999997</v>
      </c>
      <c r="G19" s="35">
        <f t="shared" si="4"/>
        <v>-60.121999999999986</v>
      </c>
      <c r="H19" s="35">
        <f t="shared" ref="H19" si="5">SUM(H16:H18)</f>
        <v>6.2621476699470904</v>
      </c>
      <c r="I19" s="35">
        <f t="shared" ref="I19" si="6">SUM(I16:I18)</f>
        <v>41.58691762125224</v>
      </c>
      <c r="J19" s="35">
        <f t="shared" ref="J19" si="7">SUM(J16:J18)</f>
        <v>19.918193475104793</v>
      </c>
      <c r="K19" s="35">
        <f t="shared" ref="K19" si="8">SUM(K16:K18)</f>
        <v>-2.2110745279341231</v>
      </c>
      <c r="L19" s="35">
        <f t="shared" ref="L19" si="9">SUM(L16:L18)</f>
        <v>-29.629954935199592</v>
      </c>
    </row>
    <row r="21" spans="2:12" x14ac:dyDescent="0.35">
      <c r="B21" s="1" t="s">
        <v>108</v>
      </c>
      <c r="D21" s="35">
        <v>12.504</v>
      </c>
      <c r="E21" s="35">
        <f t="shared" ref="E21:L21" si="10">E16-E10</f>
        <v>-2.6399999999999961</v>
      </c>
      <c r="F21" s="35">
        <f t="shared" si="10"/>
        <v>-0.68100000000000294</v>
      </c>
      <c r="G21" s="35">
        <f t="shared" si="10"/>
        <v>1.4940000000000015</v>
      </c>
      <c r="H21" s="35">
        <f t="shared" si="10"/>
        <v>-0.3233900053908414</v>
      </c>
      <c r="I21" s="35">
        <f t="shared" si="10"/>
        <v>-2.4389799924150566</v>
      </c>
      <c r="J21" s="35">
        <f t="shared" si="10"/>
        <v>-3.4560977982291021</v>
      </c>
      <c r="K21" s="35">
        <f t="shared" si="10"/>
        <v>0.24567494754823116</v>
      </c>
      <c r="L21" s="35">
        <f t="shared" si="10"/>
        <v>-0.20555837307070135</v>
      </c>
    </row>
    <row r="22" spans="2:12" x14ac:dyDescent="0.35">
      <c r="B22" s="1" t="s">
        <v>79</v>
      </c>
      <c r="D22" s="35">
        <v>19.402999999999999</v>
      </c>
      <c r="E22" s="35">
        <v>-57.652999999999999</v>
      </c>
      <c r="F22" s="35">
        <v>-100.98699999999999</v>
      </c>
      <c r="G22" s="35">
        <v>77.165999999999997</v>
      </c>
      <c r="H22" s="37"/>
      <c r="I22" s="37"/>
      <c r="J22" s="37"/>
      <c r="K22" s="37"/>
      <c r="L22" s="37"/>
    </row>
    <row r="23" spans="2:12" x14ac:dyDescent="0.35">
      <c r="B23" s="1" t="s">
        <v>242</v>
      </c>
      <c r="D23" s="35">
        <v>65.801000000000002</v>
      </c>
      <c r="E23" s="35">
        <v>51.866</v>
      </c>
      <c r="F23" s="35">
        <v>34.895000000000003</v>
      </c>
      <c r="G23" s="35">
        <v>-138.57900000000001</v>
      </c>
      <c r="H23" s="37"/>
      <c r="I23" s="37"/>
      <c r="J23" s="37"/>
      <c r="K23" s="37"/>
      <c r="L23" s="37"/>
    </row>
    <row r="24" spans="2:12" x14ac:dyDescent="0.35">
      <c r="B24" s="3" t="s">
        <v>315</v>
      </c>
      <c r="D24" s="35">
        <f t="shared" ref="D24:F24" si="11">SUM(D21:D23)</f>
        <v>97.707999999999998</v>
      </c>
      <c r="E24" s="35">
        <f t="shared" si="11"/>
        <v>-8.4269999999999925</v>
      </c>
      <c r="F24" s="35">
        <f t="shared" si="11"/>
        <v>-66.772999999999996</v>
      </c>
      <c r="G24" s="35">
        <f>SUM(G21:G23)</f>
        <v>-59.919000000000011</v>
      </c>
      <c r="H24" s="37"/>
      <c r="I24" s="37"/>
      <c r="J24" s="37"/>
      <c r="K24" s="37"/>
      <c r="L24" s="37"/>
    </row>
    <row r="25" spans="2:12" x14ac:dyDescent="0.35">
      <c r="D25" s="35"/>
      <c r="E25" s="35"/>
      <c r="F25" s="35"/>
      <c r="G25" s="35"/>
      <c r="H25" s="35"/>
      <c r="I25" s="35"/>
      <c r="J25" s="35"/>
      <c r="K25" s="35"/>
      <c r="L25" s="35"/>
    </row>
    <row r="26" spans="2:12" x14ac:dyDescent="0.35">
      <c r="D26" s="35"/>
      <c r="E26" s="35"/>
      <c r="F26" s="35"/>
      <c r="G26" s="35"/>
      <c r="H26" s="35"/>
      <c r="I26" s="35"/>
      <c r="J26" s="35"/>
      <c r="K26" s="35"/>
      <c r="L26" s="35"/>
    </row>
    <row r="27" spans="2:12" x14ac:dyDescent="0.35">
      <c r="B27" s="1" t="s">
        <v>137</v>
      </c>
      <c r="D27" s="35">
        <f>-Expense!D172</f>
        <v>-71.093999999999994</v>
      </c>
      <c r="E27" s="35">
        <f>-Expense!E172</f>
        <v>-72.341999999999999</v>
      </c>
      <c r="F27" s="35">
        <f>-Expense!F172</f>
        <v>-80.072999999999993</v>
      </c>
      <c r="G27" s="35">
        <f>-Expense!G172</f>
        <v>-45.545999999999999</v>
      </c>
      <c r="H27" s="35">
        <f>-Expense!H172</f>
        <v>-53.999999999999993</v>
      </c>
      <c r="I27" s="35">
        <f>-Expense!I172</f>
        <v>-53.999999999999993</v>
      </c>
      <c r="J27" s="35">
        <f>-Expense!J172</f>
        <v>-53.999999999999993</v>
      </c>
      <c r="K27" s="35">
        <f>-Expense!K172</f>
        <v>-53.999999999999993</v>
      </c>
      <c r="L27" s="35">
        <f>-Expense!L172</f>
        <v>-53.999999999999993</v>
      </c>
    </row>
    <row r="28" spans="2:12" x14ac:dyDescent="0.35">
      <c r="B28" s="1" t="s">
        <v>245</v>
      </c>
      <c r="D28" s="35">
        <v>76.257999999999996</v>
      </c>
      <c r="E28" s="35">
        <v>53.171999999999997</v>
      </c>
      <c r="F28" s="35">
        <v>86.116</v>
      </c>
      <c r="G28" s="35">
        <v>65.599000000000004</v>
      </c>
      <c r="H28" s="37">
        <f>-(H27-H29)</f>
        <v>53.999999999999993</v>
      </c>
      <c r="I28" s="37">
        <f t="shared" ref="I28:L28" si="12">-(I27-I29)</f>
        <v>53.999999999999993</v>
      </c>
      <c r="J28" s="37">
        <f t="shared" si="12"/>
        <v>53.999999999999993</v>
      </c>
      <c r="K28" s="37">
        <f t="shared" si="12"/>
        <v>53.999999999999993</v>
      </c>
      <c r="L28" s="37">
        <f t="shared" si="12"/>
        <v>53.999999999999993</v>
      </c>
    </row>
    <row r="29" spans="2:12" x14ac:dyDescent="0.35">
      <c r="B29" t="s">
        <v>309</v>
      </c>
      <c r="D29" s="35">
        <f>SUM(D27:D28)</f>
        <v>5.1640000000000015</v>
      </c>
      <c r="E29" s="35">
        <f t="shared" ref="E29:G29" si="13">SUM(E27:E28)</f>
        <v>-19.170000000000002</v>
      </c>
      <c r="F29" s="35">
        <f t="shared" si="13"/>
        <v>6.0430000000000064</v>
      </c>
      <c r="G29" s="35">
        <f t="shared" si="13"/>
        <v>20.053000000000004</v>
      </c>
      <c r="H29" s="36">
        <v>0</v>
      </c>
      <c r="I29" s="36">
        <v>0</v>
      </c>
      <c r="J29" s="36">
        <v>0</v>
      </c>
      <c r="K29" s="36">
        <v>0</v>
      </c>
      <c r="L29" s="36">
        <v>0</v>
      </c>
    </row>
    <row r="30" spans="2:12" x14ac:dyDescent="0.35">
      <c r="D30" s="35"/>
      <c r="E30" s="35"/>
      <c r="F30" s="35"/>
      <c r="G30" s="35"/>
      <c r="H30" s="35"/>
      <c r="I30" s="35"/>
      <c r="J30" s="35"/>
      <c r="K30" s="35"/>
      <c r="L30" s="35"/>
    </row>
    <row r="31" spans="2:12" x14ac:dyDescent="0.35">
      <c r="B31" s="1" t="s">
        <v>246</v>
      </c>
      <c r="D31" s="35">
        <f>Expense!D166</f>
        <v>174.471</v>
      </c>
      <c r="E31" s="35">
        <f>Expense!E166</f>
        <v>187.845</v>
      </c>
      <c r="F31" s="35">
        <f>Expense!F166</f>
        <v>158.30199999999999</v>
      </c>
      <c r="G31" s="35">
        <f>Expense!G166</f>
        <v>43.734999999999999</v>
      </c>
      <c r="H31" s="35">
        <f>Expense!H166</f>
        <v>40.058445312123453</v>
      </c>
      <c r="I31" s="35">
        <f>Expense!I166</f>
        <v>113.38059952917274</v>
      </c>
      <c r="J31" s="35">
        <f>Expense!J166</f>
        <v>158.60061520894425</v>
      </c>
      <c r="K31" s="35">
        <f>Expense!K166</f>
        <v>159.79278614366484</v>
      </c>
      <c r="L31" s="35">
        <f>Expense!L166</f>
        <v>158.81164021681585</v>
      </c>
    </row>
    <row r="32" spans="2:12" x14ac:dyDescent="0.35">
      <c r="B32" s="1" t="s">
        <v>247</v>
      </c>
      <c r="D32" s="35">
        <f>-78.247</f>
        <v>-78.247</v>
      </c>
      <c r="E32" s="35">
        <f>-181.319</f>
        <v>-181.31899999999999</v>
      </c>
      <c r="F32" s="35">
        <f>-207.414</f>
        <v>-207.41399999999999</v>
      </c>
      <c r="G32" s="35">
        <f>-143.19</f>
        <v>-143.19</v>
      </c>
      <c r="H32" s="37">
        <f>-(H31-Combined!H77)</f>
        <v>-40.058445312123453</v>
      </c>
      <c r="I32" s="37">
        <f>-(I31-Combined!I77)</f>
        <v>-113.38059952917274</v>
      </c>
      <c r="J32" s="37">
        <f>-(J31-Combined!J77)</f>
        <v>-158.60061520894425</v>
      </c>
      <c r="K32" s="37">
        <f>-(K31-Combined!K77)</f>
        <v>-159.79278614366484</v>
      </c>
      <c r="L32" s="37">
        <f>-(L31-Combined!L77)</f>
        <v>-158.81164021681585</v>
      </c>
    </row>
    <row r="33" spans="2:12" x14ac:dyDescent="0.35">
      <c r="B33" t="s">
        <v>248</v>
      </c>
      <c r="D33" s="35">
        <f>D31+D32</f>
        <v>96.224000000000004</v>
      </c>
      <c r="E33" s="35">
        <f t="shared" ref="E33:L33" si="14">E31+E32</f>
        <v>6.5260000000000105</v>
      </c>
      <c r="F33" s="35">
        <f t="shared" si="14"/>
        <v>-49.111999999999995</v>
      </c>
      <c r="G33" s="35">
        <f t="shared" si="14"/>
        <v>-99.454999999999998</v>
      </c>
      <c r="H33" s="35">
        <f t="shared" si="14"/>
        <v>0</v>
      </c>
      <c r="I33" s="35">
        <f t="shared" si="14"/>
        <v>0</v>
      </c>
      <c r="J33" s="35">
        <f t="shared" si="14"/>
        <v>0</v>
      </c>
      <c r="K33" s="35">
        <f t="shared" si="14"/>
        <v>0</v>
      </c>
      <c r="L33" s="35">
        <f t="shared" si="14"/>
        <v>0</v>
      </c>
    </row>
    <row r="34" spans="2:12" x14ac:dyDescent="0.35">
      <c r="D34" s="35"/>
      <c r="E34" s="35"/>
      <c r="F34" s="35"/>
      <c r="G34" s="35"/>
      <c r="H34" s="35"/>
      <c r="I34" s="35"/>
      <c r="J34" s="35"/>
      <c r="K34" s="35"/>
      <c r="L34" s="35"/>
    </row>
    <row r="35" spans="2:12" x14ac:dyDescent="0.35">
      <c r="B35" s="1" t="s">
        <v>49</v>
      </c>
      <c r="D35" s="35">
        <f>Expense!D44</f>
        <v>0.02</v>
      </c>
      <c r="E35" s="35">
        <f>Expense!E44</f>
        <v>5.8000000000000003E-2</v>
      </c>
      <c r="F35" s="35">
        <f>Expense!F44</f>
        <v>-0.156</v>
      </c>
      <c r="G35" s="35">
        <f>Expense!G44</f>
        <v>-5.8999999999999997E-2</v>
      </c>
      <c r="H35" s="35">
        <f>Expense!H44</f>
        <v>0</v>
      </c>
      <c r="I35" s="35">
        <f>Expense!I44</f>
        <v>0</v>
      </c>
      <c r="J35" s="35">
        <f>Expense!J44</f>
        <v>0</v>
      </c>
      <c r="K35" s="35">
        <f>Expense!K44</f>
        <v>0</v>
      </c>
      <c r="L35" s="35">
        <f>Expense!L44</f>
        <v>0</v>
      </c>
    </row>
    <row r="36" spans="2:12" x14ac:dyDescent="0.35">
      <c r="B36" s="1" t="s">
        <v>251</v>
      </c>
      <c r="D36" s="35">
        <f>-0.276</f>
        <v>-0.27600000000000002</v>
      </c>
      <c r="E36" s="35">
        <f>-0.039</f>
        <v>-3.9E-2</v>
      </c>
      <c r="F36" s="35">
        <f>-0.071</f>
        <v>-7.0999999999999994E-2</v>
      </c>
      <c r="G36" s="35">
        <v>0</v>
      </c>
      <c r="H36" s="37">
        <f>H35+H37</f>
        <v>0</v>
      </c>
      <c r="I36" s="37">
        <f t="shared" ref="I36:L36" si="15">I35+I37</f>
        <v>0</v>
      </c>
      <c r="J36" s="37">
        <f t="shared" si="15"/>
        <v>0</v>
      </c>
      <c r="K36" s="37">
        <f t="shared" si="15"/>
        <v>0</v>
      </c>
      <c r="L36" s="37">
        <f t="shared" si="15"/>
        <v>0</v>
      </c>
    </row>
    <row r="37" spans="2:12" x14ac:dyDescent="0.35">
      <c r="B37" t="s">
        <v>310</v>
      </c>
      <c r="D37" s="35">
        <f>D36+D35</f>
        <v>-0.25600000000000001</v>
      </c>
      <c r="E37" s="35">
        <f t="shared" ref="E37:G37" si="16">E36+E35</f>
        <v>1.9000000000000003E-2</v>
      </c>
      <c r="F37" s="35">
        <f t="shared" si="16"/>
        <v>-0.22699999999999998</v>
      </c>
      <c r="G37" s="35">
        <f t="shared" si="16"/>
        <v>-5.8999999999999997E-2</v>
      </c>
      <c r="H37" s="36">
        <v>0</v>
      </c>
      <c r="I37" s="36">
        <v>0</v>
      </c>
      <c r="J37" s="36">
        <v>0</v>
      </c>
      <c r="K37" s="36">
        <v>0</v>
      </c>
      <c r="L37" s="36">
        <v>0</v>
      </c>
    </row>
    <row r="39" spans="2:12" x14ac:dyDescent="0.35">
      <c r="B39" s="20" t="s">
        <v>256</v>
      </c>
      <c r="C39" s="28" t="s">
        <v>3</v>
      </c>
      <c r="D39" s="21">
        <f t="shared" ref="D39:E39" si="17">EOMONTH(E39,-12)</f>
        <v>43100</v>
      </c>
      <c r="E39" s="21">
        <f t="shared" si="17"/>
        <v>43465</v>
      </c>
      <c r="F39" s="21">
        <f>EOMONTH(G39,-12)</f>
        <v>43830</v>
      </c>
      <c r="G39" s="21">
        <f>Hist_Yr</f>
        <v>44196</v>
      </c>
      <c r="H39" s="21">
        <f>EOMONTH(G39,12)</f>
        <v>44561</v>
      </c>
      <c r="I39" s="21">
        <f t="shared" ref="I39:L39" si="18">EOMONTH(H39,12)</f>
        <v>44926</v>
      </c>
      <c r="J39" s="21">
        <f t="shared" si="18"/>
        <v>45291</v>
      </c>
      <c r="K39" s="21">
        <f t="shared" si="18"/>
        <v>45657</v>
      </c>
      <c r="L39" s="21">
        <f t="shared" si="18"/>
        <v>46022</v>
      </c>
    </row>
    <row r="41" spans="2:12" x14ac:dyDescent="0.35">
      <c r="I41" s="58"/>
    </row>
    <row r="42" spans="2:12" x14ac:dyDescent="0.35">
      <c r="B42" s="1" t="s">
        <v>258</v>
      </c>
      <c r="D42" s="35">
        <v>0.39400000000000002</v>
      </c>
      <c r="E42" s="35">
        <v>3.3719999999999999</v>
      </c>
      <c r="F42" s="35">
        <v>0.83399999999999996</v>
      </c>
      <c r="G42" s="35">
        <v>1.381</v>
      </c>
      <c r="H42" s="35">
        <f>Expense!H103</f>
        <v>1.2848094000000001</v>
      </c>
      <c r="I42" s="35">
        <f>Expense!I103</f>
        <v>1.1420528000000001</v>
      </c>
      <c r="J42" s="35">
        <f>Expense!J103</f>
        <v>0.85653960000000007</v>
      </c>
      <c r="K42" s="35">
        <f>Expense!K103</f>
        <v>0.85653960000000007</v>
      </c>
      <c r="L42" s="35">
        <f>Expense!L103</f>
        <v>0.85653960000000007</v>
      </c>
    </row>
    <row r="43" spans="2:12" x14ac:dyDescent="0.35">
      <c r="B43" s="1" t="s">
        <v>257</v>
      </c>
      <c r="D43" s="35">
        <f>-76.084</f>
        <v>-76.084000000000003</v>
      </c>
      <c r="E43" s="35">
        <f>-119.625</f>
        <v>-119.625</v>
      </c>
      <c r="F43" s="35">
        <f>-171.534</f>
        <v>-171.53399999999999</v>
      </c>
      <c r="G43" s="35">
        <f>-88.295</f>
        <v>-88.295000000000002</v>
      </c>
      <c r="H43" s="35">
        <f>'Balance Sheet'!H88</f>
        <v>-153.37569739999989</v>
      </c>
      <c r="I43" s="35">
        <f>'Balance Sheet'!I88</f>
        <v>-226.44914879999999</v>
      </c>
      <c r="J43" s="35">
        <f>'Balance Sheet'!J88</f>
        <v>-282.34703560000025</v>
      </c>
      <c r="K43" s="35">
        <f>'Balance Sheet'!K88</f>
        <v>-173.31419560000003</v>
      </c>
      <c r="L43" s="35">
        <f>'Balance Sheet'!L88</f>
        <v>-201.48272760000029</v>
      </c>
    </row>
    <row r="44" spans="2:12" x14ac:dyDescent="0.35">
      <c r="B44" s="30" t="s">
        <v>312</v>
      </c>
      <c r="C44" s="13"/>
      <c r="D44" s="46">
        <f>SUM(D42:D43)</f>
        <v>-75.69</v>
      </c>
      <c r="E44" s="46">
        <f t="shared" ref="E44:L44" si="19">SUM(E42:E43)</f>
        <v>-116.253</v>
      </c>
      <c r="F44" s="46">
        <f t="shared" si="19"/>
        <v>-170.7</v>
      </c>
      <c r="G44" s="46">
        <f t="shared" si="19"/>
        <v>-86.914000000000001</v>
      </c>
      <c r="H44" s="46">
        <f t="shared" si="19"/>
        <v>-152.09088799999989</v>
      </c>
      <c r="I44" s="46">
        <f t="shared" si="19"/>
        <v>-225.307096</v>
      </c>
      <c r="J44" s="46">
        <f t="shared" si="19"/>
        <v>-281.49049600000023</v>
      </c>
      <c r="K44" s="46">
        <f t="shared" si="19"/>
        <v>-172.45765600000004</v>
      </c>
      <c r="L44" s="46">
        <f t="shared" si="19"/>
        <v>-200.6261880000003</v>
      </c>
    </row>
    <row r="45" spans="2:12" x14ac:dyDescent="0.35">
      <c r="B45" s="51"/>
      <c r="C45" s="52"/>
      <c r="D45" s="53"/>
      <c r="E45" s="53"/>
      <c r="F45" s="53"/>
      <c r="G45" s="53"/>
      <c r="H45" s="53"/>
      <c r="I45" s="53"/>
      <c r="J45" s="53"/>
      <c r="K45" s="53"/>
      <c r="L45" s="53"/>
    </row>
    <row r="46" spans="2:12" x14ac:dyDescent="0.35">
      <c r="B46" s="1" t="s">
        <v>259</v>
      </c>
      <c r="D46" s="35">
        <f>-'Balance Sheet'!D73</f>
        <v>-2.214</v>
      </c>
      <c r="E46" s="35">
        <f>-'Balance Sheet'!E73</f>
        <v>-2.4769999999999999</v>
      </c>
      <c r="F46" s="35">
        <f>-'Balance Sheet'!F73</f>
        <v>-75.712000000000003</v>
      </c>
      <c r="G46" s="35">
        <f>-'Balance Sheet'!G73</f>
        <v>-4.4400000000000004</v>
      </c>
      <c r="H46" s="35">
        <f>-'Balance Sheet'!H73</f>
        <v>0</v>
      </c>
      <c r="I46" s="35">
        <f>-'Balance Sheet'!I73</f>
        <v>-78</v>
      </c>
      <c r="J46" s="35">
        <f>-'Balance Sheet'!J73</f>
        <v>0</v>
      </c>
      <c r="K46" s="35">
        <f>-'Balance Sheet'!K73</f>
        <v>0</v>
      </c>
      <c r="L46" s="35">
        <f>-'Balance Sheet'!L73</f>
        <v>-84</v>
      </c>
    </row>
    <row r="47" spans="2:12" x14ac:dyDescent="0.35">
      <c r="B47" s="1"/>
      <c r="D47" s="35"/>
      <c r="E47" s="35"/>
      <c r="F47" s="35"/>
      <c r="G47" s="35"/>
      <c r="H47" s="35"/>
      <c r="I47" s="35"/>
      <c r="J47" s="35"/>
      <c r="K47" s="35"/>
      <c r="L47" s="35"/>
    </row>
    <row r="48" spans="2:12" x14ac:dyDescent="0.35">
      <c r="B48" s="1" t="s">
        <v>260</v>
      </c>
      <c r="D48" s="35">
        <v>596.27300000000002</v>
      </c>
      <c r="E48" s="35">
        <v>11.904</v>
      </c>
      <c r="F48" s="35">
        <v>0</v>
      </c>
      <c r="G48" s="35">
        <v>0</v>
      </c>
      <c r="H48" s="36">
        <v>0</v>
      </c>
      <c r="I48" s="36">
        <v>0</v>
      </c>
      <c r="J48" s="36">
        <v>0</v>
      </c>
      <c r="K48" s="36">
        <v>0</v>
      </c>
      <c r="L48" s="36">
        <v>0</v>
      </c>
    </row>
    <row r="49" spans="2:12" x14ac:dyDescent="0.35">
      <c r="B49" s="1"/>
      <c r="D49" s="35"/>
      <c r="E49" s="35"/>
      <c r="F49" s="35"/>
      <c r="G49" s="35"/>
      <c r="H49" s="37"/>
      <c r="I49" s="37"/>
      <c r="J49" s="37"/>
      <c r="K49" s="37"/>
      <c r="L49" s="37"/>
    </row>
    <row r="50" spans="2:12" x14ac:dyDescent="0.35">
      <c r="B50" s="1" t="s">
        <v>261</v>
      </c>
      <c r="D50" s="35">
        <v>5.8380000000000001</v>
      </c>
      <c r="E50" s="35">
        <v>1.4750000000000001</v>
      </c>
      <c r="F50" s="35">
        <v>0</v>
      </c>
      <c r="G50" s="35">
        <v>205.63</v>
      </c>
      <c r="H50" s="36">
        <v>0</v>
      </c>
      <c r="I50" s="36">
        <v>0</v>
      </c>
      <c r="J50" s="36">
        <v>0</v>
      </c>
      <c r="K50" s="36">
        <v>0</v>
      </c>
      <c r="L50" s="36">
        <v>0</v>
      </c>
    </row>
    <row r="51" spans="2:12" x14ac:dyDescent="0.35">
      <c r="B51" s="1" t="s">
        <v>262</v>
      </c>
      <c r="D51" s="35">
        <f>-67.34</f>
        <v>-67.34</v>
      </c>
      <c r="E51" s="35">
        <v>0</v>
      </c>
      <c r="F51" s="35">
        <v>0</v>
      </c>
      <c r="G51" s="35">
        <v>0</v>
      </c>
      <c r="H51" s="36">
        <v>0</v>
      </c>
      <c r="I51" s="36">
        <v>0</v>
      </c>
      <c r="J51" s="36">
        <v>0</v>
      </c>
      <c r="K51" s="36">
        <v>0</v>
      </c>
      <c r="L51" s="36">
        <v>0</v>
      </c>
    </row>
    <row r="52" spans="2:12" x14ac:dyDescent="0.35">
      <c r="B52" s="30" t="s">
        <v>311</v>
      </c>
      <c r="C52" s="13"/>
      <c r="D52" s="46">
        <f>SUM(D50:D51)</f>
        <v>-61.502000000000002</v>
      </c>
      <c r="E52" s="46">
        <f t="shared" ref="E52:G52" si="20">SUM(E50:E51)</f>
        <v>1.4750000000000001</v>
      </c>
      <c r="F52" s="46">
        <f t="shared" si="20"/>
        <v>0</v>
      </c>
      <c r="G52" s="46">
        <f t="shared" si="20"/>
        <v>205.63</v>
      </c>
      <c r="H52" s="47">
        <f>SUM(H50:H51)</f>
        <v>0</v>
      </c>
      <c r="I52" s="47">
        <f t="shared" ref="I52:L52" si="21">SUM(I50:I51)</f>
        <v>0</v>
      </c>
      <c r="J52" s="47">
        <f t="shared" si="21"/>
        <v>0</v>
      </c>
      <c r="K52" s="47">
        <f t="shared" si="21"/>
        <v>0</v>
      </c>
      <c r="L52" s="47">
        <f t="shared" si="21"/>
        <v>0</v>
      </c>
    </row>
    <row r="53" spans="2:12" x14ac:dyDescent="0.35">
      <c r="D53" s="35"/>
      <c r="E53" s="35"/>
      <c r="F53" s="35"/>
      <c r="G53" s="35"/>
      <c r="H53" s="35"/>
      <c r="I53" s="35"/>
      <c r="J53" s="35"/>
      <c r="K53" s="35"/>
      <c r="L53" s="35"/>
    </row>
    <row r="54" spans="2:12" x14ac:dyDescent="0.35">
      <c r="B54" s="10" t="s">
        <v>263</v>
      </c>
      <c r="D54" s="35">
        <f>SUM(D48:D51,D46,D42:D43)</f>
        <v>456.8669999999999</v>
      </c>
      <c r="E54" s="35">
        <f t="shared" ref="E54:F54" si="22">SUM(E48:E51,E46,E42:E43)</f>
        <v>-105.351</v>
      </c>
      <c r="F54" s="35">
        <f t="shared" si="22"/>
        <v>-246.41199999999998</v>
      </c>
      <c r="G54" s="35">
        <f>SUM(G48:G51,G46,G42:G43)</f>
        <v>114.276</v>
      </c>
      <c r="H54" s="35">
        <f>SUM(H52,H46,H44)</f>
        <v>-152.09088799999989</v>
      </c>
      <c r="I54" s="35">
        <f t="shared" ref="I54:L54" si="23">SUM(I52,I46,I44)</f>
        <v>-303.307096</v>
      </c>
      <c r="J54" s="35">
        <f t="shared" si="23"/>
        <v>-281.49049600000023</v>
      </c>
      <c r="K54" s="35">
        <f t="shared" si="23"/>
        <v>-172.45765600000004</v>
      </c>
      <c r="L54" s="35">
        <f t="shared" si="23"/>
        <v>-284.6261880000003</v>
      </c>
    </row>
    <row r="56" spans="2:12" x14ac:dyDescent="0.35">
      <c r="B56" s="20" t="s">
        <v>266</v>
      </c>
      <c r="C56" s="28" t="s">
        <v>3</v>
      </c>
      <c r="D56" s="21">
        <f t="shared" ref="D56:E56" si="24">EOMONTH(E56,-12)</f>
        <v>43100</v>
      </c>
      <c r="E56" s="21">
        <f t="shared" si="24"/>
        <v>43465</v>
      </c>
      <c r="F56" s="21">
        <f>EOMONTH(G56,-12)</f>
        <v>43830</v>
      </c>
      <c r="G56" s="21">
        <f>Hist_Yr</f>
        <v>44196</v>
      </c>
      <c r="H56" s="21">
        <f>EOMONTH(G56,12)</f>
        <v>44561</v>
      </c>
      <c r="I56" s="21">
        <f t="shared" ref="I56:L56" si="25">EOMONTH(H56,12)</f>
        <v>44926</v>
      </c>
      <c r="J56" s="21">
        <f t="shared" si="25"/>
        <v>45291</v>
      </c>
      <c r="K56" s="21">
        <f t="shared" si="25"/>
        <v>45657</v>
      </c>
      <c r="L56" s="21">
        <f t="shared" si="25"/>
        <v>46022</v>
      </c>
    </row>
    <row r="58" spans="2:12" x14ac:dyDescent="0.35">
      <c r="B58" t="s">
        <v>267</v>
      </c>
      <c r="D58" s="35">
        <v>238.28399999999999</v>
      </c>
      <c r="E58" s="35">
        <v>0</v>
      </c>
      <c r="F58" s="35">
        <v>0</v>
      </c>
      <c r="G58" s="35">
        <v>0</v>
      </c>
      <c r="H58" s="36">
        <v>0</v>
      </c>
      <c r="I58" s="36">
        <v>0</v>
      </c>
      <c r="J58" s="36">
        <v>0</v>
      </c>
      <c r="K58" s="36">
        <v>0</v>
      </c>
      <c r="L58" s="36">
        <v>0</v>
      </c>
    </row>
    <row r="59" spans="2:12" x14ac:dyDescent="0.35">
      <c r="B59" t="s">
        <v>268</v>
      </c>
      <c r="D59" s="35">
        <f>-24.959</f>
        <v>-24.959</v>
      </c>
      <c r="E59" s="35">
        <f>-26.862</f>
        <v>-26.861999999999998</v>
      </c>
      <c r="F59" s="35">
        <f>-12.529</f>
        <v>-12.529</v>
      </c>
      <c r="G59" s="35">
        <f>-3.056</f>
        <v>-3.056</v>
      </c>
      <c r="H59" s="37">
        <f>-Expense!H126</f>
        <v>-3.1656673600000005</v>
      </c>
      <c r="I59" s="37">
        <f>-Expense!I126</f>
        <v>-1.6096304000000001</v>
      </c>
      <c r="J59" s="37">
        <f>-Expense!J126</f>
        <v>-1.724604</v>
      </c>
      <c r="K59" s="37">
        <f>-Expense!K126</f>
        <v>-1.6096304000000001</v>
      </c>
      <c r="L59" s="37">
        <f>-Expense!L126</f>
        <v>-1.6096304000000001</v>
      </c>
    </row>
    <row r="60" spans="2:12" x14ac:dyDescent="0.35">
      <c r="B60" t="s">
        <v>269</v>
      </c>
      <c r="D60" s="35">
        <f>-360.751</f>
        <v>-360.75099999999998</v>
      </c>
      <c r="E60" s="35">
        <f>-421.575</f>
        <v>-421.57499999999999</v>
      </c>
      <c r="F60" s="35">
        <f>-422.003</f>
        <v>-422.00299999999999</v>
      </c>
      <c r="G60" s="35">
        <f>-301.62</f>
        <v>-301.62</v>
      </c>
      <c r="H60" s="37">
        <f>-Basic!H45/cent*Basic!H38</f>
        <v>-302.727575</v>
      </c>
      <c r="I60" s="37">
        <f>-Basic!I45/cent*Basic!I38</f>
        <v>-302.727575</v>
      </c>
      <c r="J60" s="37">
        <f>-Basic!J45/cent*Basic!J38</f>
        <v>-363.27308999999997</v>
      </c>
      <c r="K60" s="37">
        <f>-Basic!K45/cent*Basic!K38</f>
        <v>-363.27308999999997</v>
      </c>
      <c r="L60" s="37">
        <f>-Basic!L45/cent*Basic!L38</f>
        <v>-363.27308999999997</v>
      </c>
    </row>
    <row r="61" spans="2:12" x14ac:dyDescent="0.35">
      <c r="B61" t="s">
        <v>270</v>
      </c>
      <c r="D61" s="35">
        <f>-2300</f>
        <v>-2300</v>
      </c>
      <c r="E61" s="35">
        <v>0</v>
      </c>
      <c r="F61" s="35">
        <v>0</v>
      </c>
      <c r="G61" s="35">
        <v>0</v>
      </c>
      <c r="H61" s="36">
        <v>0</v>
      </c>
      <c r="I61" s="36">
        <v>0</v>
      </c>
      <c r="J61" s="36">
        <v>0</v>
      </c>
      <c r="K61" s="36">
        <v>0</v>
      </c>
      <c r="L61" s="36">
        <v>0</v>
      </c>
    </row>
    <row r="62" spans="2:12" x14ac:dyDescent="0.35">
      <c r="B62" t="s">
        <v>271</v>
      </c>
      <c r="D62" s="35">
        <f>-117.875</f>
        <v>-117.875</v>
      </c>
      <c r="E62" s="35">
        <v>0</v>
      </c>
      <c r="F62" s="35">
        <v>0</v>
      </c>
      <c r="G62" s="35">
        <v>0</v>
      </c>
      <c r="H62" s="36">
        <v>0</v>
      </c>
      <c r="I62" s="36">
        <v>0</v>
      </c>
      <c r="J62" s="36">
        <v>0</v>
      </c>
      <c r="K62" s="36">
        <v>0</v>
      </c>
      <c r="L62" s="36">
        <v>0</v>
      </c>
    </row>
    <row r="63" spans="2:12" x14ac:dyDescent="0.35">
      <c r="D63" s="35"/>
      <c r="E63" s="35"/>
      <c r="F63" s="35"/>
      <c r="G63" s="35"/>
      <c r="H63" s="35"/>
      <c r="I63" s="35"/>
      <c r="J63" s="35"/>
      <c r="K63" s="35"/>
      <c r="L63" s="35"/>
    </row>
    <row r="64" spans="2:12" x14ac:dyDescent="0.35">
      <c r="B64" s="1" t="s">
        <v>316</v>
      </c>
      <c r="D64" s="35">
        <f>-192.5</f>
        <v>-192.5</v>
      </c>
      <c r="E64" s="35">
        <f>-210</f>
        <v>-210</v>
      </c>
      <c r="F64" s="35">
        <f>-785</f>
        <v>-785</v>
      </c>
      <c r="G64" s="35">
        <v>0</v>
      </c>
      <c r="H64" s="36"/>
      <c r="I64" s="36"/>
      <c r="J64" s="36"/>
      <c r="K64" s="36"/>
      <c r="L64" s="36"/>
    </row>
    <row r="65" spans="2:12" x14ac:dyDescent="0.35">
      <c r="B65" s="1" t="s">
        <v>272</v>
      </c>
      <c r="D65" s="35">
        <f>-2.739</f>
        <v>-2.7389999999999999</v>
      </c>
      <c r="E65" s="35">
        <f>-3.574</f>
        <v>-3.5739999999999998</v>
      </c>
      <c r="F65" s="35">
        <f>-4.802</f>
        <v>-4.8019999999999996</v>
      </c>
      <c r="G65" s="35">
        <f>-4.875</f>
        <v>-4.875</v>
      </c>
      <c r="H65" s="37"/>
      <c r="I65" s="37"/>
      <c r="J65" s="37"/>
      <c r="K65" s="37"/>
      <c r="L65" s="37"/>
    </row>
    <row r="66" spans="2:12" x14ac:dyDescent="0.35">
      <c r="B66" s="1" t="s">
        <v>208</v>
      </c>
      <c r="D66" s="35">
        <f>-14.188</f>
        <v>-14.188000000000001</v>
      </c>
      <c r="E66" s="35">
        <f>-1.575</f>
        <v>-1.575</v>
      </c>
      <c r="F66" s="35">
        <v>118.851</v>
      </c>
      <c r="G66" s="35">
        <v>0</v>
      </c>
      <c r="H66" s="36"/>
      <c r="I66" s="36"/>
      <c r="J66" s="36"/>
      <c r="K66" s="36"/>
      <c r="L66" s="36"/>
    </row>
    <row r="67" spans="2:12" x14ac:dyDescent="0.35">
      <c r="B67" s="11" t="s">
        <v>324</v>
      </c>
      <c r="C67" s="13"/>
      <c r="D67" s="46"/>
      <c r="E67" s="46"/>
      <c r="F67" s="46"/>
      <c r="G67" s="46"/>
      <c r="H67" s="47">
        <f>'Balance Sheet'!H44</f>
        <v>1.88191119999997</v>
      </c>
      <c r="I67" s="47">
        <f>'Balance Sheet'!I44</f>
        <v>-255.1851848</v>
      </c>
      <c r="J67" s="47">
        <f>'Balance Sheet'!J44</f>
        <v>1.8395775999999984</v>
      </c>
      <c r="K67" s="47">
        <f>'Balance Sheet'!K44</f>
        <v>0</v>
      </c>
      <c r="L67" s="47">
        <f>'Balance Sheet'!L44</f>
        <v>0</v>
      </c>
    </row>
    <row r="68" spans="2:12" x14ac:dyDescent="0.35">
      <c r="D68" s="35"/>
      <c r="E68" s="35"/>
      <c r="F68" s="35"/>
      <c r="G68" s="35"/>
      <c r="H68" s="35"/>
      <c r="I68" s="35"/>
      <c r="J68" s="35"/>
      <c r="K68" s="35"/>
      <c r="L68" s="35"/>
    </row>
    <row r="69" spans="2:12" x14ac:dyDescent="0.35">
      <c r="B69" t="s">
        <v>273</v>
      </c>
      <c r="D69" s="35">
        <f>SUM(D64:D66,D58:D62)</f>
        <v>-2774.7280000000001</v>
      </c>
      <c r="E69" s="35">
        <f t="shared" ref="E69:G69" si="26">SUM(E64:E66,E58:E62)</f>
        <v>-663.58600000000001</v>
      </c>
      <c r="F69" s="35">
        <f t="shared" si="26"/>
        <v>-1105.4829999999999</v>
      </c>
      <c r="G69" s="35">
        <f t="shared" si="26"/>
        <v>-309.55099999999999</v>
      </c>
      <c r="H69" s="35">
        <f>H67+H60+H59</f>
        <v>-304.01133116</v>
      </c>
      <c r="I69" s="35">
        <f t="shared" ref="I69:L69" si="27">I67+I60+I59</f>
        <v>-559.52239020000002</v>
      </c>
      <c r="J69" s="35">
        <f t="shared" si="27"/>
        <v>-363.15811639999998</v>
      </c>
      <c r="K69" s="35">
        <f t="shared" si="27"/>
        <v>-364.88272039999998</v>
      </c>
      <c r="L69" s="35">
        <f t="shared" si="27"/>
        <v>-364.88272039999998</v>
      </c>
    </row>
    <row r="71" spans="2:12" x14ac:dyDescent="0.35">
      <c r="B71" t="s">
        <v>329</v>
      </c>
      <c r="D71">
        <v>240.24</v>
      </c>
      <c r="I71" s="58"/>
    </row>
    <row r="72" spans="2:12" x14ac:dyDescent="0.35">
      <c r="B72" t="s">
        <v>330</v>
      </c>
      <c r="D72" s="59">
        <f>D71-D58</f>
        <v>1.9560000000000173</v>
      </c>
    </row>
    <row r="74" spans="2:12" x14ac:dyDescent="0.35">
      <c r="D74" s="35"/>
    </row>
    <row r="75" spans="2:12" x14ac:dyDescent="0.35">
      <c r="D75" s="35"/>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05CF-B441-4E7F-B996-80EA2F3D77CA}">
  <dimension ref="B2:P90"/>
  <sheetViews>
    <sheetView workbookViewId="0">
      <selection activeCell="G28" sqref="G28"/>
    </sheetView>
  </sheetViews>
  <sheetFormatPr defaultRowHeight="14.5" x14ac:dyDescent="0.35"/>
  <cols>
    <col min="2" max="2" width="27.26953125" bestFit="1" customWidth="1"/>
    <col min="4" max="12" width="11.6328125" customWidth="1"/>
    <col min="14" max="14" width="16.26953125" bestFit="1" customWidth="1"/>
  </cols>
  <sheetData>
    <row r="2" spans="2:14" x14ac:dyDescent="0.35">
      <c r="B2" s="14" t="s">
        <v>127</v>
      </c>
      <c r="C2" s="15" t="s">
        <v>3</v>
      </c>
      <c r="D2" s="16">
        <f t="shared" ref="D2:E2" si="0">EOMONTH(E2,-12)</f>
        <v>43100</v>
      </c>
      <c r="E2" s="16">
        <f t="shared" si="0"/>
        <v>43465</v>
      </c>
      <c r="F2" s="16">
        <f>EOMONTH(G2,-12)</f>
        <v>43830</v>
      </c>
      <c r="G2" s="16">
        <f>Hist_Yr</f>
        <v>44196</v>
      </c>
      <c r="H2" s="16">
        <f>EOMONTH(G2,12)</f>
        <v>44561</v>
      </c>
      <c r="I2" s="16">
        <f t="shared" ref="I2:L2" si="1">EOMONTH(H2,12)</f>
        <v>44926</v>
      </c>
      <c r="J2" s="16">
        <f t="shared" si="1"/>
        <v>45291</v>
      </c>
      <c r="K2" s="16">
        <f t="shared" si="1"/>
        <v>45657</v>
      </c>
      <c r="L2" s="16">
        <f t="shared" si="1"/>
        <v>46022</v>
      </c>
    </row>
    <row r="3" spans="2:14" x14ac:dyDescent="0.35">
      <c r="N3" t="s">
        <v>333</v>
      </c>
    </row>
    <row r="4" spans="2:14" x14ac:dyDescent="0.35">
      <c r="B4" t="s">
        <v>128</v>
      </c>
      <c r="D4" s="35">
        <f>Revenue!D17</f>
        <v>2392.5590000000002</v>
      </c>
      <c r="E4" s="35">
        <f>Revenue!E17</f>
        <v>2539.2350000000001</v>
      </c>
      <c r="F4" s="35">
        <f>Revenue!F17</f>
        <v>2480.34</v>
      </c>
      <c r="G4" s="35">
        <f>Revenue!G17</f>
        <v>1063.749</v>
      </c>
      <c r="H4" s="35">
        <f>Revenue!H17</f>
        <v>1271.3824500000001</v>
      </c>
      <c r="I4" s="35">
        <f>Revenue!I17</f>
        <v>2030.1584904109588</v>
      </c>
      <c r="J4" s="35">
        <f>Revenue!J17</f>
        <v>2537.6981130136987</v>
      </c>
      <c r="K4" s="35">
        <f>Revenue!K17</f>
        <v>2537.6981130136987</v>
      </c>
      <c r="L4" s="35">
        <f>Revenue!L17</f>
        <v>2537.6981130136987</v>
      </c>
      <c r="N4" t="s">
        <v>334</v>
      </c>
    </row>
    <row r="5" spans="2:14" x14ac:dyDescent="0.35">
      <c r="B5" s="1" t="s">
        <v>159</v>
      </c>
      <c r="D5" s="35">
        <f>Expense!D6-Expense!D55-Expense!D59-Expense!D12</f>
        <v>669.827</v>
      </c>
      <c r="E5" s="35">
        <f>Expense!E6-Expense!E55-Expense!E59-Expense!E12</f>
        <v>672.53899999999999</v>
      </c>
      <c r="F5" s="35">
        <f>Expense!F6-Expense!F55-Expense!F59-Expense!F12</f>
        <v>660.02400000000011</v>
      </c>
      <c r="G5" s="35">
        <f>Expense!G6-Expense!G55-Expense!G59-Expense!G12</f>
        <v>278.05700000000002</v>
      </c>
      <c r="H5" s="35">
        <f>Expense!H6-Expense!H55-Expense!H59-Expense!H12</f>
        <v>347.63086800000008</v>
      </c>
      <c r="I5" s="35">
        <f>Expense!I6-Expense!I55-Expense!I59-Expense!I12</f>
        <v>555.47097978082206</v>
      </c>
      <c r="J5" s="35">
        <f>Expense!J6-Expense!J55-Expense!J59-Expense!J12</f>
        <v>694.33872472602729</v>
      </c>
      <c r="K5" s="35">
        <f>Expense!K6-Expense!K55-Expense!K59-Expense!K12</f>
        <v>694.33872472602729</v>
      </c>
      <c r="L5" s="35">
        <f>Expense!L6-Expense!L55-Expense!L59-Expense!L12</f>
        <v>694.33872472602729</v>
      </c>
    </row>
    <row r="6" spans="2:14" x14ac:dyDescent="0.35">
      <c r="D6" s="35"/>
      <c r="E6" s="35"/>
      <c r="F6" s="35"/>
      <c r="G6" s="35"/>
      <c r="H6" s="35"/>
      <c r="I6" s="35"/>
      <c r="J6" s="35"/>
      <c r="K6" s="35"/>
      <c r="L6" s="35"/>
    </row>
    <row r="7" spans="2:14" x14ac:dyDescent="0.35">
      <c r="D7" s="35"/>
      <c r="E7" s="35"/>
      <c r="F7" s="35"/>
      <c r="G7" s="35"/>
      <c r="H7" s="35"/>
      <c r="I7" s="35"/>
      <c r="J7" s="35"/>
      <c r="K7" s="35"/>
      <c r="L7" s="35"/>
    </row>
    <row r="8" spans="2:14" x14ac:dyDescent="0.35">
      <c r="B8" s="1" t="s">
        <v>129</v>
      </c>
      <c r="D8" s="35">
        <f>Expense!D57</f>
        <v>259.19100000000003</v>
      </c>
      <c r="E8" s="35">
        <f>Expense!E57</f>
        <v>291.541</v>
      </c>
      <c r="F8" s="35">
        <f>Expense!F57</f>
        <v>363.65600000000001</v>
      </c>
      <c r="G8" s="35">
        <f>Expense!G57</f>
        <v>276.38400000000001</v>
      </c>
      <c r="H8" s="35">
        <f>Expense!H57</f>
        <v>277.657128</v>
      </c>
      <c r="I8" s="35">
        <f>Expense!I57</f>
        <v>345.06897600000002</v>
      </c>
      <c r="J8" s="35">
        <f>Expense!J57</f>
        <v>372.50897599999996</v>
      </c>
      <c r="K8" s="35">
        <f>Expense!K57</f>
        <v>343.95765600000004</v>
      </c>
      <c r="L8" s="35">
        <f>Expense!L57</f>
        <v>343.38278800000001</v>
      </c>
    </row>
    <row r="9" spans="2:14" x14ac:dyDescent="0.35">
      <c r="B9" s="1" t="s">
        <v>64</v>
      </c>
      <c r="D9" s="35">
        <f>Expense!D59</f>
        <v>23.721</v>
      </c>
      <c r="E9" s="35">
        <f>Expense!E59</f>
        <v>23.975999999999999</v>
      </c>
      <c r="F9" s="35">
        <f>Expense!F59</f>
        <v>26.145</v>
      </c>
      <c r="G9" s="35">
        <f>Expense!G59</f>
        <v>26.027000000000001</v>
      </c>
      <c r="H9" s="35">
        <f>Expense!H59</f>
        <v>25.754000000000001</v>
      </c>
      <c r="I9" s="35">
        <f>Expense!I59</f>
        <v>26.754000000000001</v>
      </c>
      <c r="J9" s="35">
        <f>Expense!J59</f>
        <v>26.754000000000001</v>
      </c>
      <c r="K9" s="35">
        <f>Expense!K59</f>
        <v>26.754000000000001</v>
      </c>
      <c r="L9" s="35">
        <f>Expense!L59</f>
        <v>27.420666666666669</v>
      </c>
    </row>
    <row r="10" spans="2:14" x14ac:dyDescent="0.35">
      <c r="B10" s="1" t="s">
        <v>43</v>
      </c>
      <c r="D10" s="35">
        <f>Expense!D40</f>
        <v>10.765000000000001</v>
      </c>
      <c r="E10" s="35">
        <f>Expense!E40</f>
        <v>9.2059999999999995</v>
      </c>
      <c r="F10" s="35">
        <f>Expense!F40</f>
        <v>9.5300000000000011</v>
      </c>
      <c r="G10" s="35">
        <f>Expense!G40</f>
        <v>11.131000000000002</v>
      </c>
      <c r="H10" s="35">
        <f>Expense!H40</f>
        <v>7.6282947000000005</v>
      </c>
      <c r="I10" s="35">
        <f>Expense!I40</f>
        <v>10.150792452054795</v>
      </c>
      <c r="J10" s="35">
        <f>Expense!J40</f>
        <v>10.150792452054795</v>
      </c>
      <c r="K10" s="35">
        <f>Expense!K40</f>
        <v>9.6432528294520559</v>
      </c>
      <c r="L10" s="35">
        <f>Expense!L40</f>
        <v>9.6432528294520559</v>
      </c>
    </row>
    <row r="11" spans="2:14" x14ac:dyDescent="0.35">
      <c r="B11" s="1" t="s">
        <v>152</v>
      </c>
      <c r="D11" s="35">
        <f>Expense!D14-Expense!D40</f>
        <v>607.86</v>
      </c>
      <c r="E11" s="35">
        <f>Expense!E14-Expense!E40</f>
        <v>639.12300000000005</v>
      </c>
      <c r="F11" s="35">
        <f>Expense!F14-Expense!F40</f>
        <v>637.64399999999989</v>
      </c>
      <c r="G11" s="35">
        <f>Expense!G14-Expense!G40</f>
        <v>401.91699999999997</v>
      </c>
      <c r="H11" s="35">
        <f>Expense!H14-Expense!H40</f>
        <v>426.90857833927373</v>
      </c>
      <c r="I11" s="35">
        <f>Expense!I14-Expense!I40</f>
        <v>477.95940866530117</v>
      </c>
      <c r="J11" s="35">
        <f>Expense!J14-Expense!J40</f>
        <v>553.07622048888584</v>
      </c>
      <c r="K11" s="35">
        <f>Expense!K14-Expense!K40</f>
        <v>575.23728350724969</v>
      </c>
      <c r="L11" s="35">
        <f>Expense!L14-Expense!L40</f>
        <v>580.91693146910666</v>
      </c>
    </row>
    <row r="12" spans="2:14" x14ac:dyDescent="0.35">
      <c r="B12" t="s">
        <v>145</v>
      </c>
      <c r="D12" s="35">
        <f>SUM(D8:D11)</f>
        <v>901.53700000000003</v>
      </c>
      <c r="E12" s="35">
        <f t="shared" ref="E12:L12" si="2">SUM(E8:E11)</f>
        <v>963.846</v>
      </c>
      <c r="F12" s="35">
        <f>SUM(F8:F11)</f>
        <v>1036.9749999999999</v>
      </c>
      <c r="G12" s="35">
        <f t="shared" si="2"/>
        <v>715.45900000000006</v>
      </c>
      <c r="H12" s="35">
        <f t="shared" si="2"/>
        <v>737.94800103927378</v>
      </c>
      <c r="I12" s="35">
        <f t="shared" si="2"/>
        <v>859.93317711735608</v>
      </c>
      <c r="J12" s="35">
        <f t="shared" si="2"/>
        <v>962.48998894094063</v>
      </c>
      <c r="K12" s="35">
        <f t="shared" si="2"/>
        <v>955.59219233670183</v>
      </c>
      <c r="L12" s="35">
        <f t="shared" si="2"/>
        <v>961.36363896522539</v>
      </c>
    </row>
    <row r="13" spans="2:14" x14ac:dyDescent="0.35">
      <c r="D13" s="35"/>
      <c r="E13" s="35"/>
      <c r="F13" s="35"/>
      <c r="G13" s="35"/>
      <c r="H13" s="35"/>
      <c r="I13" s="35"/>
      <c r="J13" s="35"/>
      <c r="K13" s="35"/>
      <c r="L13" s="35"/>
    </row>
    <row r="14" spans="2:14" x14ac:dyDescent="0.35">
      <c r="B14" s="3" t="s">
        <v>147</v>
      </c>
      <c r="D14" s="35">
        <f t="shared" ref="D14:L14" si="3">D4-D5-D12</f>
        <v>821.19500000000016</v>
      </c>
      <c r="E14" s="35">
        <f t="shared" si="3"/>
        <v>902.85000000000014</v>
      </c>
      <c r="F14" s="35">
        <f t="shared" si="3"/>
        <v>783.34100000000012</v>
      </c>
      <c r="G14" s="35">
        <f t="shared" si="3"/>
        <v>70.232999999999947</v>
      </c>
      <c r="H14" s="35">
        <f t="shared" si="3"/>
        <v>185.80358096072621</v>
      </c>
      <c r="I14" s="35">
        <f t="shared" si="3"/>
        <v>614.7543335127807</v>
      </c>
      <c r="J14" s="35">
        <f t="shared" si="3"/>
        <v>880.8693993467308</v>
      </c>
      <c r="K14" s="35">
        <f t="shared" si="3"/>
        <v>887.76719595096961</v>
      </c>
      <c r="L14" s="35">
        <f t="shared" si="3"/>
        <v>881.99574932244604</v>
      </c>
    </row>
    <row r="15" spans="2:14" x14ac:dyDescent="0.35">
      <c r="D15" s="35"/>
      <c r="E15" s="35"/>
      <c r="F15" s="35"/>
      <c r="G15" s="35"/>
      <c r="H15" s="35"/>
      <c r="I15" s="35"/>
      <c r="J15" s="35"/>
      <c r="K15" s="35"/>
      <c r="L15" s="35"/>
    </row>
    <row r="16" spans="2:14" x14ac:dyDescent="0.35">
      <c r="B16" t="s">
        <v>137</v>
      </c>
      <c r="D16" s="35">
        <f>Expense!D172</f>
        <v>71.093999999999994</v>
      </c>
      <c r="E16" s="35">
        <f>Expense!E172</f>
        <v>72.341999999999999</v>
      </c>
      <c r="F16" s="35">
        <f>Expense!F172</f>
        <v>80.072999999999993</v>
      </c>
      <c r="G16" s="35">
        <f>Expense!G172</f>
        <v>45.545999999999999</v>
      </c>
      <c r="H16" s="35">
        <f>Expense!H172</f>
        <v>53.999999999999993</v>
      </c>
      <c r="I16" s="35">
        <f>Expense!I172</f>
        <v>53.999999999999993</v>
      </c>
      <c r="J16" s="35">
        <f>Expense!J172</f>
        <v>53.999999999999993</v>
      </c>
      <c r="K16" s="35">
        <f>Expense!K172</f>
        <v>53.999999999999993</v>
      </c>
      <c r="L16" s="35">
        <f>Expense!L172</f>
        <v>53.999999999999993</v>
      </c>
    </row>
    <row r="17" spans="2:12" x14ac:dyDescent="0.35">
      <c r="B17" t="s">
        <v>138</v>
      </c>
      <c r="D17" s="35">
        <f>Expense!D169</f>
        <v>3.3849999999999998</v>
      </c>
      <c r="E17" s="35">
        <f>Expense!E169</f>
        <v>3.9590000000000001</v>
      </c>
      <c r="F17" s="35">
        <f>Expense!F169</f>
        <v>3.9870000000000001</v>
      </c>
      <c r="G17" s="35">
        <f>Expense!G169</f>
        <v>1.244</v>
      </c>
      <c r="H17" s="35">
        <f>Expense!H169</f>
        <v>1.7799354300000001</v>
      </c>
      <c r="I17" s="35">
        <f>Expense!I169</f>
        <v>2.8422218865753424</v>
      </c>
      <c r="J17" s="35">
        <f>Expense!J169</f>
        <v>3.6796622638698628</v>
      </c>
      <c r="K17" s="35">
        <f>Expense!K169</f>
        <v>3.8065471695205484</v>
      </c>
      <c r="L17" s="35">
        <f>Expense!L169</f>
        <v>3.8065471695205484</v>
      </c>
    </row>
    <row r="18" spans="2:12" x14ac:dyDescent="0.35">
      <c r="B18" t="s">
        <v>139</v>
      </c>
      <c r="D18" s="35">
        <f>-Expense!D132</f>
        <v>-35.647999999999996</v>
      </c>
      <c r="E18" s="35">
        <f>-Expense!E132</f>
        <v>-35.912999999999997</v>
      </c>
      <c r="F18" s="35">
        <f>-Expense!F132</f>
        <v>-20.494999999999997</v>
      </c>
      <c r="G18" s="35">
        <f>-Expense!G132</f>
        <v>-4.0469999999999997</v>
      </c>
      <c r="H18" s="35">
        <f>-Expense!H132</f>
        <v>-4.1656673600000005</v>
      </c>
      <c r="I18" s="35">
        <f>-Expense!I132</f>
        <v>-1.8096304000000001</v>
      </c>
      <c r="J18" s="35">
        <f>-Expense!J132</f>
        <v>-1.924604</v>
      </c>
      <c r="K18" s="35">
        <f>-Expense!K132</f>
        <v>-1.8096304000000001</v>
      </c>
      <c r="L18" s="35">
        <f>-Expense!L132</f>
        <v>-1.8096304000000001</v>
      </c>
    </row>
    <row r="19" spans="2:12" x14ac:dyDescent="0.35">
      <c r="D19" s="35"/>
      <c r="E19" s="35"/>
      <c r="F19" s="35"/>
      <c r="G19" s="35"/>
      <c r="H19" s="35"/>
      <c r="I19" s="35"/>
      <c r="J19" s="35"/>
      <c r="K19" s="35"/>
      <c r="L19" s="35"/>
    </row>
    <row r="20" spans="2:12" x14ac:dyDescent="0.35">
      <c r="B20" t="s">
        <v>163</v>
      </c>
      <c r="D20" s="35">
        <f>D14+D16+D17+D18</f>
        <v>860.02600000000018</v>
      </c>
      <c r="E20" s="35">
        <f t="shared" ref="E20:F20" si="4">E14+E16+E17+E18</f>
        <v>943.23800000000006</v>
      </c>
      <c r="F20" s="35">
        <f t="shared" si="4"/>
        <v>846.90600000000006</v>
      </c>
      <c r="G20" s="35">
        <f>G14+G16+G17+G18</f>
        <v>112.97599999999994</v>
      </c>
      <c r="H20" s="35">
        <f t="shared" ref="H20:L20" si="5">H14+H16+H17+H18</f>
        <v>237.41784903072619</v>
      </c>
      <c r="I20" s="35">
        <f t="shared" si="5"/>
        <v>669.78692499935607</v>
      </c>
      <c r="J20" s="35">
        <f t="shared" si="5"/>
        <v>936.62445761060064</v>
      </c>
      <c r="K20" s="35">
        <f t="shared" si="5"/>
        <v>943.76411272049017</v>
      </c>
      <c r="L20" s="35">
        <f t="shared" si="5"/>
        <v>937.99266609196661</v>
      </c>
    </row>
    <row r="21" spans="2:12" x14ac:dyDescent="0.35">
      <c r="D21" s="35"/>
      <c r="E21" s="35"/>
      <c r="F21" s="35"/>
      <c r="G21" s="35"/>
      <c r="H21" s="35"/>
      <c r="I21" s="35"/>
      <c r="J21" s="35"/>
      <c r="K21" s="35"/>
      <c r="L21" s="35"/>
    </row>
    <row r="22" spans="2:12" x14ac:dyDescent="0.35">
      <c r="B22" t="s">
        <v>162</v>
      </c>
      <c r="D22" s="35">
        <f>Expense!D166</f>
        <v>174.471</v>
      </c>
      <c r="E22" s="35">
        <f>Expense!E166</f>
        <v>187.845</v>
      </c>
      <c r="F22" s="35">
        <f>Expense!F166</f>
        <v>158.30199999999999</v>
      </c>
      <c r="G22" s="35">
        <f>Expense!G166</f>
        <v>43.734999999999999</v>
      </c>
      <c r="H22" s="35">
        <f>Expense!H166</f>
        <v>40.058445312123453</v>
      </c>
      <c r="I22" s="35">
        <f>Expense!I166</f>
        <v>113.38059952917274</v>
      </c>
      <c r="J22" s="35">
        <f>Expense!J166</f>
        <v>158.60061520894425</v>
      </c>
      <c r="K22" s="35">
        <f>Expense!K166</f>
        <v>159.79278614366484</v>
      </c>
      <c r="L22" s="35">
        <f>Expense!L166</f>
        <v>158.81164021681585</v>
      </c>
    </row>
    <row r="23" spans="2:12" x14ac:dyDescent="0.35">
      <c r="D23" s="35"/>
      <c r="E23" s="35"/>
      <c r="F23" s="35"/>
      <c r="G23" s="35"/>
      <c r="H23" s="35"/>
      <c r="I23" s="35"/>
      <c r="J23" s="35"/>
      <c r="K23" s="35"/>
      <c r="L23" s="35"/>
    </row>
    <row r="24" spans="2:12" x14ac:dyDescent="0.35">
      <c r="B24" t="s">
        <v>181</v>
      </c>
      <c r="D24" s="35">
        <f t="shared" ref="D24:L24" si="6">D20-D22</f>
        <v>685.55500000000018</v>
      </c>
      <c r="E24" s="35">
        <f t="shared" si="6"/>
        <v>755.39300000000003</v>
      </c>
      <c r="F24" s="35">
        <f t="shared" si="6"/>
        <v>688.60400000000004</v>
      </c>
      <c r="G24" s="35">
        <f t="shared" si="6"/>
        <v>69.240999999999943</v>
      </c>
      <c r="H24" s="35">
        <f t="shared" si="6"/>
        <v>197.35940371860272</v>
      </c>
      <c r="I24" s="35">
        <f t="shared" si="6"/>
        <v>556.40632547018333</v>
      </c>
      <c r="J24" s="35">
        <f t="shared" si="6"/>
        <v>778.02384240165634</v>
      </c>
      <c r="K24" s="35">
        <f t="shared" si="6"/>
        <v>783.97132657682528</v>
      </c>
      <c r="L24" s="35">
        <f t="shared" si="6"/>
        <v>779.18102587515079</v>
      </c>
    </row>
    <row r="25" spans="2:12" x14ac:dyDescent="0.35">
      <c r="D25" s="35"/>
      <c r="E25" s="35"/>
      <c r="F25" s="35"/>
      <c r="G25" s="35"/>
      <c r="H25" s="35"/>
      <c r="I25" s="35"/>
      <c r="J25" s="35"/>
      <c r="K25" s="35"/>
      <c r="L25" s="35"/>
    </row>
    <row r="26" spans="2:12" x14ac:dyDescent="0.35">
      <c r="B26" t="s">
        <v>182</v>
      </c>
      <c r="D26" s="35">
        <v>-12.847</v>
      </c>
      <c r="E26" s="35">
        <v>-7.3999999999999996E-2</v>
      </c>
      <c r="F26" s="35">
        <v>0.113</v>
      </c>
      <c r="G26" s="35">
        <v>-0.78100000000000003</v>
      </c>
      <c r="H26" s="36">
        <v>0</v>
      </c>
      <c r="I26" s="36">
        <v>0</v>
      </c>
      <c r="J26" s="36">
        <v>0</v>
      </c>
      <c r="K26" s="36">
        <v>0</v>
      </c>
      <c r="L26" s="36">
        <v>0</v>
      </c>
    </row>
    <row r="27" spans="2:12" x14ac:dyDescent="0.35">
      <c r="D27" s="35"/>
      <c r="E27" s="35"/>
      <c r="F27" s="35"/>
      <c r="G27" s="35"/>
      <c r="H27" s="35"/>
      <c r="I27" s="35"/>
      <c r="J27" s="35"/>
      <c r="K27" s="35"/>
      <c r="L27" s="35"/>
    </row>
    <row r="28" spans="2:12" x14ac:dyDescent="0.35">
      <c r="B28" t="s">
        <v>209</v>
      </c>
      <c r="D28" s="35">
        <f t="shared" ref="D28:L28" si="7">D24+D22-D16-D18+D10+D9+D8-D17</f>
        <v>1114.8720000000003</v>
      </c>
      <c r="E28" s="35">
        <f t="shared" si="7"/>
        <v>1227.5730000000001</v>
      </c>
      <c r="F28" s="35">
        <f t="shared" si="7"/>
        <v>1182.672</v>
      </c>
      <c r="G28" s="35">
        <f t="shared" si="7"/>
        <v>383.77499999999992</v>
      </c>
      <c r="H28" s="35">
        <f t="shared" si="7"/>
        <v>496.84300366072614</v>
      </c>
      <c r="I28" s="35">
        <f t="shared" si="7"/>
        <v>996.72810196483556</v>
      </c>
      <c r="J28" s="35">
        <f t="shared" si="7"/>
        <v>1290.2831677987856</v>
      </c>
      <c r="K28" s="35">
        <f t="shared" si="7"/>
        <v>1268.1221047804218</v>
      </c>
      <c r="L28" s="35">
        <f t="shared" si="7"/>
        <v>1262.4424568185648</v>
      </c>
    </row>
    <row r="29" spans="2:12" x14ac:dyDescent="0.35">
      <c r="B29" s="1" t="s">
        <v>210</v>
      </c>
      <c r="D29" s="35">
        <f>-Expense!D119</f>
        <v>-73.034999999999997</v>
      </c>
      <c r="E29" s="35">
        <f>-Expense!E119</f>
        <v>-0.41</v>
      </c>
      <c r="F29" s="35">
        <f>-Expense!F119</f>
        <v>-1.91</v>
      </c>
      <c r="G29" s="35">
        <f>-Expense!G119</f>
        <v>41.84</v>
      </c>
      <c r="H29" s="35">
        <f>-Expense!H119</f>
        <v>0</v>
      </c>
      <c r="I29" s="35">
        <f>-Expense!I119</f>
        <v>0</v>
      </c>
      <c r="J29" s="35">
        <f>-Expense!J119</f>
        <v>0</v>
      </c>
      <c r="K29" s="35">
        <f>-Expense!K119</f>
        <v>0</v>
      </c>
      <c r="L29" s="35">
        <f>-Expense!L119</f>
        <v>0</v>
      </c>
    </row>
    <row r="30" spans="2:12" x14ac:dyDescent="0.35">
      <c r="B30" s="1" t="s">
        <v>279</v>
      </c>
      <c r="D30" s="35">
        <v>109.337</v>
      </c>
      <c r="E30" s="35">
        <v>2.512</v>
      </c>
      <c r="F30" s="35">
        <f>8.871</f>
        <v>8.8710000000000004</v>
      </c>
      <c r="G30" s="35">
        <v>1.3979999999999999</v>
      </c>
      <c r="H30" s="36">
        <v>0</v>
      </c>
      <c r="I30" s="36">
        <v>0</v>
      </c>
      <c r="J30" s="36">
        <v>0</v>
      </c>
      <c r="K30" s="36">
        <v>0</v>
      </c>
      <c r="L30" s="36">
        <v>0</v>
      </c>
    </row>
    <row r="31" spans="2:12" x14ac:dyDescent="0.35">
      <c r="B31" s="1"/>
      <c r="D31" s="35"/>
      <c r="E31" s="35"/>
      <c r="F31" s="35"/>
      <c r="G31" s="35"/>
      <c r="H31" s="35"/>
      <c r="I31" s="35"/>
      <c r="J31" s="35"/>
      <c r="K31" s="35"/>
      <c r="L31" s="35"/>
    </row>
    <row r="32" spans="2:12" x14ac:dyDescent="0.35">
      <c r="B32" t="s">
        <v>211</v>
      </c>
      <c r="D32" s="35">
        <f>D28+D29+D30</f>
        <v>1151.1740000000002</v>
      </c>
      <c r="E32" s="35">
        <f t="shared" ref="E32:L32" si="8">E28+E29+E30</f>
        <v>1229.675</v>
      </c>
      <c r="F32" s="35">
        <f>F28+F29+F30</f>
        <v>1189.633</v>
      </c>
      <c r="G32" s="35">
        <f t="shared" si="8"/>
        <v>427.01299999999992</v>
      </c>
      <c r="H32" s="35">
        <f t="shared" si="8"/>
        <v>496.84300366072614</v>
      </c>
      <c r="I32" s="35">
        <f t="shared" si="8"/>
        <v>996.72810196483556</v>
      </c>
      <c r="J32" s="35">
        <f t="shared" si="8"/>
        <v>1290.2831677987856</v>
      </c>
      <c r="K32" s="35">
        <f t="shared" si="8"/>
        <v>1268.1221047804218</v>
      </c>
      <c r="L32" s="35">
        <f t="shared" si="8"/>
        <v>1262.4424568185648</v>
      </c>
    </row>
    <row r="34" spans="2:16" x14ac:dyDescent="0.35">
      <c r="B34" s="14" t="s">
        <v>214</v>
      </c>
      <c r="C34" s="15" t="s">
        <v>3</v>
      </c>
      <c r="D34" s="16">
        <f t="shared" ref="D34:L34" si="9">D2</f>
        <v>43100</v>
      </c>
      <c r="E34" s="16">
        <f t="shared" si="9"/>
        <v>43465</v>
      </c>
      <c r="F34" s="16">
        <f t="shared" si="9"/>
        <v>43830</v>
      </c>
      <c r="G34" s="16">
        <f t="shared" si="9"/>
        <v>44196</v>
      </c>
      <c r="H34" s="16">
        <f t="shared" si="9"/>
        <v>44561</v>
      </c>
      <c r="I34" s="16">
        <f t="shared" si="9"/>
        <v>44926</v>
      </c>
      <c r="J34" s="16">
        <f t="shared" si="9"/>
        <v>45291</v>
      </c>
      <c r="K34" s="16">
        <f t="shared" si="9"/>
        <v>45657</v>
      </c>
      <c r="L34" s="16">
        <f t="shared" si="9"/>
        <v>46022</v>
      </c>
    </row>
    <row r="36" spans="2:16" x14ac:dyDescent="0.35">
      <c r="B36" s="1" t="s">
        <v>111</v>
      </c>
      <c r="D36" s="35">
        <f>'Balance Sheet'!D91</f>
        <v>5068.857</v>
      </c>
      <c r="E36" s="35">
        <f>'Balance Sheet'!E91</f>
        <v>4857.0460000000003</v>
      </c>
      <c r="F36" s="35">
        <f>'Balance Sheet'!F91</f>
        <v>4667.0619999999999</v>
      </c>
      <c r="G36" s="35">
        <f>'Balance Sheet'!G91</f>
        <v>4453.3069999999998</v>
      </c>
      <c r="H36" s="35">
        <f>'Balance Sheet'!H91</f>
        <v>4327.7407599999997</v>
      </c>
      <c r="I36" s="35">
        <f>'Balance Sheet'!I91</f>
        <v>4207.9788799999997</v>
      </c>
      <c r="J36" s="35">
        <f>'Balance Sheet'!J91</f>
        <v>4116.9603999999999</v>
      </c>
      <c r="K36" s="35">
        <f>'Balance Sheet'!K91</f>
        <v>3945.4603999999999</v>
      </c>
      <c r="L36" s="35">
        <f>'Balance Sheet'!L91</f>
        <v>3802.7038000000002</v>
      </c>
    </row>
    <row r="37" spans="2:16" x14ac:dyDescent="0.35">
      <c r="B37" s="1" t="s">
        <v>212</v>
      </c>
      <c r="D37" s="35">
        <f>'Balance Sheet'!D59</f>
        <v>124.81200000000001</v>
      </c>
      <c r="E37" s="35">
        <f>'Balance Sheet'!E59</f>
        <v>103.31300000000002</v>
      </c>
      <c r="F37" s="35">
        <f>'Balance Sheet'!F59</f>
        <v>152.88000000000002</v>
      </c>
      <c r="G37" s="35">
        <f>'Balance Sheet'!G59</f>
        <v>131.29300000000001</v>
      </c>
      <c r="H37" s="35">
        <f>'Balance Sheet'!H59</f>
        <v>105.53900000000002</v>
      </c>
      <c r="I37" s="35">
        <f>'Balance Sheet'!I59</f>
        <v>156.78500000000003</v>
      </c>
      <c r="J37" s="35">
        <f>'Balance Sheet'!J59</f>
        <v>130.03100000000001</v>
      </c>
      <c r="K37" s="35">
        <f>'Balance Sheet'!K59</f>
        <v>103.277</v>
      </c>
      <c r="L37" s="35">
        <f>'Balance Sheet'!L59</f>
        <v>159.85633333333334</v>
      </c>
    </row>
    <row r="38" spans="2:16" x14ac:dyDescent="0.35">
      <c r="B38" s="1" t="s">
        <v>198</v>
      </c>
      <c r="D38" s="35">
        <f>'Balance Sheet'!D103</f>
        <v>54.292999999999999</v>
      </c>
      <c r="E38" s="35">
        <f>'Balance Sheet'!E103</f>
        <v>58.252000000000002</v>
      </c>
      <c r="F38" s="35">
        <f>'Balance Sheet'!F103</f>
        <v>62.239000000000004</v>
      </c>
      <c r="G38" s="35">
        <f>'Balance Sheet'!G103</f>
        <v>63.483000000000004</v>
      </c>
      <c r="H38" s="35">
        <f>'Balance Sheet'!H103</f>
        <v>65.262935430000013</v>
      </c>
      <c r="I38" s="35">
        <f>'Balance Sheet'!I103</f>
        <v>68.105157316575344</v>
      </c>
      <c r="J38" s="35">
        <f>'Balance Sheet'!J103</f>
        <v>71.784819580445216</v>
      </c>
      <c r="K38" s="35">
        <f>'Balance Sheet'!K103</f>
        <v>75.591366749965758</v>
      </c>
      <c r="L38" s="35">
        <f>'Balance Sheet'!L103</f>
        <v>79.397913919486314</v>
      </c>
      <c r="N38" s="50"/>
      <c r="P38" s="33"/>
    </row>
    <row r="39" spans="2:16" x14ac:dyDescent="0.35">
      <c r="B39" s="1" t="s">
        <v>83</v>
      </c>
      <c r="D39" s="35">
        <f>'Balance Sheet'!D107</f>
        <v>217.29900000000001</v>
      </c>
      <c r="E39" s="35">
        <f>'Balance Sheet'!E107</f>
        <v>221.131</v>
      </c>
      <c r="F39" s="35">
        <f>'Balance Sheet'!F107</f>
        <v>233.251</v>
      </c>
      <c r="G39" s="35">
        <f>'Balance Sheet'!G107</f>
        <v>37.915999999999997</v>
      </c>
      <c r="H39" s="35">
        <f>'Balance Sheet'!H107</f>
        <v>37.915999999999997</v>
      </c>
      <c r="I39" s="35">
        <f>'Balance Sheet'!I107</f>
        <v>37.915999999999997</v>
      </c>
      <c r="J39" s="35">
        <f>'Balance Sheet'!J107</f>
        <v>37.915999999999997</v>
      </c>
      <c r="K39" s="35">
        <f>'Balance Sheet'!K107</f>
        <v>37.915999999999997</v>
      </c>
      <c r="L39" s="35">
        <f>'Balance Sheet'!L107</f>
        <v>37.915999999999997</v>
      </c>
    </row>
    <row r="40" spans="2:16" x14ac:dyDescent="0.35">
      <c r="B40" s="1" t="s">
        <v>202</v>
      </c>
      <c r="D40" s="35">
        <f>'Balance Sheet'!D109</f>
        <v>3.04</v>
      </c>
      <c r="E40" s="35">
        <f>'Balance Sheet'!E109</f>
        <v>1.5429999999999999</v>
      </c>
      <c r="F40" s="35">
        <f>'Balance Sheet'!F109</f>
        <v>0.97099999999999997</v>
      </c>
      <c r="G40" s="35">
        <f>'Balance Sheet'!G109</f>
        <v>7.431</v>
      </c>
      <c r="H40" s="35">
        <f>'Balance Sheet'!H109</f>
        <v>5</v>
      </c>
      <c r="I40" s="35">
        <f>'Balance Sheet'!I109</f>
        <v>3</v>
      </c>
      <c r="J40" s="35">
        <f>'Balance Sheet'!J109</f>
        <v>2</v>
      </c>
      <c r="K40" s="35">
        <f>'Balance Sheet'!K109</f>
        <v>2</v>
      </c>
      <c r="L40" s="35">
        <f>'Balance Sheet'!L109</f>
        <v>2</v>
      </c>
    </row>
    <row r="41" spans="2:16" x14ac:dyDescent="0.35">
      <c r="B41" s="11" t="s">
        <v>213</v>
      </c>
      <c r="C41" s="13"/>
      <c r="D41" s="46">
        <f>SUM(D36:D40)</f>
        <v>5468.3009999999995</v>
      </c>
      <c r="E41" s="46">
        <f t="shared" ref="E41:L41" si="10">SUM(E36:E40)</f>
        <v>5241.2850000000008</v>
      </c>
      <c r="F41" s="46">
        <f t="shared" si="10"/>
        <v>5116.4029999999993</v>
      </c>
      <c r="G41" s="46">
        <f t="shared" si="10"/>
        <v>4693.4299999999994</v>
      </c>
      <c r="H41" s="46">
        <f t="shared" si="10"/>
        <v>4541.4586954299994</v>
      </c>
      <c r="I41" s="46">
        <f t="shared" si="10"/>
        <v>4473.7850373165747</v>
      </c>
      <c r="J41" s="46">
        <f t="shared" si="10"/>
        <v>4358.6922195804455</v>
      </c>
      <c r="K41" s="46">
        <f t="shared" si="10"/>
        <v>4164.2447667499655</v>
      </c>
      <c r="L41" s="46">
        <f t="shared" si="10"/>
        <v>4081.8740472528198</v>
      </c>
    </row>
    <row r="42" spans="2:16" x14ac:dyDescent="0.35">
      <c r="D42" s="35"/>
      <c r="E42" s="35"/>
      <c r="F42" s="35"/>
      <c r="G42" s="35"/>
      <c r="H42" s="35"/>
      <c r="I42" s="35"/>
      <c r="J42" s="35"/>
      <c r="K42" s="35"/>
      <c r="L42" s="35"/>
    </row>
    <row r="43" spans="2:16" x14ac:dyDescent="0.35">
      <c r="B43" s="1" t="s">
        <v>216</v>
      </c>
      <c r="D43" s="35">
        <f>'Balance Sheet'!D17</f>
        <v>60.386000000000003</v>
      </c>
      <c r="E43" s="35">
        <f>'Balance Sheet'!E17</f>
        <v>48.805999999999997</v>
      </c>
      <c r="F43" s="35">
        <f>'Balance Sheet'!F17</f>
        <v>48.695</v>
      </c>
      <c r="G43" s="35">
        <f>'Balance Sheet'!G17</f>
        <v>43.783999999999999</v>
      </c>
      <c r="H43" s="35">
        <f>'Balance Sheet'!H17</f>
        <v>44.10739000539084</v>
      </c>
      <c r="I43" s="35">
        <f>'Balance Sheet'!I17</f>
        <v>46.546369997805897</v>
      </c>
      <c r="J43" s="35">
        <f>'Balance Sheet'!J17</f>
        <v>50.002467796034999</v>
      </c>
      <c r="K43" s="35">
        <f>'Balance Sheet'!K17</f>
        <v>49.756792848486768</v>
      </c>
      <c r="L43" s="35">
        <f>'Balance Sheet'!L17</f>
        <v>49.962351221557469</v>
      </c>
    </row>
    <row r="44" spans="2:16" x14ac:dyDescent="0.35">
      <c r="B44" s="1" t="s">
        <v>217</v>
      </c>
      <c r="D44" s="35">
        <f>'Balance Sheet'!D8</f>
        <v>126.907</v>
      </c>
      <c r="E44" s="35">
        <f>'Balance Sheet'!E8</f>
        <v>143.792</v>
      </c>
      <c r="F44" s="35">
        <f>'Balance Sheet'!F8</f>
        <v>137.45400000000001</v>
      </c>
      <c r="G44" s="35">
        <f>'Balance Sheet'!G8</f>
        <v>56.143000000000001</v>
      </c>
      <c r="H44" s="35">
        <f>'Balance Sheet'!H8</f>
        <v>69.664791780821915</v>
      </c>
      <c r="I44" s="35">
        <f>'Balance Sheet'!I8</f>
        <v>111.24156111840871</v>
      </c>
      <c r="J44" s="35">
        <f>'Balance Sheet'!J8</f>
        <v>139.05195139801089</v>
      </c>
      <c r="K44" s="35">
        <f>'Balance Sheet'!K8</f>
        <v>139.05195139801089</v>
      </c>
      <c r="L44" s="35">
        <f>'Balance Sheet'!L8</f>
        <v>132.09935382811034</v>
      </c>
    </row>
    <row r="45" spans="2:16" x14ac:dyDescent="0.35">
      <c r="B45" s="1" t="s">
        <v>207</v>
      </c>
      <c r="D45" s="35">
        <f>'Balance Sheet'!D48</f>
        <v>3951.1800000000003</v>
      </c>
      <c r="E45" s="35">
        <f>'Balance Sheet'!E48</f>
        <v>4333.0879999999997</v>
      </c>
      <c r="F45" s="35">
        <f>'Balance Sheet'!F48</f>
        <v>3947.25</v>
      </c>
      <c r="G45" s="35">
        <f>'Balance Sheet'!G48</f>
        <v>3994.0839999999998</v>
      </c>
      <c r="H45" s="35">
        <f>Projection!H41</f>
        <v>4050.6266609458239</v>
      </c>
      <c r="I45" s="35">
        <f>Projection!I41</f>
        <v>4229.8634713430647</v>
      </c>
      <c r="J45" s="35">
        <f>Projection!J41</f>
        <v>4820.5679259453264</v>
      </c>
      <c r="K45" s="35">
        <f>Projection!K41</f>
        <v>5443.6822705747736</v>
      </c>
      <c r="L45" s="35">
        <f>Projection!L41</f>
        <v>5921.5327081742407</v>
      </c>
    </row>
    <row r="46" spans="2:16" x14ac:dyDescent="0.35">
      <c r="B46" s="30" t="s">
        <v>218</v>
      </c>
      <c r="C46" s="13"/>
      <c r="D46" s="46">
        <f>SUM(D43:D45)</f>
        <v>4138.473</v>
      </c>
      <c r="E46" s="46">
        <f t="shared" ref="E46:L46" si="11">SUM(E43:E45)</f>
        <v>4525.6859999999997</v>
      </c>
      <c r="F46" s="46">
        <f t="shared" si="11"/>
        <v>4133.3990000000003</v>
      </c>
      <c r="G46" s="46">
        <f t="shared" si="11"/>
        <v>4094.011</v>
      </c>
      <c r="H46" s="46">
        <f t="shared" si="11"/>
        <v>4164.3988427320364</v>
      </c>
      <c r="I46" s="46">
        <f t="shared" si="11"/>
        <v>4387.6514024592798</v>
      </c>
      <c r="J46" s="46">
        <f t="shared" si="11"/>
        <v>5009.6223451393726</v>
      </c>
      <c r="K46" s="46">
        <f t="shared" si="11"/>
        <v>5632.4910148212712</v>
      </c>
      <c r="L46" s="46">
        <f t="shared" si="11"/>
        <v>6103.5944132239083</v>
      </c>
    </row>
    <row r="47" spans="2:16" x14ac:dyDescent="0.35">
      <c r="D47" s="35"/>
      <c r="E47" s="35"/>
      <c r="F47" s="35"/>
      <c r="G47" s="35"/>
      <c r="H47" s="35"/>
      <c r="I47" s="35"/>
      <c r="J47" s="35"/>
      <c r="K47" s="35"/>
      <c r="L47" s="35"/>
    </row>
    <row r="48" spans="2:16" x14ac:dyDescent="0.35">
      <c r="B48" s="29" t="s">
        <v>219</v>
      </c>
      <c r="D48" s="35">
        <f>D46+D41</f>
        <v>9606.7739999999994</v>
      </c>
      <c r="E48" s="35">
        <f t="shared" ref="E48:L48" si="12">E46+E41</f>
        <v>9766.9710000000014</v>
      </c>
      <c r="F48" s="35">
        <f t="shared" si="12"/>
        <v>9249.8019999999997</v>
      </c>
      <c r="G48" s="35">
        <f t="shared" si="12"/>
        <v>8787.4409999999989</v>
      </c>
      <c r="H48" s="35">
        <f t="shared" si="12"/>
        <v>8705.8575381620358</v>
      </c>
      <c r="I48" s="35">
        <f t="shared" si="12"/>
        <v>8861.4364397758545</v>
      </c>
      <c r="J48" s="35">
        <f t="shared" si="12"/>
        <v>9368.314564719818</v>
      </c>
      <c r="K48" s="35">
        <f t="shared" si="12"/>
        <v>9796.7357815712367</v>
      </c>
      <c r="L48" s="35">
        <f t="shared" si="12"/>
        <v>10185.468460476728</v>
      </c>
    </row>
    <row r="49" spans="2:12" x14ac:dyDescent="0.35">
      <c r="D49" s="35"/>
      <c r="E49" s="35"/>
      <c r="F49" s="35"/>
      <c r="G49" s="35"/>
      <c r="H49" s="35"/>
      <c r="I49" s="35"/>
      <c r="J49" s="35"/>
      <c r="K49" s="35"/>
      <c r="L49" s="35"/>
    </row>
    <row r="50" spans="2:12" x14ac:dyDescent="0.35">
      <c r="B50" s="1" t="s">
        <v>220</v>
      </c>
      <c r="D50" s="35">
        <f>'Balance Sheet'!D12</f>
        <v>462.74099999999999</v>
      </c>
      <c r="E50" s="35">
        <f>'Balance Sheet'!E12</f>
        <v>454.76400000000001</v>
      </c>
      <c r="F50" s="35">
        <f>'Balance Sheet'!F12</f>
        <v>489.47399999999999</v>
      </c>
      <c r="G50" s="35">
        <f>'Balance Sheet'!G12</f>
        <v>343.13</v>
      </c>
      <c r="H50" s="35">
        <f>'Balance Sheet'!H12</f>
        <v>363.23732945615984</v>
      </c>
      <c r="I50" s="35">
        <f>'Balance Sheet'!I12</f>
        <v>448.83999640741393</v>
      </c>
      <c r="J50" s="35">
        <f>'Balance Sheet'!J12</f>
        <v>500.02467796035</v>
      </c>
      <c r="K50" s="35">
        <f>'Balance Sheet'!K12</f>
        <v>497.56792848486765</v>
      </c>
      <c r="L50" s="35">
        <f>'Balance Sheet'!L12</f>
        <v>461.19093435283821</v>
      </c>
    </row>
    <row r="51" spans="2:12" x14ac:dyDescent="0.35">
      <c r="B51" s="1" t="s">
        <v>224</v>
      </c>
      <c r="D51" s="35">
        <f>'Balance Sheet'!D35</f>
        <v>203.137</v>
      </c>
      <c r="E51" s="35">
        <f>'Balance Sheet'!E35</f>
        <v>206.375</v>
      </c>
      <c r="F51" s="35">
        <f>'Balance Sheet'!F35</f>
        <v>3.9910000000000001</v>
      </c>
      <c r="G51" s="35">
        <f>'Balance Sheet'!G35</f>
        <v>3.9769999999999999</v>
      </c>
      <c r="H51" s="35">
        <f>'Balance Sheet'!H35</f>
        <v>260.8188912</v>
      </c>
      <c r="I51" s="35">
        <f>'Balance Sheet'!I35</f>
        <v>5.0588384</v>
      </c>
      <c r="J51" s="35">
        <f>'Balance Sheet'!J35</f>
        <v>5.7486800000000002</v>
      </c>
      <c r="K51" s="35">
        <f>'Balance Sheet'!K35</f>
        <v>5.7486800000000002</v>
      </c>
      <c r="L51" s="35">
        <f>'Balance Sheet'!L35</f>
        <v>5.7486800000000002</v>
      </c>
    </row>
    <row r="52" spans="2:12" x14ac:dyDescent="0.35">
      <c r="B52" s="1" t="s">
        <v>221</v>
      </c>
      <c r="D52" s="35">
        <f>'Balance Sheet'!D26</f>
        <v>200.303</v>
      </c>
      <c r="E52" s="35">
        <f>'Balance Sheet'!E26</f>
        <v>201.57300000000001</v>
      </c>
      <c r="F52" s="35">
        <f>'Balance Sheet'!F26</f>
        <v>209.90600000000001</v>
      </c>
      <c r="G52" s="35">
        <f>'Balance Sheet'!G26</f>
        <v>116.142</v>
      </c>
      <c r="H52" s="35">
        <f>'Balance Sheet'!H26</f>
        <v>109.53717408727408</v>
      </c>
      <c r="I52" s="35">
        <f>'Balance Sheet'!I26</f>
        <v>170.86905062760007</v>
      </c>
      <c r="J52" s="35">
        <f>'Balance Sheet'!J26</f>
        <v>199.82137156491535</v>
      </c>
      <c r="K52" s="35">
        <f>'Balance Sheet'!K26</f>
        <v>200.35784848553962</v>
      </c>
      <c r="L52" s="35">
        <f>'Balance Sheet'!L26</f>
        <v>199.91633281845759</v>
      </c>
    </row>
    <row r="53" spans="2:12" x14ac:dyDescent="0.35">
      <c r="B53" s="11" t="s">
        <v>222</v>
      </c>
      <c r="C53" s="13"/>
      <c r="D53" s="46">
        <f>SUM(D50:D52)</f>
        <v>866.18099999999993</v>
      </c>
      <c r="E53" s="46">
        <f t="shared" ref="E53:L53" si="13">SUM(E50:E52)</f>
        <v>862.71199999999999</v>
      </c>
      <c r="F53" s="46">
        <f t="shared" si="13"/>
        <v>703.37099999999998</v>
      </c>
      <c r="G53" s="46">
        <f t="shared" si="13"/>
        <v>463.24899999999997</v>
      </c>
      <c r="H53" s="46">
        <f t="shared" si="13"/>
        <v>733.59339474343392</v>
      </c>
      <c r="I53" s="46">
        <f t="shared" si="13"/>
        <v>624.76788543501402</v>
      </c>
      <c r="J53" s="46">
        <f t="shared" si="13"/>
        <v>705.59472952526539</v>
      </c>
      <c r="K53" s="46">
        <f t="shared" si="13"/>
        <v>703.67445697040728</v>
      </c>
      <c r="L53" s="46">
        <f t="shared" si="13"/>
        <v>666.85594717129584</v>
      </c>
    </row>
    <row r="54" spans="2:12" x14ac:dyDescent="0.35">
      <c r="D54" s="35"/>
      <c r="E54" s="35"/>
      <c r="F54" s="35"/>
      <c r="G54" s="35"/>
      <c r="H54" s="35"/>
      <c r="I54" s="35"/>
      <c r="J54" s="35"/>
      <c r="K54" s="35"/>
      <c r="L54" s="35"/>
    </row>
    <row r="55" spans="2:12" x14ac:dyDescent="0.35">
      <c r="B55" s="1" t="s">
        <v>164</v>
      </c>
      <c r="D55" s="35">
        <f>'Balance Sheet'!D24</f>
        <v>283.30799999999999</v>
      </c>
      <c r="E55" s="35">
        <f>'Balance Sheet'!E24</f>
        <v>288.55700000000002</v>
      </c>
      <c r="F55" s="35">
        <f>'Balance Sheet'!F24</f>
        <v>231.10599999999999</v>
      </c>
      <c r="G55" s="35">
        <f>'Balance Sheet'!G24</f>
        <v>225.41400000000002</v>
      </c>
      <c r="H55" s="35">
        <f>'Balance Sheet'!H24</f>
        <v>225.41400000000002</v>
      </c>
      <c r="I55" s="35">
        <f>'Balance Sheet'!I24</f>
        <v>225.41400000000002</v>
      </c>
      <c r="J55" s="35">
        <f>'Balance Sheet'!J24</f>
        <v>225.41400000000002</v>
      </c>
      <c r="K55" s="35">
        <f>'Balance Sheet'!K24</f>
        <v>225.41400000000002</v>
      </c>
      <c r="L55" s="35">
        <f>'Balance Sheet'!L24</f>
        <v>225.41400000000002</v>
      </c>
    </row>
    <row r="56" spans="2:12" x14ac:dyDescent="0.35">
      <c r="B56" s="1" t="s">
        <v>223</v>
      </c>
      <c r="D56" s="35">
        <f>'Balance Sheet'!D40</f>
        <v>1012.8630000000001</v>
      </c>
      <c r="E56" s="35">
        <f>'Balance Sheet'!E40</f>
        <v>832.19499999999994</v>
      </c>
      <c r="F56" s="35">
        <f>'Balance Sheet'!F40</f>
        <v>256.654</v>
      </c>
      <c r="G56" s="35">
        <f>'Balance Sheet'!G40</f>
        <v>262.79200000000003</v>
      </c>
      <c r="H56" s="35">
        <f>'Balance Sheet'!H40</f>
        <v>8.6230200000000004</v>
      </c>
      <c r="I56" s="35">
        <f>'Balance Sheet'!I40</f>
        <v>9.1978880000000007</v>
      </c>
      <c r="J56" s="35">
        <f>'Balance Sheet'!J40</f>
        <v>10.347624</v>
      </c>
      <c r="K56" s="35">
        <f>'Balance Sheet'!K40</f>
        <v>10.347624</v>
      </c>
      <c r="L56" s="35">
        <f>'Balance Sheet'!L40</f>
        <v>10.347624</v>
      </c>
    </row>
    <row r="57" spans="2:12" x14ac:dyDescent="0.35">
      <c r="B57" s="1" t="s">
        <v>225</v>
      </c>
      <c r="D57" s="35">
        <f>'Balance Sheet'!D111</f>
        <v>2.3860000000000001</v>
      </c>
      <c r="E57" s="35">
        <f>'Balance Sheet'!E111</f>
        <v>1.67</v>
      </c>
      <c r="F57" s="35">
        <f>'Balance Sheet'!F111</f>
        <v>0.81699999999999995</v>
      </c>
      <c r="G57" s="35">
        <f>'Balance Sheet'!G111</f>
        <v>0.219</v>
      </c>
      <c r="H57" s="35">
        <f>'Balance Sheet'!H111</f>
        <v>0.2</v>
      </c>
      <c r="I57" s="35">
        <f>'Balance Sheet'!I111</f>
        <v>0.2</v>
      </c>
      <c r="J57" s="35">
        <f>'Balance Sheet'!J111</f>
        <v>0.2</v>
      </c>
      <c r="K57" s="35">
        <f>'Balance Sheet'!K111</f>
        <v>0.2</v>
      </c>
      <c r="L57" s="35">
        <f>'Balance Sheet'!L111</f>
        <v>0.2</v>
      </c>
    </row>
    <row r="58" spans="2:12" x14ac:dyDescent="0.35">
      <c r="B58" s="1" t="s">
        <v>49</v>
      </c>
      <c r="D58" s="35">
        <v>0.47599999999999998</v>
      </c>
      <c r="E58" s="35">
        <v>0.49</v>
      </c>
      <c r="F58" s="35">
        <v>0.26300000000000001</v>
      </c>
      <c r="G58" s="35">
        <v>0.20499999999999999</v>
      </c>
      <c r="H58" s="37">
        <f>G58+CF!H37</f>
        <v>0.20499999999999999</v>
      </c>
      <c r="I58" s="37">
        <f>H58+CF!I37</f>
        <v>0.20499999999999999</v>
      </c>
      <c r="J58" s="37">
        <f>I58+CF!J37</f>
        <v>0.20499999999999999</v>
      </c>
      <c r="K58" s="37">
        <f>J58+CF!K37</f>
        <v>0.20499999999999999</v>
      </c>
      <c r="L58" s="37">
        <f>K58+CF!L37</f>
        <v>0.20499999999999999</v>
      </c>
    </row>
    <row r="59" spans="2:12" x14ac:dyDescent="0.35">
      <c r="B59" s="30" t="s">
        <v>228</v>
      </c>
      <c r="C59" s="13"/>
      <c r="D59" s="46">
        <f>SUM(D55:D58)</f>
        <v>1299.0330000000001</v>
      </c>
      <c r="E59" s="46">
        <f t="shared" ref="E59:L59" si="14">SUM(E55:E58)</f>
        <v>1122.912</v>
      </c>
      <c r="F59" s="46">
        <f t="shared" si="14"/>
        <v>488.84</v>
      </c>
      <c r="G59" s="46">
        <f t="shared" si="14"/>
        <v>488.63</v>
      </c>
      <c r="H59" s="46">
        <f t="shared" si="14"/>
        <v>234.44202000000001</v>
      </c>
      <c r="I59" s="46">
        <f t="shared" si="14"/>
        <v>235.01688800000002</v>
      </c>
      <c r="J59" s="46">
        <f t="shared" si="14"/>
        <v>236.16662400000001</v>
      </c>
      <c r="K59" s="46">
        <f t="shared" si="14"/>
        <v>236.16662400000001</v>
      </c>
      <c r="L59" s="46">
        <f t="shared" si="14"/>
        <v>236.16662400000001</v>
      </c>
    </row>
    <row r="60" spans="2:12" x14ac:dyDescent="0.35">
      <c r="B60" s="54"/>
      <c r="C60" s="52"/>
      <c r="D60" s="53"/>
      <c r="E60" s="53"/>
      <c r="F60" s="53"/>
      <c r="G60" s="53"/>
      <c r="H60" s="53"/>
      <c r="I60" s="53"/>
      <c r="J60" s="53"/>
      <c r="K60" s="53"/>
      <c r="L60" s="53"/>
    </row>
    <row r="61" spans="2:12" x14ac:dyDescent="0.35">
      <c r="D61" s="35"/>
      <c r="E61" s="35"/>
      <c r="F61" s="35"/>
      <c r="G61" s="35"/>
      <c r="H61" s="35"/>
      <c r="I61" s="35"/>
      <c r="J61" s="35"/>
      <c r="K61" s="35"/>
      <c r="L61" s="35"/>
    </row>
    <row r="62" spans="2:12" x14ac:dyDescent="0.35">
      <c r="B62" s="29" t="s">
        <v>227</v>
      </c>
      <c r="D62" s="35">
        <f>D53+D59</f>
        <v>2165.2139999999999</v>
      </c>
      <c r="E62" s="35">
        <f t="shared" ref="E62:L62" si="15">E53+E59</f>
        <v>1985.624</v>
      </c>
      <c r="F62" s="35">
        <f t="shared" si="15"/>
        <v>1192.211</v>
      </c>
      <c r="G62" s="35">
        <f t="shared" si="15"/>
        <v>951.87899999999991</v>
      </c>
      <c r="H62" s="35">
        <f t="shared" si="15"/>
        <v>968.03541474343388</v>
      </c>
      <c r="I62" s="35">
        <f t="shared" si="15"/>
        <v>859.78477343501402</v>
      </c>
      <c r="J62" s="35">
        <f t="shared" si="15"/>
        <v>941.76135352526535</v>
      </c>
      <c r="K62" s="35">
        <f t="shared" si="15"/>
        <v>939.84108097040735</v>
      </c>
      <c r="L62" s="35">
        <f t="shared" si="15"/>
        <v>903.02257117129579</v>
      </c>
    </row>
    <row r="63" spans="2:12" x14ac:dyDescent="0.35">
      <c r="D63" s="35"/>
      <c r="E63" s="35"/>
      <c r="F63" s="35"/>
      <c r="G63" s="35"/>
      <c r="H63" s="35"/>
      <c r="I63" s="35"/>
      <c r="J63" s="35"/>
      <c r="K63" s="35"/>
      <c r="L63" s="35"/>
    </row>
    <row r="64" spans="2:12" x14ac:dyDescent="0.35">
      <c r="B64" s="10" t="s">
        <v>229</v>
      </c>
      <c r="D64" s="35">
        <f>'Balance Sheet'!D121</f>
        <v>7441.56</v>
      </c>
      <c r="E64" s="35">
        <f>'Balance Sheet'!E121</f>
        <v>7781.3469999999998</v>
      </c>
      <c r="F64" s="35">
        <f>'Balance Sheet'!F121</f>
        <v>8057.5910000000003</v>
      </c>
      <c r="G64" s="35">
        <f>'Balance Sheet'!G121</f>
        <v>7835.5619999999999</v>
      </c>
      <c r="H64" s="35">
        <f>'Balance Sheet'!H121</f>
        <v>7737.822123418603</v>
      </c>
      <c r="I64" s="35">
        <f>'Balance Sheet'!I121</f>
        <v>8001.651666340842</v>
      </c>
      <c r="J64" s="35">
        <f>'Balance Sheet'!J121</f>
        <v>8426.5532111945522</v>
      </c>
      <c r="K64" s="35">
        <f>'Balance Sheet'!K121</f>
        <v>8856.8947006008293</v>
      </c>
      <c r="L64" s="35">
        <f>'Balance Sheet'!L121</f>
        <v>9282.4458893054325</v>
      </c>
    </row>
    <row r="66" spans="2:12" x14ac:dyDescent="0.35">
      <c r="B66" s="10" t="s">
        <v>237</v>
      </c>
      <c r="D66" s="31">
        <f t="shared" ref="D66:L66" si="16">D64+D62-D48</f>
        <v>0</v>
      </c>
      <c r="E66" s="31">
        <f t="shared" si="16"/>
        <v>0</v>
      </c>
      <c r="F66" s="31">
        <f t="shared" si="16"/>
        <v>0</v>
      </c>
      <c r="G66" s="31">
        <f t="shared" si="16"/>
        <v>0</v>
      </c>
      <c r="H66" s="31">
        <f>H64+H62-H48</f>
        <v>0</v>
      </c>
      <c r="I66" s="31">
        <f t="shared" si="16"/>
        <v>0</v>
      </c>
      <c r="J66" s="31">
        <f t="shared" si="16"/>
        <v>0</v>
      </c>
      <c r="K66" s="31">
        <f t="shared" si="16"/>
        <v>0</v>
      </c>
      <c r="L66" s="31">
        <f t="shared" si="16"/>
        <v>0</v>
      </c>
    </row>
    <row r="68" spans="2:12" x14ac:dyDescent="0.35">
      <c r="B68" s="14" t="s">
        <v>313</v>
      </c>
      <c r="C68" s="15" t="s">
        <v>3</v>
      </c>
      <c r="D68" s="16">
        <f t="shared" ref="D68:L68" si="17">D2</f>
        <v>43100</v>
      </c>
      <c r="E68" s="16">
        <f t="shared" si="17"/>
        <v>43465</v>
      </c>
      <c r="F68" s="16">
        <f t="shared" si="17"/>
        <v>43830</v>
      </c>
      <c r="G68" s="16">
        <f t="shared" si="17"/>
        <v>44196</v>
      </c>
      <c r="H68" s="16">
        <f t="shared" si="17"/>
        <v>44561</v>
      </c>
      <c r="I68" s="16">
        <f t="shared" si="17"/>
        <v>44926</v>
      </c>
      <c r="J68" s="16">
        <f t="shared" si="17"/>
        <v>45291</v>
      </c>
      <c r="K68" s="16">
        <f t="shared" si="17"/>
        <v>45657</v>
      </c>
      <c r="L68" s="16">
        <f t="shared" si="17"/>
        <v>46022</v>
      </c>
    </row>
    <row r="70" spans="2:12" x14ac:dyDescent="0.35">
      <c r="B70" t="s">
        <v>181</v>
      </c>
      <c r="D70" s="35">
        <f>D24</f>
        <v>685.55500000000018</v>
      </c>
      <c r="E70" s="35">
        <f t="shared" ref="E70:G70" si="18">E24</f>
        <v>755.39300000000003</v>
      </c>
      <c r="F70" s="35">
        <f t="shared" si="18"/>
        <v>688.60400000000004</v>
      </c>
      <c r="G70" s="35">
        <f t="shared" si="18"/>
        <v>69.240999999999943</v>
      </c>
      <c r="H70" s="35"/>
      <c r="I70" s="35"/>
      <c r="J70" s="35"/>
      <c r="K70" s="35"/>
      <c r="L70" s="35"/>
    </row>
    <row r="71" spans="2:12" x14ac:dyDescent="0.35">
      <c r="B71" s="1" t="s">
        <v>249</v>
      </c>
      <c r="D71" s="35">
        <f>CF!D14</f>
        <v>371.48100000000005</v>
      </c>
      <c r="E71" s="35">
        <f>CF!E14</f>
        <v>412.07300000000009</v>
      </c>
      <c r="F71" s="35">
        <f>CF!F14</f>
        <v>507.34599999999989</v>
      </c>
      <c r="G71" s="35">
        <f>CF!G14</f>
        <v>316.649</v>
      </c>
      <c r="H71" s="35"/>
      <c r="I71" s="35"/>
      <c r="J71" s="35"/>
      <c r="K71" s="35"/>
      <c r="L71" s="35"/>
    </row>
    <row r="72" spans="2:12" x14ac:dyDescent="0.35">
      <c r="B72" s="11" t="s">
        <v>250</v>
      </c>
      <c r="C72" s="13"/>
      <c r="D72" s="46">
        <f>D70+D71</f>
        <v>1057.0360000000003</v>
      </c>
      <c r="E72" s="46">
        <f>E70+E71</f>
        <v>1167.4660000000001</v>
      </c>
      <c r="F72" s="46">
        <f>F70+F71</f>
        <v>1195.9499999999998</v>
      </c>
      <c r="G72" s="46">
        <f>G70+G71</f>
        <v>385.88999999999993</v>
      </c>
      <c r="H72" s="46"/>
      <c r="I72" s="46"/>
      <c r="J72" s="46"/>
      <c r="K72" s="46"/>
      <c r="L72" s="46"/>
    </row>
    <row r="73" spans="2:12" x14ac:dyDescent="0.35">
      <c r="D73" s="35"/>
      <c r="E73" s="35"/>
      <c r="F73" s="35"/>
      <c r="G73" s="35"/>
      <c r="H73" s="35"/>
      <c r="I73" s="35"/>
      <c r="J73" s="35"/>
      <c r="K73" s="35"/>
      <c r="L73" s="35"/>
    </row>
    <row r="74" spans="2:12" x14ac:dyDescent="0.35">
      <c r="B74" t="s">
        <v>254</v>
      </c>
      <c r="D74" s="35">
        <f>CF!D24</f>
        <v>97.707999999999998</v>
      </c>
      <c r="E74" s="35">
        <f>CF!E24</f>
        <v>-8.4269999999999925</v>
      </c>
      <c r="F74" s="35">
        <f>CF!F24</f>
        <v>-66.772999999999996</v>
      </c>
      <c r="G74" s="35">
        <f>CF!G24</f>
        <v>-59.919000000000011</v>
      </c>
      <c r="H74" s="35"/>
      <c r="I74" s="35"/>
      <c r="J74" s="35"/>
      <c r="K74" s="35"/>
      <c r="L74" s="35"/>
    </row>
    <row r="75" spans="2:12" x14ac:dyDescent="0.35">
      <c r="D75" s="35"/>
      <c r="E75" s="35"/>
      <c r="F75" s="35"/>
      <c r="G75" s="35"/>
      <c r="H75" s="35"/>
      <c r="I75" s="35"/>
      <c r="J75" s="35"/>
      <c r="K75" s="35"/>
      <c r="L75" s="35"/>
    </row>
    <row r="76" spans="2:12" x14ac:dyDescent="0.35">
      <c r="B76" t="s">
        <v>309</v>
      </c>
      <c r="D76" s="35">
        <f>CF!D29</f>
        <v>5.1640000000000015</v>
      </c>
      <c r="E76" s="35">
        <f>CF!E29</f>
        <v>-19.170000000000002</v>
      </c>
      <c r="F76" s="35">
        <f>CF!F29</f>
        <v>6.0430000000000064</v>
      </c>
      <c r="G76" s="35">
        <f>CF!G29</f>
        <v>20.053000000000004</v>
      </c>
      <c r="H76" s="35"/>
      <c r="I76" s="35"/>
      <c r="J76" s="35"/>
      <c r="K76" s="35"/>
      <c r="L76" s="35"/>
    </row>
    <row r="77" spans="2:12" x14ac:dyDescent="0.35">
      <c r="B77" t="s">
        <v>287</v>
      </c>
      <c r="D77" s="35">
        <f>CF!D33</f>
        <v>96.224000000000004</v>
      </c>
      <c r="E77" s="35">
        <f>CF!E33</f>
        <v>6.5260000000000105</v>
      </c>
      <c r="F77" s="35">
        <f>CF!F33</f>
        <v>-49.111999999999995</v>
      </c>
      <c r="G77" s="35">
        <f>CF!G33</f>
        <v>-99.454999999999998</v>
      </c>
      <c r="H77" s="36"/>
      <c r="I77" s="36"/>
      <c r="J77" s="36"/>
      <c r="K77" s="36"/>
      <c r="L77" s="36"/>
    </row>
    <row r="78" spans="2:12" x14ac:dyDescent="0.35">
      <c r="B78" t="s">
        <v>308</v>
      </c>
      <c r="D78" s="35">
        <f>CF!D37</f>
        <v>-0.25600000000000001</v>
      </c>
      <c r="E78" s="35">
        <f>CF!E37</f>
        <v>1.9000000000000003E-2</v>
      </c>
      <c r="F78" s="35">
        <f>CF!F37</f>
        <v>-0.22699999999999998</v>
      </c>
      <c r="G78" s="35">
        <f>CF!G37</f>
        <v>-5.8999999999999997E-2</v>
      </c>
      <c r="H78" s="35"/>
      <c r="I78" s="35"/>
      <c r="J78" s="35"/>
      <c r="K78" s="35"/>
      <c r="L78" s="35"/>
    </row>
    <row r="79" spans="2:12" x14ac:dyDescent="0.35">
      <c r="D79" s="35"/>
      <c r="E79" s="35"/>
      <c r="F79" s="35"/>
      <c r="G79" s="35"/>
      <c r="H79" s="35"/>
      <c r="I79" s="35"/>
      <c r="J79" s="35"/>
      <c r="K79" s="35"/>
      <c r="L79" s="35"/>
    </row>
    <row r="80" spans="2:12" x14ac:dyDescent="0.35">
      <c r="B80" s="11" t="s">
        <v>255</v>
      </c>
      <c r="C80" s="13"/>
      <c r="D80" s="46">
        <f t="shared" ref="D80:F80" si="19">D72+D74+D76+D77+D78</f>
        <v>1255.8760000000002</v>
      </c>
      <c r="E80" s="46">
        <f t="shared" si="19"/>
        <v>1146.4140000000002</v>
      </c>
      <c r="F80" s="46">
        <f t="shared" si="19"/>
        <v>1085.8809999999996</v>
      </c>
      <c r="G80" s="46">
        <f>G72+G74+G76+G77+G78</f>
        <v>246.50999999999991</v>
      </c>
      <c r="H80" s="46"/>
      <c r="I80" s="46"/>
      <c r="J80" s="46"/>
      <c r="K80" s="46"/>
      <c r="L80" s="46"/>
    </row>
    <row r="81" spans="2:12" x14ac:dyDescent="0.35">
      <c r="D81" s="35"/>
      <c r="E81" s="35"/>
      <c r="F81" s="35"/>
      <c r="G81" s="35"/>
      <c r="H81" s="35"/>
      <c r="I81" s="35"/>
      <c r="J81" s="35"/>
      <c r="K81" s="35"/>
      <c r="L81" s="35"/>
    </row>
    <row r="82" spans="2:12" x14ac:dyDescent="0.35">
      <c r="B82" t="s">
        <v>282</v>
      </c>
      <c r="D82" s="35">
        <f>CF!D54</f>
        <v>456.8669999999999</v>
      </c>
      <c r="E82" s="35">
        <f>CF!E54</f>
        <v>-105.351</v>
      </c>
      <c r="F82" s="35">
        <f>CF!F54</f>
        <v>-246.41199999999998</v>
      </c>
      <c r="G82" s="35">
        <f>CF!G54</f>
        <v>114.276</v>
      </c>
      <c r="H82" s="35"/>
      <c r="I82" s="35"/>
      <c r="J82" s="35"/>
      <c r="K82" s="35"/>
      <c r="L82" s="35"/>
    </row>
    <row r="83" spans="2:12" x14ac:dyDescent="0.35">
      <c r="D83" s="35"/>
      <c r="E83" s="35"/>
      <c r="F83" s="35"/>
      <c r="G83" s="35"/>
      <c r="H83" s="35"/>
      <c r="I83" s="35"/>
      <c r="J83" s="35"/>
      <c r="K83" s="35"/>
      <c r="L83" s="35"/>
    </row>
    <row r="84" spans="2:12" x14ac:dyDescent="0.35">
      <c r="B84" t="s">
        <v>283</v>
      </c>
      <c r="D84" s="35">
        <f>CF!D69</f>
        <v>-2774.7280000000001</v>
      </c>
      <c r="E84" s="35">
        <f>CF!E69</f>
        <v>-663.58600000000001</v>
      </c>
      <c r="F84" s="35">
        <f>CF!F69</f>
        <v>-1105.4829999999999</v>
      </c>
      <c r="G84" s="35">
        <f>CF!G69</f>
        <v>-309.55099999999999</v>
      </c>
      <c r="H84" s="35"/>
      <c r="I84" s="35"/>
      <c r="J84" s="35"/>
      <c r="K84" s="35"/>
      <c r="L84" s="35"/>
    </row>
    <row r="85" spans="2:12" x14ac:dyDescent="0.35">
      <c r="D85" s="35"/>
      <c r="E85" s="35"/>
      <c r="F85" s="35"/>
      <c r="G85" s="35"/>
      <c r="H85" s="35"/>
      <c r="I85" s="35"/>
      <c r="J85" s="35"/>
      <c r="K85" s="35"/>
      <c r="L85" s="35"/>
    </row>
    <row r="86" spans="2:12" x14ac:dyDescent="0.35">
      <c r="B86" t="s">
        <v>284</v>
      </c>
      <c r="D86" s="35">
        <v>4963.4359999999997</v>
      </c>
      <c r="E86" s="35">
        <f>D89</f>
        <v>3833.9040000000005</v>
      </c>
      <c r="F86" s="35">
        <f t="shared" ref="F86:G86" si="20">E89</f>
        <v>4214.237000000001</v>
      </c>
      <c r="G86" s="35">
        <f t="shared" si="20"/>
        <v>3947.2510000000011</v>
      </c>
      <c r="H86" s="35"/>
      <c r="I86" s="35"/>
      <c r="J86" s="35"/>
      <c r="K86" s="35"/>
      <c r="L86" s="35"/>
    </row>
    <row r="87" spans="2:12" x14ac:dyDescent="0.35">
      <c r="B87" s="1" t="s">
        <v>281</v>
      </c>
      <c r="D87" s="35">
        <f>-67.547</f>
        <v>-67.546999999999997</v>
      </c>
      <c r="E87" s="35">
        <v>2.8559999999999999</v>
      </c>
      <c r="F87" s="35">
        <v>-0.97199999999999998</v>
      </c>
      <c r="G87" s="35">
        <f>-4.401</f>
        <v>-4.4009999999999998</v>
      </c>
      <c r="H87" s="36"/>
      <c r="I87" s="36"/>
      <c r="J87" s="36"/>
      <c r="K87" s="36"/>
      <c r="L87" s="36"/>
    </row>
    <row r="88" spans="2:12" x14ac:dyDescent="0.35">
      <c r="B88" s="1" t="s">
        <v>286</v>
      </c>
      <c r="D88" s="35">
        <f>D80+D82+D84</f>
        <v>-1061.9849999999999</v>
      </c>
      <c r="E88" s="35">
        <f>E80+E82+E84</f>
        <v>377.47700000000009</v>
      </c>
      <c r="F88" s="35">
        <f>F80+F82+F84</f>
        <v>-266.01400000000035</v>
      </c>
      <c r="G88" s="35">
        <f>G80+G82+G84</f>
        <v>51.2349999999999</v>
      </c>
      <c r="H88" s="35"/>
      <c r="I88" s="35"/>
      <c r="J88" s="35"/>
      <c r="K88" s="35"/>
      <c r="L88" s="35"/>
    </row>
    <row r="89" spans="2:12" x14ac:dyDescent="0.35">
      <c r="B89" t="s">
        <v>285</v>
      </c>
      <c r="D89" s="35">
        <f>SUM(D86:D88)</f>
        <v>3833.9040000000005</v>
      </c>
      <c r="E89" s="35">
        <f t="shared" ref="E89:G89" si="21">SUM(E86:E88)</f>
        <v>4214.237000000001</v>
      </c>
      <c r="F89" s="35">
        <f t="shared" si="21"/>
        <v>3947.2510000000011</v>
      </c>
      <c r="G89" s="35">
        <f t="shared" si="21"/>
        <v>3994.0850000000009</v>
      </c>
      <c r="H89" s="35"/>
      <c r="I89" s="35"/>
      <c r="J89" s="35"/>
      <c r="K89" s="35"/>
      <c r="L89" s="35"/>
    </row>
    <row r="90" spans="2:12" x14ac:dyDescent="0.35">
      <c r="D90" s="35"/>
      <c r="E90" s="35"/>
      <c r="F90" s="35"/>
      <c r="G90" s="35"/>
      <c r="H90" s="35"/>
      <c r="I90" s="35"/>
      <c r="J90" s="35"/>
      <c r="K90" s="35"/>
      <c r="L90" s="35"/>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EA527-7636-498F-8BEC-10AFC300144B}">
  <dimension ref="B2:N93"/>
  <sheetViews>
    <sheetView topLeftCell="A66" workbookViewId="0">
      <selection activeCell="C94" sqref="C94"/>
    </sheetView>
  </sheetViews>
  <sheetFormatPr defaultRowHeight="14.5" x14ac:dyDescent="0.35"/>
  <cols>
    <col min="2" max="2" width="28.36328125" bestFit="1" customWidth="1"/>
    <col min="4" max="4" width="9.7265625" customWidth="1"/>
    <col min="5" max="7" width="9.6328125" bestFit="1" customWidth="1"/>
    <col min="8" max="12" width="11.81640625" bestFit="1" customWidth="1"/>
    <col min="14" max="14" width="16.26953125" bestFit="1" customWidth="1"/>
  </cols>
  <sheetData>
    <row r="2" spans="2:12" x14ac:dyDescent="0.35">
      <c r="B2" s="14" t="s">
        <v>127</v>
      </c>
      <c r="C2" s="15" t="s">
        <v>3</v>
      </c>
      <c r="D2" s="16">
        <f t="shared" ref="D2:E2" si="0">EOMONTH(E2,-12)</f>
        <v>43100</v>
      </c>
      <c r="E2" s="16">
        <f t="shared" si="0"/>
        <v>43465</v>
      </c>
      <c r="F2" s="16">
        <f>EOMONTH(G2,-12)</f>
        <v>43830</v>
      </c>
      <c r="G2" s="16">
        <f>Hist_Yr</f>
        <v>44196</v>
      </c>
      <c r="H2" s="16">
        <f>EOMONTH(G2,12)</f>
        <v>44561</v>
      </c>
      <c r="I2" s="16">
        <f t="shared" ref="I2:L2" si="1">EOMONTH(H2,12)</f>
        <v>44926</v>
      </c>
      <c r="J2" s="16">
        <f t="shared" si="1"/>
        <v>45291</v>
      </c>
      <c r="K2" s="16">
        <f t="shared" si="1"/>
        <v>45657</v>
      </c>
      <c r="L2" s="16">
        <f t="shared" si="1"/>
        <v>46022</v>
      </c>
    </row>
    <row r="4" spans="2:12" x14ac:dyDescent="0.35">
      <c r="B4" t="s">
        <v>128</v>
      </c>
      <c r="D4" s="35">
        <f>Revenue!D17</f>
        <v>2392.5590000000002</v>
      </c>
      <c r="E4" s="35">
        <f>Revenue!E17</f>
        <v>2539.2350000000001</v>
      </c>
      <c r="F4" s="35">
        <f>Revenue!F17</f>
        <v>2480.34</v>
      </c>
      <c r="G4" s="35">
        <f>Revenue!G17</f>
        <v>1063.749</v>
      </c>
      <c r="H4" s="35">
        <f>Revenue!H17</f>
        <v>1271.3824500000001</v>
      </c>
      <c r="I4" s="35">
        <f>Revenue!I17</f>
        <v>2030.1584904109588</v>
      </c>
      <c r="J4" s="35">
        <f>Revenue!J17</f>
        <v>2537.6981130136987</v>
      </c>
      <c r="K4" s="35">
        <f>Revenue!K17</f>
        <v>2537.6981130136987</v>
      </c>
      <c r="L4" s="35">
        <f>Revenue!L17</f>
        <v>2537.6981130136987</v>
      </c>
    </row>
    <row r="5" spans="2:12" x14ac:dyDescent="0.35">
      <c r="B5" s="1" t="s">
        <v>159</v>
      </c>
      <c r="D5" s="35">
        <f>Expense!D6-Expense!D55-Expense!D59-Expense!D12</f>
        <v>669.827</v>
      </c>
      <c r="E5" s="35">
        <f>Expense!E6-Expense!E55-Expense!E59-Expense!E12</f>
        <v>672.53899999999999</v>
      </c>
      <c r="F5" s="35">
        <f>Expense!F6-Expense!F55-Expense!F59-Expense!F12</f>
        <v>660.02400000000011</v>
      </c>
      <c r="G5" s="35">
        <f>Expense!G6-Expense!G55-Expense!G59-Expense!G12</f>
        <v>278.05700000000002</v>
      </c>
      <c r="H5" s="35">
        <f>Expense!H6-Expense!H55-Expense!H59-Expense!H12</f>
        <v>347.63086800000008</v>
      </c>
      <c r="I5" s="35">
        <f>Expense!I6-Expense!I55-Expense!I59-Expense!I12</f>
        <v>555.47097978082206</v>
      </c>
      <c r="J5" s="35">
        <f>Expense!J6-Expense!J55-Expense!J59-Expense!J12</f>
        <v>694.33872472602729</v>
      </c>
      <c r="K5" s="35">
        <f>Expense!K6-Expense!K55-Expense!K59-Expense!K12</f>
        <v>694.33872472602729</v>
      </c>
      <c r="L5" s="35">
        <f>Expense!L6-Expense!L55-Expense!L59-Expense!L12</f>
        <v>694.33872472602729</v>
      </c>
    </row>
    <row r="6" spans="2:12" x14ac:dyDescent="0.35">
      <c r="D6" s="35"/>
      <c r="E6" s="35"/>
      <c r="F6" s="35"/>
      <c r="G6" s="35"/>
      <c r="H6" s="35"/>
      <c r="I6" s="35"/>
      <c r="J6" s="35"/>
      <c r="K6" s="35"/>
      <c r="L6" s="35"/>
    </row>
    <row r="7" spans="2:12" x14ac:dyDescent="0.35">
      <c r="B7" s="1" t="s">
        <v>129</v>
      </c>
      <c r="D7" s="35">
        <f>Expense!D57</f>
        <v>259.19100000000003</v>
      </c>
      <c r="E7" s="35">
        <f>Expense!E57</f>
        <v>291.541</v>
      </c>
      <c r="F7" s="35">
        <f>Expense!F57</f>
        <v>363.65600000000001</v>
      </c>
      <c r="G7" s="35">
        <f>Expense!G57</f>
        <v>276.38400000000001</v>
      </c>
      <c r="H7" s="35">
        <f>Expense!H57</f>
        <v>277.657128</v>
      </c>
      <c r="I7" s="35">
        <f>Expense!I57</f>
        <v>345.06897600000002</v>
      </c>
      <c r="J7" s="35">
        <f>Expense!J57</f>
        <v>372.50897599999996</v>
      </c>
      <c r="K7" s="35">
        <f>Expense!K57</f>
        <v>343.95765600000004</v>
      </c>
      <c r="L7" s="35">
        <f>Expense!L57</f>
        <v>343.38278800000001</v>
      </c>
    </row>
    <row r="8" spans="2:12" x14ac:dyDescent="0.35">
      <c r="B8" s="1" t="s">
        <v>64</v>
      </c>
      <c r="D8" s="35">
        <f>Expense!D59</f>
        <v>23.721</v>
      </c>
      <c r="E8" s="35">
        <f>Expense!E59</f>
        <v>23.975999999999999</v>
      </c>
      <c r="F8" s="35">
        <f>Expense!F59</f>
        <v>26.145</v>
      </c>
      <c r="G8" s="35">
        <f>Expense!G59</f>
        <v>26.027000000000001</v>
      </c>
      <c r="H8" s="35">
        <f>Expense!H59</f>
        <v>25.754000000000001</v>
      </c>
      <c r="I8" s="35">
        <f>Expense!I59</f>
        <v>26.754000000000001</v>
      </c>
      <c r="J8" s="35">
        <f>Expense!J59</f>
        <v>26.754000000000001</v>
      </c>
      <c r="K8" s="35">
        <f>Expense!K59</f>
        <v>26.754000000000001</v>
      </c>
      <c r="L8" s="35">
        <f>Expense!L59</f>
        <v>27.420666666666669</v>
      </c>
    </row>
    <row r="9" spans="2:12" x14ac:dyDescent="0.35">
      <c r="B9" s="1" t="s">
        <v>43</v>
      </c>
      <c r="D9" s="35">
        <f>Expense!D40</f>
        <v>10.765000000000001</v>
      </c>
      <c r="E9" s="35">
        <f>Expense!E40</f>
        <v>9.2059999999999995</v>
      </c>
      <c r="F9" s="35">
        <f>Expense!F40</f>
        <v>9.5300000000000011</v>
      </c>
      <c r="G9" s="35">
        <f>Expense!G40</f>
        <v>11.131000000000002</v>
      </c>
      <c r="H9" s="35">
        <f>Expense!H40</f>
        <v>7.6282947000000005</v>
      </c>
      <c r="I9" s="35">
        <f>Expense!I40</f>
        <v>10.150792452054795</v>
      </c>
      <c r="J9" s="35">
        <f>Expense!J40</f>
        <v>10.150792452054795</v>
      </c>
      <c r="K9" s="35">
        <f>Expense!K40</f>
        <v>9.6432528294520559</v>
      </c>
      <c r="L9" s="35">
        <f>Expense!L40</f>
        <v>9.6432528294520559</v>
      </c>
    </row>
    <row r="10" spans="2:12" x14ac:dyDescent="0.35">
      <c r="B10" s="1" t="s">
        <v>152</v>
      </c>
      <c r="D10" s="35">
        <f>Expense!D14-Expense!D40</f>
        <v>607.86</v>
      </c>
      <c r="E10" s="35">
        <f>Expense!E14-Expense!E40</f>
        <v>639.12300000000005</v>
      </c>
      <c r="F10" s="35">
        <f>Expense!F14-Expense!F40</f>
        <v>637.64399999999989</v>
      </c>
      <c r="G10" s="35">
        <f>Expense!G14-Expense!G40</f>
        <v>401.91699999999997</v>
      </c>
      <c r="H10" s="35">
        <f>Expense!H14-Expense!H40</f>
        <v>426.90857833927373</v>
      </c>
      <c r="I10" s="35">
        <f>Expense!I14-Expense!I40</f>
        <v>477.95940866530117</v>
      </c>
      <c r="J10" s="35">
        <f>Expense!J14-Expense!J40</f>
        <v>553.07622048888584</v>
      </c>
      <c r="K10" s="35">
        <f>Expense!K14-Expense!K40</f>
        <v>575.23728350724969</v>
      </c>
      <c r="L10" s="35">
        <f>Expense!L14-Expense!L40</f>
        <v>580.91693146910666</v>
      </c>
    </row>
    <row r="11" spans="2:12" x14ac:dyDescent="0.35">
      <c r="B11" s="11" t="s">
        <v>145</v>
      </c>
      <c r="C11" s="13"/>
      <c r="D11" s="46">
        <f>SUM(D7:D10)</f>
        <v>901.53700000000003</v>
      </c>
      <c r="E11" s="46">
        <f t="shared" ref="E11:L11" si="2">SUM(E7:E10)</f>
        <v>963.846</v>
      </c>
      <c r="F11" s="46">
        <f>SUM(F7:F10)</f>
        <v>1036.9749999999999</v>
      </c>
      <c r="G11" s="46">
        <f t="shared" si="2"/>
        <v>715.45900000000006</v>
      </c>
      <c r="H11" s="46">
        <f t="shared" si="2"/>
        <v>737.94800103927378</v>
      </c>
      <c r="I11" s="46">
        <f t="shared" si="2"/>
        <v>859.93317711735608</v>
      </c>
      <c r="J11" s="46">
        <f t="shared" si="2"/>
        <v>962.48998894094063</v>
      </c>
      <c r="K11" s="46">
        <f t="shared" si="2"/>
        <v>955.59219233670183</v>
      </c>
      <c r="L11" s="46">
        <f t="shared" si="2"/>
        <v>961.36363896522539</v>
      </c>
    </row>
    <row r="12" spans="2:12" x14ac:dyDescent="0.35">
      <c r="D12" s="35"/>
      <c r="E12" s="35"/>
      <c r="F12" s="35"/>
      <c r="G12" s="35"/>
      <c r="H12" s="35"/>
      <c r="I12" s="35"/>
      <c r="J12" s="35"/>
      <c r="K12" s="35"/>
      <c r="L12" s="35"/>
    </row>
    <row r="13" spans="2:12" x14ac:dyDescent="0.35">
      <c r="B13" s="29" t="s">
        <v>147</v>
      </c>
      <c r="D13" s="35">
        <f t="shared" ref="D13:L13" si="3">D4-D5-D11</f>
        <v>821.19500000000016</v>
      </c>
      <c r="E13" s="35">
        <f t="shared" si="3"/>
        <v>902.85000000000014</v>
      </c>
      <c r="F13" s="35">
        <f t="shared" si="3"/>
        <v>783.34100000000012</v>
      </c>
      <c r="G13" s="35">
        <f t="shared" si="3"/>
        <v>70.232999999999947</v>
      </c>
      <c r="H13" s="35">
        <f t="shared" si="3"/>
        <v>185.80358096072621</v>
      </c>
      <c r="I13" s="35">
        <f t="shared" si="3"/>
        <v>614.7543335127807</v>
      </c>
      <c r="J13" s="35">
        <f t="shared" si="3"/>
        <v>880.8693993467308</v>
      </c>
      <c r="K13" s="35">
        <f t="shared" si="3"/>
        <v>887.76719595096961</v>
      </c>
      <c r="L13" s="35">
        <f t="shared" si="3"/>
        <v>881.99574932244604</v>
      </c>
    </row>
    <row r="14" spans="2:12" x14ac:dyDescent="0.35">
      <c r="D14" s="35"/>
      <c r="E14" s="35"/>
      <c r="F14" s="35"/>
      <c r="G14" s="35"/>
      <c r="H14" s="35"/>
      <c r="I14" s="35"/>
      <c r="J14" s="35"/>
      <c r="K14" s="35"/>
      <c r="L14" s="35"/>
    </row>
    <row r="15" spans="2:12" x14ac:dyDescent="0.35">
      <c r="B15" t="s">
        <v>137</v>
      </c>
      <c r="D15" s="35">
        <f>Expense!D172</f>
        <v>71.093999999999994</v>
      </c>
      <c r="E15" s="35">
        <f>Expense!E172</f>
        <v>72.341999999999999</v>
      </c>
      <c r="F15" s="35">
        <f>Expense!F172</f>
        <v>80.072999999999993</v>
      </c>
      <c r="G15" s="35">
        <f>Expense!G172</f>
        <v>45.545999999999999</v>
      </c>
      <c r="H15" s="35">
        <f>Expense!H172</f>
        <v>53.999999999999993</v>
      </c>
      <c r="I15" s="35">
        <f>Expense!I172</f>
        <v>53.999999999999993</v>
      </c>
      <c r="J15" s="35">
        <f>Expense!J172</f>
        <v>53.999999999999993</v>
      </c>
      <c r="K15" s="35">
        <f>Expense!K172</f>
        <v>53.999999999999993</v>
      </c>
      <c r="L15" s="35">
        <f>Expense!L172</f>
        <v>53.999999999999993</v>
      </c>
    </row>
    <row r="16" spans="2:12" x14ac:dyDescent="0.35">
      <c r="B16" t="s">
        <v>138</v>
      </c>
      <c r="D16" s="35">
        <f>Expense!D169</f>
        <v>3.3849999999999998</v>
      </c>
      <c r="E16" s="35">
        <f>Expense!E169</f>
        <v>3.9590000000000001</v>
      </c>
      <c r="F16" s="35">
        <f>Expense!F169</f>
        <v>3.9870000000000001</v>
      </c>
      <c r="G16" s="35">
        <f>Expense!G169</f>
        <v>1.244</v>
      </c>
      <c r="H16" s="35">
        <f>Expense!H169</f>
        <v>1.7799354300000001</v>
      </c>
      <c r="I16" s="35">
        <f>Expense!I169</f>
        <v>2.8422218865753424</v>
      </c>
      <c r="J16" s="35">
        <f>Expense!J169</f>
        <v>3.6796622638698628</v>
      </c>
      <c r="K16" s="35">
        <f>Expense!K169</f>
        <v>3.8065471695205484</v>
      </c>
      <c r="L16" s="35">
        <f>Expense!L169</f>
        <v>3.8065471695205484</v>
      </c>
    </row>
    <row r="17" spans="2:12" x14ac:dyDescent="0.35">
      <c r="B17" t="s">
        <v>139</v>
      </c>
      <c r="D17" s="35">
        <f>-Expense!D132</f>
        <v>-35.647999999999996</v>
      </c>
      <c r="E17" s="35">
        <f>-Expense!E132</f>
        <v>-35.912999999999997</v>
      </c>
      <c r="F17" s="35">
        <f>-Expense!F132</f>
        <v>-20.494999999999997</v>
      </c>
      <c r="G17" s="35">
        <f>-Expense!G132</f>
        <v>-4.0469999999999997</v>
      </c>
      <c r="H17" s="35">
        <f>-Expense!H132</f>
        <v>-4.1656673600000005</v>
      </c>
      <c r="I17" s="35">
        <f>-Expense!I132</f>
        <v>-1.8096304000000001</v>
      </c>
      <c r="J17" s="35">
        <f>-Expense!J132</f>
        <v>-1.924604</v>
      </c>
      <c r="K17" s="35">
        <f>-Expense!K132</f>
        <v>-1.8096304000000001</v>
      </c>
      <c r="L17" s="35">
        <f>-Expense!L132</f>
        <v>-1.8096304000000001</v>
      </c>
    </row>
    <row r="18" spans="2:12" x14ac:dyDescent="0.35">
      <c r="D18" s="35"/>
      <c r="E18" s="35"/>
      <c r="F18" s="35"/>
      <c r="G18" s="35"/>
      <c r="H18" s="35"/>
      <c r="I18" s="35"/>
      <c r="J18" s="35"/>
      <c r="K18" s="35"/>
      <c r="L18" s="35"/>
    </row>
    <row r="19" spans="2:12" x14ac:dyDescent="0.35">
      <c r="B19" s="11" t="s">
        <v>163</v>
      </c>
      <c r="C19" s="13"/>
      <c r="D19" s="46">
        <f>D13+D15+D16+D17</f>
        <v>860.02600000000018</v>
      </c>
      <c r="E19" s="46">
        <f t="shared" ref="E19:F19" si="4">E13+E15+E16+E17</f>
        <v>943.23800000000006</v>
      </c>
      <c r="F19" s="46">
        <f t="shared" si="4"/>
        <v>846.90600000000006</v>
      </c>
      <c r="G19" s="46">
        <f>G13+G15+G16+G17</f>
        <v>112.97599999999994</v>
      </c>
      <c r="H19" s="46">
        <f t="shared" ref="H19:L19" si="5">H13+H15+H16+H17</f>
        <v>237.41784903072619</v>
      </c>
      <c r="I19" s="46">
        <f t="shared" si="5"/>
        <v>669.78692499935607</v>
      </c>
      <c r="J19" s="46">
        <f t="shared" si="5"/>
        <v>936.62445761060064</v>
      </c>
      <c r="K19" s="46">
        <f t="shared" si="5"/>
        <v>943.76411272049017</v>
      </c>
      <c r="L19" s="46">
        <f t="shared" si="5"/>
        <v>937.99266609196661</v>
      </c>
    </row>
    <row r="20" spans="2:12" x14ac:dyDescent="0.35">
      <c r="D20" s="35"/>
      <c r="E20" s="35"/>
      <c r="F20" s="35"/>
      <c r="G20" s="35"/>
      <c r="H20" s="35"/>
      <c r="I20" s="35"/>
      <c r="J20" s="35"/>
      <c r="K20" s="35"/>
      <c r="L20" s="35"/>
    </row>
    <row r="21" spans="2:12" x14ac:dyDescent="0.35">
      <c r="B21" t="s">
        <v>162</v>
      </c>
      <c r="D21" s="35">
        <f>Expense!D166</f>
        <v>174.471</v>
      </c>
      <c r="E21" s="35">
        <f>Expense!E166</f>
        <v>187.845</v>
      </c>
      <c r="F21" s="35">
        <f>Expense!F166</f>
        <v>158.30199999999999</v>
      </c>
      <c r="G21" s="35">
        <f>Expense!G166</f>
        <v>43.734999999999999</v>
      </c>
      <c r="H21" s="35">
        <f>Expense!H166</f>
        <v>40.058445312123453</v>
      </c>
      <c r="I21" s="35">
        <f>Expense!I166</f>
        <v>113.38059952917274</v>
      </c>
      <c r="J21" s="35">
        <f>Expense!J166</f>
        <v>158.60061520894425</v>
      </c>
      <c r="K21" s="35">
        <f>Expense!K166</f>
        <v>159.79278614366484</v>
      </c>
      <c r="L21" s="35">
        <f>Expense!L166</f>
        <v>158.81164021681585</v>
      </c>
    </row>
    <row r="22" spans="2:12" x14ac:dyDescent="0.35">
      <c r="D22" s="35"/>
      <c r="E22" s="35"/>
      <c r="F22" s="35"/>
      <c r="G22" s="35"/>
      <c r="H22" s="35"/>
      <c r="I22" s="35"/>
      <c r="J22" s="35"/>
      <c r="K22" s="35"/>
      <c r="L22" s="35"/>
    </row>
    <row r="23" spans="2:12" x14ac:dyDescent="0.35">
      <c r="B23" t="s">
        <v>181</v>
      </c>
      <c r="D23" s="35">
        <f t="shared" ref="D23:L23" si="6">D19-D21</f>
        <v>685.55500000000018</v>
      </c>
      <c r="E23" s="35">
        <f t="shared" si="6"/>
        <v>755.39300000000003</v>
      </c>
      <c r="F23" s="35">
        <f t="shared" si="6"/>
        <v>688.60400000000004</v>
      </c>
      <c r="G23" s="35">
        <f t="shared" si="6"/>
        <v>69.240999999999943</v>
      </c>
      <c r="H23" s="35">
        <f t="shared" si="6"/>
        <v>197.35940371860272</v>
      </c>
      <c r="I23" s="35">
        <f t="shared" si="6"/>
        <v>556.40632547018333</v>
      </c>
      <c r="J23" s="35">
        <f t="shared" si="6"/>
        <v>778.02384240165634</v>
      </c>
      <c r="K23" s="35">
        <f t="shared" si="6"/>
        <v>783.97132657682528</v>
      </c>
      <c r="L23" s="35">
        <f t="shared" si="6"/>
        <v>779.18102587515079</v>
      </c>
    </row>
    <row r="24" spans="2:12" x14ac:dyDescent="0.35">
      <c r="D24" s="35"/>
      <c r="E24" s="35"/>
      <c r="F24" s="35"/>
      <c r="G24" s="35"/>
      <c r="H24" s="35"/>
      <c r="I24" s="35"/>
      <c r="J24" s="35"/>
      <c r="K24" s="35"/>
      <c r="L24" s="35"/>
    </row>
    <row r="25" spans="2:12" x14ac:dyDescent="0.35">
      <c r="B25" t="s">
        <v>182</v>
      </c>
      <c r="D25" s="35">
        <v>-12.847</v>
      </c>
      <c r="E25" s="35">
        <v>-7.3999999999999996E-2</v>
      </c>
      <c r="F25" s="35">
        <v>0.113</v>
      </c>
      <c r="G25" s="35">
        <v>-0.78100000000000003</v>
      </c>
      <c r="H25" s="36">
        <v>0</v>
      </c>
      <c r="I25" s="36">
        <v>0</v>
      </c>
      <c r="J25" s="36">
        <v>0</v>
      </c>
      <c r="K25" s="36">
        <v>0</v>
      </c>
      <c r="L25" s="36">
        <v>0</v>
      </c>
    </row>
    <row r="26" spans="2:12" x14ac:dyDescent="0.35">
      <c r="D26" s="35"/>
      <c r="E26" s="35"/>
      <c r="F26" s="35"/>
      <c r="G26" s="35"/>
      <c r="H26" s="35"/>
      <c r="I26" s="35"/>
      <c r="J26" s="35"/>
      <c r="K26" s="35"/>
      <c r="L26" s="35"/>
    </row>
    <row r="27" spans="2:12" x14ac:dyDescent="0.35">
      <c r="B27" t="s">
        <v>209</v>
      </c>
      <c r="D27" s="35">
        <f t="shared" ref="D27:L27" si="7">D23+D21-D15-D17+D9+D8+D7-D16</f>
        <v>1114.8720000000003</v>
      </c>
      <c r="E27" s="35">
        <f t="shared" si="7"/>
        <v>1227.5730000000001</v>
      </c>
      <c r="F27" s="35">
        <f t="shared" si="7"/>
        <v>1182.672</v>
      </c>
      <c r="G27" s="35">
        <f t="shared" si="7"/>
        <v>383.77499999999992</v>
      </c>
      <c r="H27" s="35">
        <f t="shared" si="7"/>
        <v>496.84300366072614</v>
      </c>
      <c r="I27" s="35">
        <f t="shared" si="7"/>
        <v>996.72810196483556</v>
      </c>
      <c r="J27" s="35">
        <f t="shared" si="7"/>
        <v>1290.2831677987856</v>
      </c>
      <c r="K27" s="35">
        <f t="shared" si="7"/>
        <v>1268.1221047804218</v>
      </c>
      <c r="L27" s="35">
        <f t="shared" si="7"/>
        <v>1262.4424568185648</v>
      </c>
    </row>
    <row r="28" spans="2:12" x14ac:dyDescent="0.35">
      <c r="B28" s="1" t="s">
        <v>210</v>
      </c>
      <c r="D28" s="35">
        <f>-Expense!D119</f>
        <v>-73.034999999999997</v>
      </c>
      <c r="E28" s="35">
        <f>-Expense!E119</f>
        <v>-0.41</v>
      </c>
      <c r="F28" s="35">
        <f>-Expense!F119</f>
        <v>-1.91</v>
      </c>
      <c r="G28" s="35">
        <f>-Expense!G119</f>
        <v>41.84</v>
      </c>
      <c r="H28" s="35">
        <f>-Expense!H119</f>
        <v>0</v>
      </c>
      <c r="I28" s="35">
        <f>-Expense!I119</f>
        <v>0</v>
      </c>
      <c r="J28" s="35">
        <f>-Expense!J119</f>
        <v>0</v>
      </c>
      <c r="K28" s="35">
        <f>-Expense!K119</f>
        <v>0</v>
      </c>
      <c r="L28" s="35">
        <f>-Expense!L119</f>
        <v>0</v>
      </c>
    </row>
    <row r="29" spans="2:12" x14ac:dyDescent="0.35">
      <c r="B29" s="1" t="s">
        <v>279</v>
      </c>
      <c r="D29" s="35">
        <v>109.337</v>
      </c>
      <c r="E29" s="35">
        <v>2.512</v>
      </c>
      <c r="F29" s="35">
        <f>8.871</f>
        <v>8.8710000000000004</v>
      </c>
      <c r="G29" s="35">
        <v>1.3979999999999999</v>
      </c>
      <c r="H29" s="36">
        <v>0</v>
      </c>
      <c r="I29" s="36">
        <v>0</v>
      </c>
      <c r="J29" s="36">
        <v>0</v>
      </c>
      <c r="K29" s="36">
        <v>0</v>
      </c>
      <c r="L29" s="36">
        <v>0</v>
      </c>
    </row>
    <row r="30" spans="2:12" x14ac:dyDescent="0.35">
      <c r="B30" s="1"/>
      <c r="D30" s="35"/>
      <c r="E30" s="35"/>
      <c r="F30" s="35"/>
      <c r="G30" s="35"/>
      <c r="H30" s="35"/>
      <c r="I30" s="35"/>
      <c r="J30" s="35"/>
      <c r="K30" s="35"/>
      <c r="L30" s="35"/>
    </row>
    <row r="31" spans="2:12" x14ac:dyDescent="0.35">
      <c r="B31" t="s">
        <v>211</v>
      </c>
      <c r="D31" s="35">
        <f>D27+D28+D29</f>
        <v>1151.1740000000002</v>
      </c>
      <c r="E31" s="35">
        <f t="shared" ref="E31:L31" si="8">E27+E28+E29</f>
        <v>1229.675</v>
      </c>
      <c r="F31" s="35">
        <f>F27+F28+F29</f>
        <v>1189.633</v>
      </c>
      <c r="G31" s="35">
        <f t="shared" si="8"/>
        <v>427.01299999999992</v>
      </c>
      <c r="H31" s="35">
        <f t="shared" si="8"/>
        <v>496.84300366072614</v>
      </c>
      <c r="I31" s="35">
        <f t="shared" si="8"/>
        <v>996.72810196483556</v>
      </c>
      <c r="J31" s="35">
        <f t="shared" si="8"/>
        <v>1290.2831677987856</v>
      </c>
      <c r="K31" s="35">
        <f t="shared" si="8"/>
        <v>1268.1221047804218</v>
      </c>
      <c r="L31" s="35">
        <f t="shared" si="8"/>
        <v>1262.4424568185648</v>
      </c>
    </row>
    <row r="33" spans="2:14" x14ac:dyDescent="0.35">
      <c r="B33" s="14" t="s">
        <v>214</v>
      </c>
      <c r="C33" s="15" t="s">
        <v>3</v>
      </c>
      <c r="D33" s="16">
        <f t="shared" ref="D33:L33" si="9">D2</f>
        <v>43100</v>
      </c>
      <c r="E33" s="16">
        <f t="shared" si="9"/>
        <v>43465</v>
      </c>
      <c r="F33" s="16">
        <f t="shared" si="9"/>
        <v>43830</v>
      </c>
      <c r="G33" s="16">
        <f t="shared" si="9"/>
        <v>44196</v>
      </c>
      <c r="H33" s="16">
        <f t="shared" si="9"/>
        <v>44561</v>
      </c>
      <c r="I33" s="16">
        <f t="shared" si="9"/>
        <v>44926</v>
      </c>
      <c r="J33" s="16">
        <f t="shared" si="9"/>
        <v>45291</v>
      </c>
      <c r="K33" s="16">
        <f t="shared" si="9"/>
        <v>45657</v>
      </c>
      <c r="L33" s="16">
        <f t="shared" si="9"/>
        <v>46022</v>
      </c>
    </row>
    <row r="35" spans="2:14" x14ac:dyDescent="0.35">
      <c r="B35" s="54"/>
      <c r="C35" s="52"/>
      <c r="D35" s="53"/>
      <c r="E35" s="53"/>
      <c r="F35" s="53"/>
      <c r="G35" s="53"/>
      <c r="H35" s="53"/>
      <c r="I35" s="53"/>
      <c r="J35" s="53"/>
      <c r="K35" s="53"/>
      <c r="L35" s="53"/>
    </row>
    <row r="36" spans="2:14" x14ac:dyDescent="0.35">
      <c r="B36" s="55" t="s">
        <v>319</v>
      </c>
      <c r="C36" s="52"/>
      <c r="D36" s="53">
        <f>Combined!D44+Combined!D40</f>
        <v>129.947</v>
      </c>
      <c r="E36" s="53">
        <f>Combined!E44+Combined!E40</f>
        <v>145.33500000000001</v>
      </c>
      <c r="F36" s="53">
        <f>Combined!F44+Combined!F40</f>
        <v>138.42500000000001</v>
      </c>
      <c r="G36" s="53">
        <f>Combined!G44+Combined!G40</f>
        <v>63.573999999999998</v>
      </c>
      <c r="H36" s="53">
        <f>Combined!H44+Combined!H40</f>
        <v>74.664791780821915</v>
      </c>
      <c r="I36" s="53">
        <f>Combined!I44+Combined!I40</f>
        <v>114.24156111840871</v>
      </c>
      <c r="J36" s="53">
        <f>Combined!J44+Combined!J40</f>
        <v>141.05195139801089</v>
      </c>
      <c r="K36" s="53">
        <f>Combined!K44+Combined!K40</f>
        <v>141.05195139801089</v>
      </c>
      <c r="L36" s="53">
        <f>Combined!L44+Combined!L40</f>
        <v>134.09935382811034</v>
      </c>
    </row>
    <row r="37" spans="2:14" x14ac:dyDescent="0.35">
      <c r="B37" s="55" t="s">
        <v>320</v>
      </c>
      <c r="C37" s="52"/>
      <c r="D37" s="53">
        <f>Combined!D36</f>
        <v>5068.857</v>
      </c>
      <c r="E37" s="53">
        <f>Combined!E36</f>
        <v>4857.0460000000003</v>
      </c>
      <c r="F37" s="53">
        <f>Combined!F36</f>
        <v>4667.0619999999999</v>
      </c>
      <c r="G37" s="53">
        <f>Combined!G36</f>
        <v>4453.3069999999998</v>
      </c>
      <c r="H37" s="53">
        <f>Combined!H36</f>
        <v>4327.7407599999997</v>
      </c>
      <c r="I37" s="53">
        <f>Combined!I36</f>
        <v>4207.9788799999997</v>
      </c>
      <c r="J37" s="53">
        <f>Combined!J36</f>
        <v>4116.9603999999999</v>
      </c>
      <c r="K37" s="53">
        <f>Combined!K36</f>
        <v>3945.4603999999999</v>
      </c>
      <c r="L37" s="53">
        <f>Combined!L36</f>
        <v>3802.7038000000002</v>
      </c>
    </row>
    <row r="38" spans="2:14" x14ac:dyDescent="0.35">
      <c r="B38" s="55" t="s">
        <v>183</v>
      </c>
      <c r="C38" s="52"/>
      <c r="D38" s="53">
        <f>Combined!D37</f>
        <v>124.81200000000001</v>
      </c>
      <c r="E38" s="53">
        <f>Combined!E37</f>
        <v>103.31300000000002</v>
      </c>
      <c r="F38" s="53">
        <f>Combined!F37</f>
        <v>152.88000000000002</v>
      </c>
      <c r="G38" s="53">
        <f>Combined!G37</f>
        <v>131.29300000000001</v>
      </c>
      <c r="H38" s="53">
        <f>Combined!H37</f>
        <v>105.53900000000002</v>
      </c>
      <c r="I38" s="53">
        <f>Combined!I37</f>
        <v>156.78500000000003</v>
      </c>
      <c r="J38" s="53">
        <f>Combined!J37</f>
        <v>130.03100000000001</v>
      </c>
      <c r="K38" s="53">
        <f>Combined!K37</f>
        <v>103.277</v>
      </c>
      <c r="L38" s="53">
        <f>Combined!L37</f>
        <v>159.85633333333334</v>
      </c>
    </row>
    <row r="39" spans="2:14" x14ac:dyDescent="0.35">
      <c r="B39" s="55" t="s">
        <v>321</v>
      </c>
      <c r="C39" s="52"/>
      <c r="D39" s="53">
        <f>Combined!D38+Combined!D39</f>
        <v>271.59199999999998</v>
      </c>
      <c r="E39" s="53">
        <f>Combined!E38+Combined!E39</f>
        <v>279.38299999999998</v>
      </c>
      <c r="F39" s="53">
        <f>Combined!F38+Combined!F39</f>
        <v>295.49</v>
      </c>
      <c r="G39" s="53">
        <f>Combined!G38+Combined!G39</f>
        <v>101.399</v>
      </c>
      <c r="H39" s="53">
        <f>Combined!H38+Combined!H39</f>
        <v>103.17893543000001</v>
      </c>
      <c r="I39" s="53">
        <f>Combined!I38+Combined!I39</f>
        <v>106.02115731657534</v>
      </c>
      <c r="J39" s="53">
        <f>Combined!J38+Combined!J39</f>
        <v>109.70081958044521</v>
      </c>
      <c r="K39" s="53">
        <f>Combined!K38+Combined!K39</f>
        <v>113.50736674996575</v>
      </c>
      <c r="L39" s="53">
        <f>Combined!L38+Combined!L39</f>
        <v>117.31391391948631</v>
      </c>
    </row>
    <row r="40" spans="2:14" x14ac:dyDescent="0.35">
      <c r="B40" s="55" t="s">
        <v>108</v>
      </c>
      <c r="C40" s="52"/>
      <c r="D40" s="53">
        <f>Combined!D43</f>
        <v>60.386000000000003</v>
      </c>
      <c r="E40" s="53">
        <f>Combined!E43</f>
        <v>48.805999999999997</v>
      </c>
      <c r="F40" s="53">
        <f>Combined!F43</f>
        <v>48.695</v>
      </c>
      <c r="G40" s="53">
        <f>Combined!G43</f>
        <v>43.783999999999999</v>
      </c>
      <c r="H40" s="53">
        <f>Combined!H43</f>
        <v>44.10739000539084</v>
      </c>
      <c r="I40" s="53">
        <f>Combined!I43</f>
        <v>46.546369997805897</v>
      </c>
      <c r="J40" s="53">
        <f>Combined!J43</f>
        <v>50.002467796034999</v>
      </c>
      <c r="K40" s="53">
        <f>Combined!K43</f>
        <v>49.756792848486768</v>
      </c>
      <c r="L40" s="53">
        <f>Combined!L43</f>
        <v>49.962351221557469</v>
      </c>
    </row>
    <row r="41" spans="2:14" x14ac:dyDescent="0.35">
      <c r="B41" s="56" t="s">
        <v>47</v>
      </c>
      <c r="D41" s="35">
        <f>Combined!D45</f>
        <v>3951.1800000000003</v>
      </c>
      <c r="E41" s="35">
        <f>Combined!E45</f>
        <v>4333.0879999999997</v>
      </c>
      <c r="F41" s="35">
        <f>Combined!F45</f>
        <v>3947.25</v>
      </c>
      <c r="G41" s="35">
        <f>Combined!G45</f>
        <v>3994.0839999999998</v>
      </c>
      <c r="H41" s="36">
        <f>H75</f>
        <v>4050.6266609458239</v>
      </c>
      <c r="I41" s="36">
        <f>I75</f>
        <v>4229.8634713430647</v>
      </c>
      <c r="J41" s="36">
        <f t="shared" ref="J41:L41" si="10">J75</f>
        <v>4820.5679259453264</v>
      </c>
      <c r="K41" s="36">
        <f t="shared" si="10"/>
        <v>5443.6822705747736</v>
      </c>
      <c r="L41" s="36">
        <f t="shared" si="10"/>
        <v>5921.5327081742407</v>
      </c>
      <c r="N41" s="50"/>
    </row>
    <row r="42" spans="2:14" x14ac:dyDescent="0.35">
      <c r="B42" s="61" t="s">
        <v>318</v>
      </c>
      <c r="C42" s="13"/>
      <c r="D42" s="46">
        <f>SUM(D36:D41)</f>
        <v>9606.7740000000013</v>
      </c>
      <c r="E42" s="46">
        <f t="shared" ref="E42:L42" si="11">SUM(E36:E41)</f>
        <v>9766.9709999999995</v>
      </c>
      <c r="F42" s="46">
        <f t="shared" si="11"/>
        <v>9249.8019999999997</v>
      </c>
      <c r="G42" s="46">
        <f t="shared" si="11"/>
        <v>8787.4409999999989</v>
      </c>
      <c r="H42" s="46">
        <f>SUM(H36:H41)</f>
        <v>8705.8575381620358</v>
      </c>
      <c r="I42" s="46">
        <f t="shared" si="11"/>
        <v>8861.4364397758545</v>
      </c>
      <c r="J42" s="46">
        <f t="shared" si="11"/>
        <v>9368.314564719818</v>
      </c>
      <c r="K42" s="46">
        <f t="shared" si="11"/>
        <v>9796.7357815712367</v>
      </c>
      <c r="L42" s="46">
        <f t="shared" si="11"/>
        <v>10185.468460476728</v>
      </c>
      <c r="N42" s="50"/>
    </row>
    <row r="43" spans="2:14" x14ac:dyDescent="0.35">
      <c r="B43" s="56"/>
      <c r="D43" s="35"/>
      <c r="E43" s="35"/>
      <c r="F43" s="35"/>
      <c r="G43" s="35"/>
      <c r="H43" s="35"/>
      <c r="I43" s="35"/>
      <c r="J43" s="35"/>
      <c r="K43" s="35"/>
      <c r="L43" s="35"/>
    </row>
    <row r="44" spans="2:14" x14ac:dyDescent="0.35">
      <c r="B44" s="56" t="s">
        <v>173</v>
      </c>
      <c r="D44" s="35">
        <f>'Balance Sheet'!D42</f>
        <v>1216</v>
      </c>
      <c r="E44" s="35">
        <f>'Balance Sheet'!E42</f>
        <v>1038.57</v>
      </c>
      <c r="F44" s="35">
        <f>'Balance Sheet'!F42</f>
        <v>260.64499999999998</v>
      </c>
      <c r="G44" s="35">
        <f>'Balance Sheet'!G42</f>
        <v>266.76900000000001</v>
      </c>
      <c r="H44" s="35">
        <f>'Balance Sheet'!H42</f>
        <v>269.44191119999999</v>
      </c>
      <c r="I44" s="35">
        <f>'Balance Sheet'!I42</f>
        <v>14.256726400000002</v>
      </c>
      <c r="J44" s="35">
        <f>'Balance Sheet'!J42</f>
        <v>16.096304</v>
      </c>
      <c r="K44" s="35">
        <f>'Balance Sheet'!K42</f>
        <v>16.096304</v>
      </c>
      <c r="L44" s="35">
        <f>'Balance Sheet'!L42</f>
        <v>16.096304</v>
      </c>
    </row>
    <row r="45" spans="2:14" x14ac:dyDescent="0.35">
      <c r="B45" s="56" t="s">
        <v>322</v>
      </c>
      <c r="D45" s="35">
        <f>Combined!D57+Combined!D50</f>
        <v>465.12700000000001</v>
      </c>
      <c r="E45" s="35">
        <f>Combined!E57+Combined!E50</f>
        <v>456.43400000000003</v>
      </c>
      <c r="F45" s="35">
        <f>Combined!F57+Combined!F50</f>
        <v>490.291</v>
      </c>
      <c r="G45" s="35">
        <f>Combined!G57+Combined!G50</f>
        <v>343.34899999999999</v>
      </c>
      <c r="H45" s="35">
        <f>Combined!H57+Combined!H50</f>
        <v>363.43732945615983</v>
      </c>
      <c r="I45" s="35">
        <f>Combined!I57+Combined!I50</f>
        <v>449.03999640741392</v>
      </c>
      <c r="J45" s="35">
        <f>Combined!J57+Combined!J50</f>
        <v>500.22467796034999</v>
      </c>
      <c r="K45" s="35">
        <f>Combined!K57+Combined!K50</f>
        <v>497.76792848486764</v>
      </c>
      <c r="L45" s="35">
        <f>Combined!L57+Combined!L50</f>
        <v>461.3909343528382</v>
      </c>
    </row>
    <row r="46" spans="2:14" x14ac:dyDescent="0.35">
      <c r="B46" s="56" t="s">
        <v>323</v>
      </c>
      <c r="D46" s="35">
        <f>Combined!D52+Combined!D55</f>
        <v>483.61099999999999</v>
      </c>
      <c r="E46" s="35">
        <f>Combined!E52+Combined!E55</f>
        <v>490.13</v>
      </c>
      <c r="F46" s="35">
        <f>Combined!F52+Combined!F55</f>
        <v>441.012</v>
      </c>
      <c r="G46" s="35">
        <f>Combined!G52+Combined!G55</f>
        <v>341.55600000000004</v>
      </c>
      <c r="H46" s="35">
        <f>Combined!H52+Combined!H55</f>
        <v>334.95117408727413</v>
      </c>
      <c r="I46" s="35">
        <f>Combined!I52+Combined!I55</f>
        <v>396.28305062760012</v>
      </c>
      <c r="J46" s="35">
        <f>Combined!J52+Combined!J55</f>
        <v>425.23537156491534</v>
      </c>
      <c r="K46" s="35">
        <f>Combined!K52+Combined!K55</f>
        <v>425.77184848553964</v>
      </c>
      <c r="L46" s="35">
        <f>Combined!L52+Combined!L55</f>
        <v>425.33033281845758</v>
      </c>
    </row>
    <row r="47" spans="2:14" x14ac:dyDescent="0.35">
      <c r="B47" s="56" t="s">
        <v>49</v>
      </c>
      <c r="D47" s="35">
        <f>Combined!D58</f>
        <v>0.47599999999999998</v>
      </c>
      <c r="E47" s="35">
        <f>Combined!E58</f>
        <v>0.49</v>
      </c>
      <c r="F47" s="35">
        <f>Combined!F58</f>
        <v>0.26300000000000001</v>
      </c>
      <c r="G47" s="35">
        <f>Combined!G58</f>
        <v>0.20499999999999999</v>
      </c>
      <c r="H47" s="35">
        <f>Combined!H58</f>
        <v>0.20499999999999999</v>
      </c>
      <c r="I47" s="35">
        <f>Combined!I58</f>
        <v>0.20499999999999999</v>
      </c>
      <c r="J47" s="35">
        <f>Combined!J58</f>
        <v>0.20499999999999999</v>
      </c>
      <c r="K47" s="35">
        <f>Combined!K58</f>
        <v>0.20499999999999999</v>
      </c>
      <c r="L47" s="35">
        <f>Combined!L58</f>
        <v>0.20499999999999999</v>
      </c>
    </row>
    <row r="48" spans="2:14" x14ac:dyDescent="0.35">
      <c r="B48" s="61" t="s">
        <v>227</v>
      </c>
      <c r="C48" s="13"/>
      <c r="D48" s="46">
        <f>SUM(D44:D47)</f>
        <v>2165.2139999999999</v>
      </c>
      <c r="E48" s="46">
        <f t="shared" ref="E48:L48" si="12">SUM(E44:E47)</f>
        <v>1985.624</v>
      </c>
      <c r="F48" s="46">
        <f t="shared" si="12"/>
        <v>1192.2109999999998</v>
      </c>
      <c r="G48" s="46">
        <f t="shared" si="12"/>
        <v>951.87900000000002</v>
      </c>
      <c r="H48" s="46">
        <f t="shared" si="12"/>
        <v>968.03541474343399</v>
      </c>
      <c r="I48" s="46">
        <f t="shared" si="12"/>
        <v>859.78477343501402</v>
      </c>
      <c r="J48" s="46">
        <f t="shared" si="12"/>
        <v>941.76135352526535</v>
      </c>
      <c r="K48" s="46">
        <f t="shared" si="12"/>
        <v>939.84108097040735</v>
      </c>
      <c r="L48" s="46">
        <f t="shared" si="12"/>
        <v>903.02257117129579</v>
      </c>
    </row>
    <row r="49" spans="2:12" x14ac:dyDescent="0.35">
      <c r="D49" s="35"/>
      <c r="E49" s="35"/>
      <c r="F49" s="35"/>
      <c r="G49" s="35"/>
      <c r="H49" s="35"/>
      <c r="I49" s="35"/>
      <c r="J49" s="35"/>
      <c r="K49" s="35"/>
      <c r="L49" s="35"/>
    </row>
    <row r="50" spans="2:12" x14ac:dyDescent="0.35">
      <c r="B50" s="10" t="s">
        <v>229</v>
      </c>
      <c r="D50" s="35">
        <f>'Balance Sheet'!D121</f>
        <v>7441.56</v>
      </c>
      <c r="E50" s="35">
        <f>'Balance Sheet'!E121</f>
        <v>7781.3469999999998</v>
      </c>
      <c r="F50" s="35">
        <f>'Balance Sheet'!F121</f>
        <v>8057.5910000000003</v>
      </c>
      <c r="G50" s="35">
        <f>'Balance Sheet'!G121</f>
        <v>7835.5619999999999</v>
      </c>
      <c r="H50" s="35">
        <f>'Balance Sheet'!H121</f>
        <v>7737.822123418603</v>
      </c>
      <c r="I50" s="35">
        <f>'Balance Sheet'!I121</f>
        <v>8001.651666340842</v>
      </c>
      <c r="J50" s="35">
        <f>'Balance Sheet'!J121</f>
        <v>8426.5532111945522</v>
      </c>
      <c r="K50" s="35">
        <f>'Balance Sheet'!K121</f>
        <v>8856.8947006008293</v>
      </c>
      <c r="L50" s="35">
        <f>'Balance Sheet'!L121</f>
        <v>9282.4458893054325</v>
      </c>
    </row>
    <row r="52" spans="2:12" x14ac:dyDescent="0.35">
      <c r="B52" s="10" t="s">
        <v>237</v>
      </c>
      <c r="D52" s="31">
        <f>D50+D48-D42</f>
        <v>0</v>
      </c>
      <c r="E52" s="31">
        <f t="shared" ref="E52:G52" si="13">E50+E48-E42</f>
        <v>0</v>
      </c>
      <c r="F52" s="31">
        <f t="shared" si="13"/>
        <v>0</v>
      </c>
      <c r="G52" s="31">
        <f t="shared" si="13"/>
        <v>0</v>
      </c>
      <c r="H52" s="31">
        <f>ROUNDDOWN(H50+H48-H42,3)</f>
        <v>0</v>
      </c>
      <c r="I52" s="31">
        <f t="shared" ref="I52:L52" si="14">ROUNDDOWN(I50+I48-I42,3)</f>
        <v>0</v>
      </c>
      <c r="J52" s="31">
        <f t="shared" si="14"/>
        <v>0</v>
      </c>
      <c r="K52" s="31">
        <f t="shared" si="14"/>
        <v>0</v>
      </c>
      <c r="L52" s="31">
        <f t="shared" si="14"/>
        <v>0</v>
      </c>
    </row>
    <row r="53" spans="2:12" x14ac:dyDescent="0.35">
      <c r="H53" s="57"/>
      <c r="I53" s="57"/>
      <c r="J53" s="57"/>
      <c r="K53" s="57"/>
      <c r="L53" s="57"/>
    </row>
    <row r="54" spans="2:12" x14ac:dyDescent="0.35">
      <c r="B54" s="14" t="s">
        <v>313</v>
      </c>
      <c r="C54" s="15" t="s">
        <v>3</v>
      </c>
      <c r="D54" s="16">
        <f t="shared" ref="D54:L54" si="15">D2</f>
        <v>43100</v>
      </c>
      <c r="E54" s="16">
        <f t="shared" si="15"/>
        <v>43465</v>
      </c>
      <c r="F54" s="16">
        <f t="shared" si="15"/>
        <v>43830</v>
      </c>
      <c r="G54" s="16">
        <f t="shared" si="15"/>
        <v>44196</v>
      </c>
      <c r="H54" s="16">
        <f t="shared" si="15"/>
        <v>44561</v>
      </c>
      <c r="I54" s="16">
        <f t="shared" si="15"/>
        <v>44926</v>
      </c>
      <c r="J54" s="16">
        <f t="shared" si="15"/>
        <v>45291</v>
      </c>
      <c r="K54" s="16">
        <f t="shared" si="15"/>
        <v>45657</v>
      </c>
      <c r="L54" s="16">
        <f t="shared" si="15"/>
        <v>46022</v>
      </c>
    </row>
    <row r="56" spans="2:12" x14ac:dyDescent="0.35">
      <c r="B56" t="s">
        <v>181</v>
      </c>
      <c r="D56" s="35"/>
      <c r="E56" s="35"/>
      <c r="F56" s="35"/>
      <c r="G56" s="35"/>
      <c r="H56" s="35">
        <f>H23</f>
        <v>197.35940371860272</v>
      </c>
      <c r="I56" s="35">
        <f>I23</f>
        <v>556.40632547018333</v>
      </c>
      <c r="J56" s="35">
        <f>J23</f>
        <v>778.02384240165634</v>
      </c>
      <c r="K56" s="35">
        <f>K23</f>
        <v>783.97132657682528</v>
      </c>
      <c r="L56" s="35">
        <f>L23</f>
        <v>779.18102587515079</v>
      </c>
    </row>
    <row r="57" spans="2:12" x14ac:dyDescent="0.35">
      <c r="B57" s="1" t="s">
        <v>249</v>
      </c>
      <c r="D57" s="35"/>
      <c r="E57" s="35"/>
      <c r="F57" s="35"/>
      <c r="G57" s="35"/>
      <c r="H57" s="35">
        <f>CF!H14</f>
        <v>313.21615463000001</v>
      </c>
      <c r="I57" s="35">
        <f>CF!I14</f>
        <v>380.74117696547955</v>
      </c>
      <c r="J57" s="35">
        <f>CF!J14</f>
        <v>407.45871018818491</v>
      </c>
      <c r="K57" s="35">
        <f>CF!K14</f>
        <v>378.15799205993159</v>
      </c>
      <c r="L57" s="35">
        <f>CF!L14</f>
        <v>378.24979072659818</v>
      </c>
    </row>
    <row r="58" spans="2:12" x14ac:dyDescent="0.35">
      <c r="B58" s="11" t="s">
        <v>250</v>
      </c>
      <c r="C58" s="13"/>
      <c r="D58" s="46"/>
      <c r="E58" s="46"/>
      <c r="F58" s="46"/>
      <c r="G58" s="46"/>
      <c r="H58" s="46">
        <f t="shared" ref="H58:L58" si="16">H56+H57</f>
        <v>510.57555834860273</v>
      </c>
      <c r="I58" s="46">
        <f t="shared" si="16"/>
        <v>937.14750243566289</v>
      </c>
      <c r="J58" s="46">
        <f t="shared" si="16"/>
        <v>1185.4825525898414</v>
      </c>
      <c r="K58" s="46">
        <f t="shared" si="16"/>
        <v>1162.1293186367568</v>
      </c>
      <c r="L58" s="46">
        <f t="shared" si="16"/>
        <v>1157.430816601749</v>
      </c>
    </row>
    <row r="59" spans="2:12" x14ac:dyDescent="0.35">
      <c r="D59" s="35"/>
      <c r="E59" s="35"/>
      <c r="F59" s="35"/>
      <c r="G59" s="35"/>
      <c r="H59" s="35"/>
      <c r="I59" s="35"/>
      <c r="J59" s="35"/>
      <c r="K59" s="35"/>
      <c r="L59" s="35"/>
    </row>
    <row r="60" spans="2:12" x14ac:dyDescent="0.35">
      <c r="B60" t="s">
        <v>254</v>
      </c>
      <c r="D60" s="35"/>
      <c r="E60" s="35"/>
      <c r="F60" s="35"/>
      <c r="G60" s="35"/>
      <c r="H60" s="35">
        <f>G36-H36+G40-H40+H45-G45</f>
        <v>8.6741476699471036</v>
      </c>
      <c r="I60" s="35">
        <f t="shared" ref="I60:L60" si="17">H36-I36+H40-I40+I45-H45</f>
        <v>43.586917621252212</v>
      </c>
      <c r="J60" s="35">
        <f t="shared" si="17"/>
        <v>20.918193475104772</v>
      </c>
      <c r="K60" s="35">
        <f t="shared" si="17"/>
        <v>-2.2110745279341018</v>
      </c>
      <c r="L60" s="35">
        <f t="shared" si="17"/>
        <v>-29.629954935199578</v>
      </c>
    </row>
    <row r="61" spans="2:12" x14ac:dyDescent="0.35">
      <c r="D61" s="35"/>
      <c r="E61" s="35"/>
      <c r="F61" s="35"/>
      <c r="G61" s="35"/>
      <c r="H61" s="35"/>
      <c r="I61" s="35"/>
      <c r="J61" s="35"/>
      <c r="K61" s="35"/>
      <c r="L61" s="35"/>
    </row>
    <row r="62" spans="2:12" x14ac:dyDescent="0.35">
      <c r="B62" t="s">
        <v>309</v>
      </c>
      <c r="D62" s="35"/>
      <c r="E62" s="35"/>
      <c r="F62" s="35"/>
      <c r="G62" s="35"/>
      <c r="H62" s="35">
        <f>CF!H29</f>
        <v>0</v>
      </c>
      <c r="I62" s="35">
        <f>CF!I29</f>
        <v>0</v>
      </c>
      <c r="J62" s="35">
        <f>CF!J29</f>
        <v>0</v>
      </c>
      <c r="K62" s="35">
        <f>CF!K29</f>
        <v>0</v>
      </c>
      <c r="L62" s="35">
        <f>CF!L29</f>
        <v>0</v>
      </c>
    </row>
    <row r="63" spans="2:12" x14ac:dyDescent="0.35">
      <c r="B63" t="s">
        <v>287</v>
      </c>
      <c r="D63" s="35"/>
      <c r="E63" s="35"/>
      <c r="F63" s="35"/>
      <c r="G63" s="35"/>
      <c r="H63" s="37">
        <f>H46-G46</f>
        <v>-6.6048259127259143</v>
      </c>
      <c r="I63" s="37">
        <f t="shared" ref="I63:L63" si="18">I46-H46</f>
        <v>61.331876540325993</v>
      </c>
      <c r="J63" s="37">
        <f t="shared" si="18"/>
        <v>28.952320937315221</v>
      </c>
      <c r="K63" s="37">
        <f t="shared" si="18"/>
        <v>0.53647692062429542</v>
      </c>
      <c r="L63" s="37">
        <f t="shared" si="18"/>
        <v>-0.44151566708205792</v>
      </c>
    </row>
    <row r="64" spans="2:12" x14ac:dyDescent="0.35">
      <c r="B64" t="s">
        <v>308</v>
      </c>
      <c r="D64" s="35"/>
      <c r="E64" s="35"/>
      <c r="F64" s="35"/>
      <c r="G64" s="35"/>
      <c r="H64" s="35">
        <f>H47-G47</f>
        <v>0</v>
      </c>
      <c r="I64" s="35">
        <f t="shared" ref="I64:L64" si="19">I47-H47</f>
        <v>0</v>
      </c>
      <c r="J64" s="35">
        <f t="shared" si="19"/>
        <v>0</v>
      </c>
      <c r="K64" s="35">
        <f t="shared" si="19"/>
        <v>0</v>
      </c>
      <c r="L64" s="35">
        <f t="shared" si="19"/>
        <v>0</v>
      </c>
    </row>
    <row r="65" spans="2:13" x14ac:dyDescent="0.35">
      <c r="D65" s="35"/>
      <c r="E65" s="35"/>
      <c r="F65" s="35"/>
      <c r="G65" s="35"/>
      <c r="H65" s="35"/>
      <c r="I65" s="35"/>
      <c r="J65" s="35"/>
      <c r="K65" s="35"/>
      <c r="L65" s="35"/>
    </row>
    <row r="66" spans="2:13" x14ac:dyDescent="0.35">
      <c r="B66" s="11" t="s">
        <v>255</v>
      </c>
      <c r="C66" s="13"/>
      <c r="D66" s="46"/>
      <c r="E66" s="46"/>
      <c r="F66" s="46"/>
      <c r="G66" s="46"/>
      <c r="H66" s="46">
        <f>H58+H60+H62+H63+H64</f>
        <v>512.64488010582397</v>
      </c>
      <c r="I66" s="46">
        <f t="shared" ref="I66:L66" si="20">I58+I60+I62+I63+I64</f>
        <v>1042.066296597241</v>
      </c>
      <c r="J66" s="46">
        <f t="shared" si="20"/>
        <v>1235.3530670022615</v>
      </c>
      <c r="K66" s="46">
        <f t="shared" si="20"/>
        <v>1160.4547210294472</v>
      </c>
      <c r="L66" s="46">
        <f t="shared" si="20"/>
        <v>1127.3593459994675</v>
      </c>
    </row>
    <row r="67" spans="2:13" x14ac:dyDescent="0.35">
      <c r="D67" s="35"/>
      <c r="E67" s="35"/>
      <c r="F67" s="35"/>
      <c r="G67" s="35"/>
      <c r="H67" s="35"/>
      <c r="I67" s="35"/>
      <c r="J67" s="35"/>
      <c r="K67" s="35"/>
      <c r="L67" s="35"/>
    </row>
    <row r="68" spans="2:13" x14ac:dyDescent="0.35">
      <c r="B68" t="s">
        <v>282</v>
      </c>
      <c r="D68" s="35"/>
      <c r="E68" s="35"/>
      <c r="F68" s="35"/>
      <c r="G68" s="35"/>
      <c r="H68" s="35">
        <f>CF!H54</f>
        <v>-152.09088799999989</v>
      </c>
      <c r="I68" s="35">
        <f>CF!I54</f>
        <v>-303.307096</v>
      </c>
      <c r="J68" s="35">
        <f>CF!J54</f>
        <v>-281.49049600000023</v>
      </c>
      <c r="K68" s="35">
        <f>CF!K54</f>
        <v>-172.45765600000004</v>
      </c>
      <c r="L68" s="35">
        <f>CF!L54</f>
        <v>-284.6261880000003</v>
      </c>
    </row>
    <row r="69" spans="2:13" x14ac:dyDescent="0.35">
      <c r="D69" s="35"/>
      <c r="E69" s="35"/>
      <c r="F69" s="35"/>
      <c r="G69" s="35"/>
      <c r="H69" s="35"/>
      <c r="I69" s="35"/>
      <c r="J69" s="35"/>
      <c r="K69" s="35"/>
      <c r="L69" s="35"/>
    </row>
    <row r="70" spans="2:13" x14ac:dyDescent="0.35">
      <c r="B70" t="s">
        <v>283</v>
      </c>
      <c r="D70" s="35"/>
      <c r="E70" s="35"/>
      <c r="F70" s="35"/>
      <c r="G70" s="35"/>
      <c r="H70" s="35">
        <f>CF!H69</f>
        <v>-304.01133116</v>
      </c>
      <c r="I70" s="35">
        <f>CF!I69</f>
        <v>-559.52239020000002</v>
      </c>
      <c r="J70" s="35">
        <f>CF!J69</f>
        <v>-363.15811639999998</v>
      </c>
      <c r="K70" s="35">
        <f>CF!K69</f>
        <v>-364.88272039999998</v>
      </c>
      <c r="L70" s="35">
        <f>CF!L69</f>
        <v>-364.88272039999998</v>
      </c>
    </row>
    <row r="71" spans="2:13" x14ac:dyDescent="0.35">
      <c r="D71" s="35"/>
      <c r="E71" s="35"/>
      <c r="F71" s="35"/>
      <c r="G71" s="35"/>
      <c r="H71" s="35"/>
      <c r="I71" s="35"/>
      <c r="J71" s="35"/>
      <c r="K71" s="35"/>
      <c r="L71" s="35"/>
    </row>
    <row r="72" spans="2:13" x14ac:dyDescent="0.35">
      <c r="B72" t="s">
        <v>284</v>
      </c>
      <c r="D72" s="35"/>
      <c r="E72" s="35"/>
      <c r="F72" s="35"/>
      <c r="G72" s="35"/>
      <c r="H72" s="35">
        <f>G41</f>
        <v>3994.0839999999998</v>
      </c>
      <c r="I72" s="35">
        <f t="shared" ref="I72:L72" si="21">H75</f>
        <v>4050.6266609458239</v>
      </c>
      <c r="J72" s="35">
        <f t="shared" si="21"/>
        <v>4229.8634713430647</v>
      </c>
      <c r="K72" s="35">
        <f t="shared" si="21"/>
        <v>4820.5679259453264</v>
      </c>
      <c r="L72" s="35">
        <f t="shared" si="21"/>
        <v>5443.6822705747736</v>
      </c>
    </row>
    <row r="73" spans="2:13" x14ac:dyDescent="0.35">
      <c r="B73" s="1" t="s">
        <v>281</v>
      </c>
      <c r="D73" s="35"/>
      <c r="E73" s="35"/>
      <c r="F73" s="35"/>
      <c r="G73" s="35"/>
      <c r="H73" s="36">
        <v>0</v>
      </c>
      <c r="I73" s="36">
        <v>0</v>
      </c>
      <c r="J73" s="36">
        <v>0</v>
      </c>
      <c r="K73" s="36">
        <v>0</v>
      </c>
      <c r="L73" s="36">
        <v>0</v>
      </c>
    </row>
    <row r="74" spans="2:13" x14ac:dyDescent="0.35">
      <c r="B74" s="1" t="s">
        <v>286</v>
      </c>
      <c r="D74" s="35"/>
      <c r="E74" s="35"/>
      <c r="F74" s="35"/>
      <c r="G74" s="35"/>
      <c r="H74" s="35">
        <f>H66+H68+H70</f>
        <v>56.542660945824082</v>
      </c>
      <c r="I74" s="35">
        <f>I66+I68+I70</f>
        <v>179.23681039724102</v>
      </c>
      <c r="J74" s="35">
        <f>J66+J68+J70</f>
        <v>590.70445460226119</v>
      </c>
      <c r="K74" s="35">
        <f>K66+K68+K70</f>
        <v>623.11434462944726</v>
      </c>
      <c r="L74" s="35">
        <f>L66+L68+L70</f>
        <v>477.85043759946717</v>
      </c>
    </row>
    <row r="75" spans="2:13" x14ac:dyDescent="0.35">
      <c r="B75" t="s">
        <v>285</v>
      </c>
      <c r="D75" s="35"/>
      <c r="E75" s="35"/>
      <c r="F75" s="35"/>
      <c r="G75" s="35"/>
      <c r="H75" s="35">
        <f>SUM(H72:H74)</f>
        <v>4050.6266609458239</v>
      </c>
      <c r="I75" s="35">
        <f>SUM(I72:I74)</f>
        <v>4229.8634713430647</v>
      </c>
      <c r="J75" s="35">
        <f>SUM(J72:J74)</f>
        <v>4820.5679259453264</v>
      </c>
      <c r="K75" s="35">
        <f>SUM(K72:K74)</f>
        <v>5443.6822705747736</v>
      </c>
      <c r="L75" s="35">
        <f>SUM(L72:L74)</f>
        <v>5921.5327081742407</v>
      </c>
    </row>
    <row r="76" spans="2:13" x14ac:dyDescent="0.35">
      <c r="D76" s="35"/>
      <c r="E76" s="35"/>
      <c r="F76" s="35"/>
      <c r="G76" s="35"/>
      <c r="H76" s="35"/>
      <c r="I76" s="35"/>
      <c r="J76" s="35"/>
      <c r="K76" s="35"/>
      <c r="L76" s="35"/>
    </row>
    <row r="78" spans="2:13" x14ac:dyDescent="0.35">
      <c r="B78" s="20" t="s">
        <v>366</v>
      </c>
      <c r="C78" s="20">
        <v>300</v>
      </c>
      <c r="D78" s="20">
        <v>400</v>
      </c>
      <c r="E78" s="91">
        <v>500</v>
      </c>
      <c r="F78" s="20">
        <v>600</v>
      </c>
      <c r="G78" s="20">
        <v>700</v>
      </c>
      <c r="H78" s="20">
        <v>800</v>
      </c>
      <c r="I78" s="20">
        <v>900</v>
      </c>
      <c r="J78" s="20">
        <v>1000</v>
      </c>
      <c r="K78" s="20">
        <v>1100</v>
      </c>
      <c r="L78" s="20">
        <v>1200</v>
      </c>
      <c r="M78" s="20">
        <v>1300</v>
      </c>
    </row>
    <row r="79" spans="2:13" x14ac:dyDescent="0.35">
      <c r="B79" s="92">
        <v>3900</v>
      </c>
      <c r="C79" s="90">
        <f>$B$79/C78</f>
        <v>13</v>
      </c>
      <c r="D79" s="90">
        <f t="shared" ref="D79:L79" si="22">$B$79/D78</f>
        <v>9.75</v>
      </c>
      <c r="E79" s="90">
        <f t="shared" si="22"/>
        <v>7.8</v>
      </c>
      <c r="F79" s="90">
        <f t="shared" si="22"/>
        <v>6.5</v>
      </c>
      <c r="G79" s="90">
        <f t="shared" si="22"/>
        <v>5.5714285714285712</v>
      </c>
      <c r="H79" s="90">
        <f t="shared" si="22"/>
        <v>4.875</v>
      </c>
      <c r="I79" s="90">
        <f t="shared" si="22"/>
        <v>4.333333333333333</v>
      </c>
      <c r="J79" s="90">
        <f t="shared" si="22"/>
        <v>3.9</v>
      </c>
      <c r="K79" s="90">
        <f t="shared" si="22"/>
        <v>3.5454545454545454</v>
      </c>
      <c r="L79" s="90">
        <f t="shared" si="22"/>
        <v>3.25</v>
      </c>
      <c r="M79" s="90">
        <f t="shared" ref="M79" si="23">$B$79/M78</f>
        <v>3</v>
      </c>
    </row>
    <row r="80" spans="2:13" x14ac:dyDescent="0.35">
      <c r="B80" s="92">
        <v>4000</v>
      </c>
      <c r="C80" s="90">
        <f>$B$80/C78</f>
        <v>13.333333333333334</v>
      </c>
      <c r="D80" s="90">
        <f t="shared" ref="D80:L80" si="24">$B$80/D78</f>
        <v>10</v>
      </c>
      <c r="E80" s="90">
        <f t="shared" si="24"/>
        <v>8</v>
      </c>
      <c r="F80" s="90">
        <f t="shared" si="24"/>
        <v>6.666666666666667</v>
      </c>
      <c r="G80" s="90">
        <f t="shared" si="24"/>
        <v>5.7142857142857144</v>
      </c>
      <c r="H80" s="90">
        <f t="shared" si="24"/>
        <v>5</v>
      </c>
      <c r="I80" s="90">
        <f t="shared" si="24"/>
        <v>4.4444444444444446</v>
      </c>
      <c r="J80" s="90">
        <f t="shared" si="24"/>
        <v>4</v>
      </c>
      <c r="K80" s="90">
        <f t="shared" si="24"/>
        <v>3.6363636363636362</v>
      </c>
      <c r="L80" s="90">
        <f t="shared" si="24"/>
        <v>3.3333333333333335</v>
      </c>
      <c r="M80" s="90">
        <f t="shared" ref="M80" si="25">$B$80/M78</f>
        <v>3.0769230769230771</v>
      </c>
    </row>
    <row r="81" spans="2:13" x14ac:dyDescent="0.35">
      <c r="B81" s="92">
        <v>4100</v>
      </c>
      <c r="C81" s="90">
        <f>$B$81/C78</f>
        <v>13.666666666666666</v>
      </c>
      <c r="D81" s="90">
        <f t="shared" ref="D81:L81" si="26">$B$81/D78</f>
        <v>10.25</v>
      </c>
      <c r="E81" s="90">
        <f t="shared" si="26"/>
        <v>8.1999999999999993</v>
      </c>
      <c r="F81" s="90">
        <f t="shared" si="26"/>
        <v>6.833333333333333</v>
      </c>
      <c r="G81" s="90">
        <f t="shared" si="26"/>
        <v>5.8571428571428568</v>
      </c>
      <c r="H81" s="90">
        <f t="shared" si="26"/>
        <v>5.125</v>
      </c>
      <c r="I81" s="90">
        <f t="shared" si="26"/>
        <v>4.5555555555555554</v>
      </c>
      <c r="J81" s="90">
        <f t="shared" si="26"/>
        <v>4.0999999999999996</v>
      </c>
      <c r="K81" s="90">
        <f t="shared" si="26"/>
        <v>3.7272727272727271</v>
      </c>
      <c r="L81" s="90">
        <f t="shared" si="26"/>
        <v>3.4166666666666665</v>
      </c>
      <c r="M81" s="90">
        <f t="shared" ref="M81" si="27">$B$81/M78</f>
        <v>3.1538461538461537</v>
      </c>
    </row>
    <row r="82" spans="2:13" x14ac:dyDescent="0.35">
      <c r="B82" s="92">
        <v>4200</v>
      </c>
      <c r="C82" s="90">
        <f>$B$82/C78</f>
        <v>14</v>
      </c>
      <c r="D82" s="90">
        <f t="shared" ref="D82:L82" si="28">$B$82/D78</f>
        <v>10.5</v>
      </c>
      <c r="E82" s="90">
        <f t="shared" si="28"/>
        <v>8.4</v>
      </c>
      <c r="F82" s="90">
        <f t="shared" si="28"/>
        <v>7</v>
      </c>
      <c r="G82" s="90">
        <f t="shared" si="28"/>
        <v>6</v>
      </c>
      <c r="H82" s="90">
        <f t="shared" si="28"/>
        <v>5.25</v>
      </c>
      <c r="I82" s="90">
        <f t="shared" si="28"/>
        <v>4.666666666666667</v>
      </c>
      <c r="J82" s="90">
        <f t="shared" si="28"/>
        <v>4.2</v>
      </c>
      <c r="K82" s="90">
        <f t="shared" si="28"/>
        <v>3.8181818181818183</v>
      </c>
      <c r="L82" s="90">
        <f t="shared" si="28"/>
        <v>3.5</v>
      </c>
      <c r="M82" s="90">
        <f t="shared" ref="M82" si="29">$B$82/M78</f>
        <v>3.2307692307692308</v>
      </c>
    </row>
    <row r="83" spans="2:13" x14ac:dyDescent="0.35">
      <c r="B83" s="92">
        <v>4300</v>
      </c>
      <c r="C83" s="90">
        <f>$B$83/C78</f>
        <v>14.333333333333334</v>
      </c>
      <c r="D83" s="90">
        <f t="shared" ref="D83:L83" si="30">$B$83/D78</f>
        <v>10.75</v>
      </c>
      <c r="E83" s="90">
        <f t="shared" si="30"/>
        <v>8.6</v>
      </c>
      <c r="F83" s="90">
        <f t="shared" si="30"/>
        <v>7.166666666666667</v>
      </c>
      <c r="G83" s="90">
        <f t="shared" si="30"/>
        <v>6.1428571428571432</v>
      </c>
      <c r="H83" s="90">
        <f t="shared" si="30"/>
        <v>5.375</v>
      </c>
      <c r="I83" s="90">
        <f t="shared" si="30"/>
        <v>4.7777777777777777</v>
      </c>
      <c r="J83" s="90">
        <f t="shared" si="30"/>
        <v>4.3</v>
      </c>
      <c r="K83" s="90">
        <f t="shared" si="30"/>
        <v>3.9090909090909092</v>
      </c>
      <c r="L83" s="90">
        <f t="shared" si="30"/>
        <v>3.5833333333333335</v>
      </c>
      <c r="M83" s="90">
        <f t="shared" ref="M83" si="31">$B$83/M78</f>
        <v>3.3076923076923075</v>
      </c>
    </row>
    <row r="84" spans="2:13" x14ac:dyDescent="0.35">
      <c r="B84" s="92">
        <v>4400</v>
      </c>
      <c r="C84" s="90">
        <f>$B$84/C78</f>
        <v>14.666666666666666</v>
      </c>
      <c r="D84" s="90">
        <f t="shared" ref="D84:L84" si="32">$B$84/D78</f>
        <v>11</v>
      </c>
      <c r="E84" s="90">
        <f t="shared" si="32"/>
        <v>8.8000000000000007</v>
      </c>
      <c r="F84" s="90">
        <f t="shared" si="32"/>
        <v>7.333333333333333</v>
      </c>
      <c r="G84" s="90">
        <f t="shared" si="32"/>
        <v>6.2857142857142856</v>
      </c>
      <c r="H84" s="90">
        <f t="shared" si="32"/>
        <v>5.5</v>
      </c>
      <c r="I84" s="90">
        <f t="shared" si="32"/>
        <v>4.8888888888888893</v>
      </c>
      <c r="J84" s="90">
        <f t="shared" si="32"/>
        <v>4.4000000000000004</v>
      </c>
      <c r="K84" s="90">
        <f t="shared" si="32"/>
        <v>4</v>
      </c>
      <c r="L84" s="90">
        <f t="shared" si="32"/>
        <v>3.6666666666666665</v>
      </c>
      <c r="M84" s="90">
        <f t="shared" ref="M84" si="33">$B$84/M78</f>
        <v>3.3846153846153846</v>
      </c>
    </row>
    <row r="85" spans="2:13" x14ac:dyDescent="0.35">
      <c r="B85" s="92">
        <v>4500</v>
      </c>
      <c r="C85" s="90">
        <f>$B$85/C78</f>
        <v>15</v>
      </c>
      <c r="D85" s="90">
        <f t="shared" ref="D85:L85" si="34">$B$85/D78</f>
        <v>11.25</v>
      </c>
      <c r="E85" s="90">
        <f t="shared" si="34"/>
        <v>9</v>
      </c>
      <c r="F85" s="90">
        <f t="shared" si="34"/>
        <v>7.5</v>
      </c>
      <c r="G85" s="90">
        <f t="shared" si="34"/>
        <v>6.4285714285714288</v>
      </c>
      <c r="H85" s="90">
        <f t="shared" si="34"/>
        <v>5.625</v>
      </c>
      <c r="I85" s="90">
        <f t="shared" si="34"/>
        <v>5</v>
      </c>
      <c r="J85" s="90">
        <f t="shared" si="34"/>
        <v>4.5</v>
      </c>
      <c r="K85" s="90">
        <f t="shared" si="34"/>
        <v>4.0909090909090908</v>
      </c>
      <c r="L85" s="90">
        <f t="shared" si="34"/>
        <v>3.75</v>
      </c>
      <c r="M85" s="90">
        <f t="shared" ref="M85" si="35">$B$85/M78</f>
        <v>3.4615384615384617</v>
      </c>
    </row>
    <row r="86" spans="2:13" x14ac:dyDescent="0.35">
      <c r="B86" s="92">
        <v>4600</v>
      </c>
      <c r="C86" s="90">
        <f>$B$86/C78</f>
        <v>15.333333333333334</v>
      </c>
      <c r="D86" s="90">
        <f t="shared" ref="D86:L86" si="36">$B$86/D78</f>
        <v>11.5</v>
      </c>
      <c r="E86" s="90">
        <f t="shared" si="36"/>
        <v>9.1999999999999993</v>
      </c>
      <c r="F86" s="90">
        <f t="shared" si="36"/>
        <v>7.666666666666667</v>
      </c>
      <c r="G86" s="90">
        <f t="shared" si="36"/>
        <v>6.5714285714285712</v>
      </c>
      <c r="H86" s="90">
        <f t="shared" si="36"/>
        <v>5.75</v>
      </c>
      <c r="I86" s="90">
        <f t="shared" si="36"/>
        <v>5.1111111111111107</v>
      </c>
      <c r="J86" s="90">
        <f t="shared" si="36"/>
        <v>4.5999999999999996</v>
      </c>
      <c r="K86" s="90">
        <f t="shared" si="36"/>
        <v>4.1818181818181817</v>
      </c>
      <c r="L86" s="90">
        <f t="shared" si="36"/>
        <v>3.8333333333333335</v>
      </c>
      <c r="M86" s="90">
        <f t="shared" ref="M86" si="37">$B$86/M78</f>
        <v>3.5384615384615383</v>
      </c>
    </row>
    <row r="87" spans="2:13" x14ac:dyDescent="0.35">
      <c r="B87" s="92">
        <v>4700</v>
      </c>
      <c r="C87" s="90">
        <f>$B$87/C78</f>
        <v>15.666666666666666</v>
      </c>
      <c r="D87" s="90">
        <f t="shared" ref="D87:L87" si="38">$B$87/D78</f>
        <v>11.75</v>
      </c>
      <c r="E87" s="90">
        <f t="shared" si="38"/>
        <v>9.4</v>
      </c>
      <c r="F87" s="90">
        <f t="shared" si="38"/>
        <v>7.833333333333333</v>
      </c>
      <c r="G87" s="90">
        <f t="shared" si="38"/>
        <v>6.7142857142857144</v>
      </c>
      <c r="H87" s="90">
        <f t="shared" si="38"/>
        <v>5.875</v>
      </c>
      <c r="I87" s="90">
        <f t="shared" si="38"/>
        <v>5.2222222222222223</v>
      </c>
      <c r="J87" s="90">
        <f t="shared" si="38"/>
        <v>4.7</v>
      </c>
      <c r="K87" s="90">
        <f t="shared" si="38"/>
        <v>4.2727272727272725</v>
      </c>
      <c r="L87" s="90">
        <f t="shared" si="38"/>
        <v>3.9166666666666665</v>
      </c>
      <c r="M87" s="90">
        <f t="shared" ref="M87" si="39">$B$87/M78</f>
        <v>3.6153846153846154</v>
      </c>
    </row>
    <row r="88" spans="2:13" x14ac:dyDescent="0.35">
      <c r="B88" s="92">
        <v>4800</v>
      </c>
      <c r="C88" s="90">
        <f>$B$88/C78</f>
        <v>16</v>
      </c>
      <c r="D88" s="90">
        <f t="shared" ref="D88:L88" si="40">$B$88/D78</f>
        <v>12</v>
      </c>
      <c r="E88" s="90">
        <f t="shared" si="40"/>
        <v>9.6</v>
      </c>
      <c r="F88" s="90">
        <f t="shared" si="40"/>
        <v>8</v>
      </c>
      <c r="G88" s="90">
        <f t="shared" si="40"/>
        <v>6.8571428571428568</v>
      </c>
      <c r="H88" s="90">
        <f t="shared" si="40"/>
        <v>6</v>
      </c>
      <c r="I88" s="90">
        <f t="shared" si="40"/>
        <v>5.333333333333333</v>
      </c>
      <c r="J88" s="90">
        <f t="shared" si="40"/>
        <v>4.8</v>
      </c>
      <c r="K88" s="90">
        <f t="shared" si="40"/>
        <v>4.3636363636363633</v>
      </c>
      <c r="L88" s="90">
        <f t="shared" si="40"/>
        <v>4</v>
      </c>
      <c r="M88" s="90">
        <f t="shared" ref="M88" si="41">$B$88/M78</f>
        <v>3.6923076923076925</v>
      </c>
    </row>
    <row r="90" spans="2:13" x14ac:dyDescent="0.35">
      <c r="B90" t="s">
        <v>367</v>
      </c>
      <c r="C90" s="23">
        <f>B79</f>
        <v>3900</v>
      </c>
    </row>
    <row r="91" spans="2:13" x14ac:dyDescent="0.35">
      <c r="B91" t="s">
        <v>368</v>
      </c>
      <c r="C91" s="93">
        <f>DCF!L32</f>
        <v>3</v>
      </c>
    </row>
    <row r="93" spans="2:13" x14ac:dyDescent="0.35">
      <c r="B93" t="s">
        <v>369</v>
      </c>
      <c r="C93" s="23">
        <f>C90-Combined!G56-Combined!G51+Combined!G45+Combined!G30+Combined!G29</f>
        <v>7670.5530000000008</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A2592-AB02-4427-98AD-E59BC9326E0A}">
  <dimension ref="B2:L46"/>
  <sheetViews>
    <sheetView tabSelected="1" workbookViewId="0">
      <selection activeCell="K35" sqref="K35"/>
    </sheetView>
  </sheetViews>
  <sheetFormatPr defaultRowHeight="14.5" x14ac:dyDescent="0.35"/>
  <cols>
    <col min="2" max="2" width="32.26953125" bestFit="1" customWidth="1"/>
    <col min="8" max="11" width="9.26953125" customWidth="1"/>
    <col min="12" max="12" width="10.36328125" customWidth="1"/>
  </cols>
  <sheetData>
    <row r="2" spans="2:12" x14ac:dyDescent="0.35">
      <c r="B2" s="14" t="s">
        <v>335</v>
      </c>
      <c r="C2" s="15" t="s">
        <v>3</v>
      </c>
      <c r="D2" s="16">
        <f t="shared" ref="D2:E2" si="0">EOMONTH(E2,-12)</f>
        <v>43100</v>
      </c>
      <c r="E2" s="16">
        <f t="shared" si="0"/>
        <v>43465</v>
      </c>
      <c r="F2" s="16">
        <f>EOMONTH(G2,-12)</f>
        <v>43830</v>
      </c>
      <c r="G2" s="16">
        <f>Hist_Yr</f>
        <v>44196</v>
      </c>
      <c r="H2" s="16">
        <f>EOMONTH(G2,12)</f>
        <v>44561</v>
      </c>
      <c r="I2" s="16">
        <f t="shared" ref="I2:L2" si="1">EOMONTH(H2,12)</f>
        <v>44926</v>
      </c>
      <c r="J2" s="16">
        <f t="shared" si="1"/>
        <v>45291</v>
      </c>
      <c r="K2" s="16">
        <f t="shared" si="1"/>
        <v>45657</v>
      </c>
      <c r="L2" s="16">
        <f t="shared" si="1"/>
        <v>46022</v>
      </c>
    </row>
    <row r="4" spans="2:12" x14ac:dyDescent="0.35">
      <c r="B4" t="s">
        <v>338</v>
      </c>
      <c r="D4" s="35">
        <f>Combined!D80+Combined!D82</f>
        <v>1712.7430000000002</v>
      </c>
      <c r="E4" s="35">
        <f>Combined!E80+Combined!E82</f>
        <v>1041.0630000000001</v>
      </c>
      <c r="F4" s="35">
        <f>Combined!F80+Combined!F82</f>
        <v>839.4689999999996</v>
      </c>
      <c r="G4" s="35">
        <f>Combined!G80+Combined!G82</f>
        <v>360.78599999999989</v>
      </c>
      <c r="H4" s="35">
        <f>Projection!H66+Projection!H68</f>
        <v>360.55399210582408</v>
      </c>
      <c r="I4" s="35">
        <f>Projection!I66+Projection!I68</f>
        <v>738.75920059724103</v>
      </c>
      <c r="J4" s="35">
        <f>Projection!J66+Projection!J68</f>
        <v>953.86257100226123</v>
      </c>
      <c r="K4" s="35">
        <f>Projection!K66+Projection!K68</f>
        <v>987.99706502944719</v>
      </c>
      <c r="L4" s="35">
        <f>Projection!L66+Projection!L68</f>
        <v>842.73315799946715</v>
      </c>
    </row>
    <row r="5" spans="2:12" x14ac:dyDescent="0.35">
      <c r="B5" t="s">
        <v>337</v>
      </c>
      <c r="D5" s="35">
        <f>Combined!D80+Combined!D84</f>
        <v>-1518.8519999999999</v>
      </c>
      <c r="E5" s="35">
        <f>Combined!E80+Combined!E84</f>
        <v>482.8280000000002</v>
      </c>
      <c r="F5" s="35">
        <f>Combined!F80+Combined!F84</f>
        <v>-19.602000000000317</v>
      </c>
      <c r="G5" s="35">
        <f>Combined!G80+Combined!G84</f>
        <v>-63.041000000000082</v>
      </c>
      <c r="H5" s="35">
        <f>Projection!H66+Projection!H70</f>
        <v>208.63354894582397</v>
      </c>
      <c r="I5" s="35">
        <f>Projection!I66+Projection!I70</f>
        <v>482.54390639724102</v>
      </c>
      <c r="J5" s="35">
        <f>Projection!J66+Projection!J70</f>
        <v>872.19495060226154</v>
      </c>
      <c r="K5" s="35">
        <f>Projection!K66+Projection!K70</f>
        <v>795.5720006294473</v>
      </c>
      <c r="L5" s="35">
        <f>Projection!L66+Projection!L70</f>
        <v>762.47662559946752</v>
      </c>
    </row>
    <row r="6" spans="2:12" x14ac:dyDescent="0.35">
      <c r="D6" s="35"/>
      <c r="E6" s="35"/>
      <c r="F6" s="35"/>
      <c r="G6" s="35"/>
      <c r="H6" s="35"/>
      <c r="I6" s="35"/>
      <c r="J6" s="35"/>
      <c r="K6" s="35"/>
      <c r="L6" s="35"/>
    </row>
    <row r="7" spans="2:12" x14ac:dyDescent="0.35">
      <c r="B7" t="s">
        <v>336</v>
      </c>
      <c r="D7" s="35">
        <f>Combined!D88</f>
        <v>-1061.9849999999999</v>
      </c>
      <c r="E7" s="35">
        <f>Combined!E88</f>
        <v>377.47700000000009</v>
      </c>
      <c r="F7" s="35">
        <f>Combined!F88</f>
        <v>-266.01400000000035</v>
      </c>
      <c r="G7" s="35">
        <f>Combined!G88</f>
        <v>51.2349999999999</v>
      </c>
      <c r="H7" s="35">
        <f>Projection!H74</f>
        <v>56.542660945824082</v>
      </c>
      <c r="I7" s="35">
        <f>Projection!I74</f>
        <v>179.23681039724102</v>
      </c>
      <c r="J7" s="35">
        <f>Projection!J74</f>
        <v>590.70445460226119</v>
      </c>
      <c r="K7" s="35">
        <f>Projection!K74</f>
        <v>623.11434462944726</v>
      </c>
      <c r="L7" s="35">
        <f>Projection!L74</f>
        <v>477.85043759946717</v>
      </c>
    </row>
    <row r="9" spans="2:12" x14ac:dyDescent="0.35">
      <c r="B9" t="s">
        <v>339</v>
      </c>
      <c r="D9" s="19">
        <f>Combined!D62/Combined!D48</f>
        <v>0.22538408835265616</v>
      </c>
      <c r="E9" s="19">
        <f>Combined!E62/Combined!E48</f>
        <v>0.20329987669667493</v>
      </c>
      <c r="F9" s="19">
        <f>Combined!F62/Combined!F48</f>
        <v>0.12889043462768177</v>
      </c>
      <c r="G9" s="19">
        <f>Combined!G62/Combined!G48</f>
        <v>0.10832266185343378</v>
      </c>
      <c r="H9" s="19">
        <f>Combined!H62/Combined!H48</f>
        <v>0.11119357403909502</v>
      </c>
      <c r="I9" s="19">
        <f>Combined!I62/Combined!I48</f>
        <v>9.7025440432630561E-2</v>
      </c>
      <c r="J9" s="19">
        <f>Combined!J62/Combined!J48</f>
        <v>0.10052623094786431</v>
      </c>
      <c r="K9" s="19">
        <f>Combined!K62/Combined!K48</f>
        <v>9.5934105188215268E-2</v>
      </c>
      <c r="L9" s="19">
        <f>Combined!L62/Combined!L48</f>
        <v>8.8657932099573761E-2</v>
      </c>
    </row>
    <row r="10" spans="2:12" x14ac:dyDescent="0.35">
      <c r="B10" t="s">
        <v>340</v>
      </c>
      <c r="D10" s="19">
        <f>IF(1-D9&gt;0,1-D9, "ERROR")</f>
        <v>0.77461591164734389</v>
      </c>
      <c r="E10" s="19">
        <f t="shared" ref="E10:L10" si="2">IF(1-E9&gt;0,1-E9, "ERROR")</f>
        <v>0.79670012330332507</v>
      </c>
      <c r="F10" s="19">
        <f t="shared" si="2"/>
        <v>0.87110956537231821</v>
      </c>
      <c r="G10" s="19">
        <f t="shared" si="2"/>
        <v>0.89167733814656625</v>
      </c>
      <c r="H10" s="19">
        <f t="shared" si="2"/>
        <v>0.88880642596090498</v>
      </c>
      <c r="I10" s="19">
        <f t="shared" si="2"/>
        <v>0.90297455956736949</v>
      </c>
      <c r="J10" s="19">
        <f t="shared" si="2"/>
        <v>0.89947376905213572</v>
      </c>
      <c r="K10" s="19">
        <f t="shared" si="2"/>
        <v>0.90406589481178479</v>
      </c>
      <c r="L10" s="19">
        <f t="shared" si="2"/>
        <v>0.91134206790042627</v>
      </c>
    </row>
    <row r="12" spans="2:12" x14ac:dyDescent="0.35">
      <c r="B12" t="s">
        <v>209</v>
      </c>
      <c r="D12" s="35">
        <f>Combined!D28</f>
        <v>1114.8720000000003</v>
      </c>
      <c r="E12" s="35">
        <f>Combined!E28</f>
        <v>1227.5730000000001</v>
      </c>
      <c r="F12" s="35">
        <f>Combined!F28</f>
        <v>1182.672</v>
      </c>
      <c r="G12" s="35">
        <f>Combined!G28</f>
        <v>383.77499999999992</v>
      </c>
      <c r="H12" s="35">
        <f>Combined!H28</f>
        <v>496.84300366072614</v>
      </c>
      <c r="I12" s="35">
        <f>Combined!I28</f>
        <v>996.72810196483556</v>
      </c>
      <c r="J12" s="35">
        <f>Combined!J28</f>
        <v>1290.2831677987856</v>
      </c>
      <c r="K12" s="35">
        <f>Combined!K28</f>
        <v>1268.1221047804218</v>
      </c>
      <c r="L12" s="35">
        <f>Combined!L28</f>
        <v>1262.4424568185648</v>
      </c>
    </row>
    <row r="13" spans="2:12" x14ac:dyDescent="0.35">
      <c r="B13" t="s">
        <v>341</v>
      </c>
      <c r="D13" s="35">
        <f>Combined!D64+Combined!D56+Combined!D51-Combined!D45-Combined!D30-Combined!D29</f>
        <v>4670.0780000000004</v>
      </c>
      <c r="E13" s="35">
        <f>Combined!E64+Combined!E56+Combined!E51-Combined!E45-Combined!E30-Combined!E29</f>
        <v>4484.7269999999999</v>
      </c>
      <c r="F13" s="35">
        <f>Combined!F64+Combined!F56+Combined!F51-Combined!F45-Combined!F30-Combined!F29</f>
        <v>4364.0250000000005</v>
      </c>
      <c r="G13" s="35">
        <f>Combined!G64+Combined!G56+Combined!G51-Combined!G45-Combined!G30-Combined!G29</f>
        <v>4065.009</v>
      </c>
      <c r="H13" s="35"/>
      <c r="I13" s="35"/>
      <c r="J13" s="35"/>
      <c r="K13" s="35"/>
      <c r="L13" s="35"/>
    </row>
    <row r="14" spans="2:12" x14ac:dyDescent="0.35">
      <c r="D14" s="35"/>
      <c r="E14" s="35"/>
      <c r="F14" s="35"/>
      <c r="G14" s="35"/>
      <c r="H14" s="35"/>
      <c r="I14" s="35"/>
      <c r="J14" s="35"/>
      <c r="K14" s="35"/>
      <c r="L14" s="35"/>
    </row>
    <row r="15" spans="2:12" x14ac:dyDescent="0.35">
      <c r="B15" t="s">
        <v>342</v>
      </c>
      <c r="D15" s="62">
        <f>D13/D12</f>
        <v>4.1888916395783546</v>
      </c>
      <c r="E15" s="62">
        <f t="shared" ref="E15:L15" si="3">E13/E12</f>
        <v>3.6533281523787178</v>
      </c>
      <c r="F15" s="62">
        <f t="shared" si="3"/>
        <v>3.6899706765696663</v>
      </c>
      <c r="G15" s="62">
        <f t="shared" si="3"/>
        <v>10.592167285518862</v>
      </c>
      <c r="H15" s="62">
        <f t="shared" si="3"/>
        <v>0</v>
      </c>
      <c r="I15" s="62">
        <f t="shared" si="3"/>
        <v>0</v>
      </c>
      <c r="J15" s="62">
        <f t="shared" si="3"/>
        <v>0</v>
      </c>
      <c r="K15" s="62">
        <f t="shared" si="3"/>
        <v>0</v>
      </c>
      <c r="L15" s="62">
        <f t="shared" si="3"/>
        <v>0</v>
      </c>
    </row>
    <row r="17" spans="2:12" x14ac:dyDescent="0.35">
      <c r="B17" t="s">
        <v>345</v>
      </c>
      <c r="D17" s="19">
        <f>Expense!D126/'Balance Sheet'!D42</f>
        <v>1.8816611842105261E-2</v>
      </c>
      <c r="E17" s="19">
        <f>Expense!E126/'Balance Sheet'!E42</f>
        <v>2.3740335268686751E-2</v>
      </c>
      <c r="F17" s="19">
        <f>Expense!F126/'Balance Sheet'!F42</f>
        <v>3.9782079073068737E-2</v>
      </c>
      <c r="G17" s="19">
        <f>Expense!G126/'Balance Sheet'!G42</f>
        <v>1.075462291345696E-2</v>
      </c>
      <c r="H17" s="19"/>
      <c r="I17" s="19"/>
      <c r="J17" s="19"/>
      <c r="K17" s="19"/>
      <c r="L17" s="19"/>
    </row>
    <row r="18" spans="2:12" x14ac:dyDescent="0.35">
      <c r="B18" t="s">
        <v>346</v>
      </c>
      <c r="D18" s="19">
        <f>IF(Combined!D28/Expense!D126&gt;10,1.15%,IF(Combined!D28/Expense!D126&gt;5,2.15%,IF(Combined!D28/Expense!D126&gt;2,3%,5%)))</f>
        <v>1.15E-2</v>
      </c>
      <c r="E18" s="19">
        <f>IF(Combined!E28/Expense!E126&gt;10,1.15%,IF(Combined!E28/Expense!E126&gt;5,2.15%,IF(Combined!E28/Expense!E126&gt;2,3%,5%)))</f>
        <v>1.15E-2</v>
      </c>
      <c r="F18" s="19">
        <f>IF(Combined!F28/Expense!F126&gt;10,1.15%,IF(Combined!F28/Expense!F126&gt;5,2.15%,IF(Combined!F28/Expense!F126&gt;2,3%,5%)))</f>
        <v>1.15E-2</v>
      </c>
      <c r="G18" s="19">
        <f>IF(Combined!G28/Expense!G126&gt;10,1.15%,IF(Combined!G28/Expense!G126&gt;5,2.15%,IF(Combined!G28/Expense!G126&gt;2,3%,5%)))</f>
        <v>1.15E-2</v>
      </c>
    </row>
    <row r="20" spans="2:12" x14ac:dyDescent="0.35">
      <c r="B20" t="s">
        <v>347</v>
      </c>
      <c r="D20" s="19">
        <f>AVERAGE(D17:D18,E17:E18,F17:F18,G17:G18)</f>
        <v>1.7386706137164712E-2</v>
      </c>
      <c r="E20" s="19"/>
      <c r="F20" s="19"/>
      <c r="G20" s="19"/>
    </row>
    <row r="22" spans="2:12" x14ac:dyDescent="0.35">
      <c r="B22" t="s">
        <v>348</v>
      </c>
      <c r="D22" s="9"/>
      <c r="E22" s="9"/>
      <c r="F22" s="9"/>
      <c r="G22" s="9">
        <v>7.8385999999999997E-2</v>
      </c>
    </row>
    <row r="23" spans="2:12" x14ac:dyDescent="0.35">
      <c r="B23" t="s">
        <v>349</v>
      </c>
      <c r="D23" s="9">
        <v>0</v>
      </c>
      <c r="E23" s="9">
        <v>0</v>
      </c>
      <c r="F23" s="9">
        <v>0</v>
      </c>
      <c r="G23" s="9">
        <v>0</v>
      </c>
    </row>
    <row r="25" spans="2:12" x14ac:dyDescent="0.35">
      <c r="B25" t="s">
        <v>350</v>
      </c>
      <c r="D25" s="19">
        <f>G22</f>
        <v>7.8385999999999997E-2</v>
      </c>
    </row>
    <row r="26" spans="2:12" x14ac:dyDescent="0.35">
      <c r="D26" s="19"/>
    </row>
    <row r="27" spans="2:12" x14ac:dyDescent="0.35">
      <c r="B27" t="s">
        <v>354</v>
      </c>
      <c r="H27">
        <v>1</v>
      </c>
      <c r="I27">
        <v>2</v>
      </c>
      <c r="J27">
        <v>3</v>
      </c>
      <c r="K27">
        <v>4</v>
      </c>
      <c r="L27">
        <v>5</v>
      </c>
    </row>
    <row r="28" spans="2:12" x14ac:dyDescent="0.35">
      <c r="B28" t="s">
        <v>351</v>
      </c>
      <c r="D28" s="19"/>
      <c r="H28" s="19">
        <f>$D$20*(1-tax)*Debt+(Equity*$D$25)</f>
        <v>7.207571947145601E-2</v>
      </c>
      <c r="I28" s="19">
        <f>$D$20*(1-tax)*Debt+(Equity*$D$25)</f>
        <v>7.207571947145601E-2</v>
      </c>
      <c r="J28" s="19">
        <f>$D$20*(1-tax)*Debt+(Equity*$D$25)</f>
        <v>7.207571947145601E-2</v>
      </c>
      <c r="K28" s="19">
        <f>$D$20*(1-tax)*Debt+(Equity*$D$25)</f>
        <v>7.207571947145601E-2</v>
      </c>
      <c r="L28" s="19">
        <f>$D$20*(1-tax)*Debt+(Equity*$D$25)</f>
        <v>7.207571947145601E-2</v>
      </c>
    </row>
    <row r="29" spans="2:12" ht="15" thickBot="1" x14ac:dyDescent="0.4">
      <c r="B29" t="s">
        <v>352</v>
      </c>
      <c r="H29" s="63">
        <f>1/(1+H28)^H27</f>
        <v>0.93276993577749334</v>
      </c>
      <c r="I29" s="63">
        <f t="shared" ref="I29:L29" si="4">1/(1+I28)^I27</f>
        <v>0.870059753090349</v>
      </c>
      <c r="J29" s="63">
        <f t="shared" si="4"/>
        <v>0.81156558001266643</v>
      </c>
      <c r="K29" s="63">
        <f t="shared" si="4"/>
        <v>0.75700397394763907</v>
      </c>
      <c r="L29" s="63">
        <f t="shared" si="4"/>
        <v>0.70611054816244656</v>
      </c>
    </row>
    <row r="30" spans="2:12" ht="15" thickBot="1" x14ac:dyDescent="0.4">
      <c r="B30" s="64" t="s">
        <v>353</v>
      </c>
      <c r="C30" s="65"/>
      <c r="D30" s="65"/>
      <c r="E30" s="65"/>
      <c r="F30" s="65"/>
      <c r="G30" s="65"/>
      <c r="H30" s="66">
        <f>H4*H29</f>
        <v>336.31392406086837</v>
      </c>
      <c r="I30" s="66">
        <f t="shared" ref="I30:L30" si="5">I4*I29</f>
        <v>642.76464766485913</v>
      </c>
      <c r="J30" s="66">
        <f t="shared" si="5"/>
        <v>774.12203068782333</v>
      </c>
      <c r="K30" s="66">
        <f t="shared" si="5"/>
        <v>747.91770447589556</v>
      </c>
      <c r="L30" s="67">
        <f t="shared" si="5"/>
        <v>595.06277214967349</v>
      </c>
    </row>
    <row r="31" spans="2:12" x14ac:dyDescent="0.35">
      <c r="B31" s="52"/>
      <c r="C31" s="52"/>
      <c r="D31" s="52"/>
      <c r="E31" s="52"/>
      <c r="F31" s="52"/>
      <c r="G31" s="52"/>
      <c r="H31" s="53"/>
      <c r="I31" s="53"/>
      <c r="J31" s="53"/>
      <c r="K31" s="53"/>
      <c r="L31" s="53"/>
    </row>
    <row r="32" spans="2:12" x14ac:dyDescent="0.35">
      <c r="B32" s="68" t="s">
        <v>357</v>
      </c>
      <c r="L32" s="69">
        <v>3</v>
      </c>
    </row>
    <row r="33" spans="2:12" x14ac:dyDescent="0.35">
      <c r="B33" t="s">
        <v>355</v>
      </c>
      <c r="H33" s="35"/>
      <c r="I33" s="35"/>
      <c r="J33" s="35"/>
      <c r="K33" s="35"/>
      <c r="L33" s="35">
        <f>L12</f>
        <v>1262.4424568185648</v>
      </c>
    </row>
    <row r="34" spans="2:12" x14ac:dyDescent="0.35">
      <c r="B34" t="s">
        <v>360</v>
      </c>
      <c r="H34" s="35"/>
      <c r="I34" s="35"/>
      <c r="J34" s="35"/>
      <c r="K34" s="35"/>
      <c r="L34" s="35">
        <f>L32*L33</f>
        <v>3787.3273704556941</v>
      </c>
    </row>
    <row r="35" spans="2:12" x14ac:dyDescent="0.35">
      <c r="H35" s="35"/>
      <c r="I35" s="35"/>
      <c r="J35" s="35"/>
      <c r="K35" s="35"/>
      <c r="L35" s="35"/>
    </row>
    <row r="36" spans="2:12" x14ac:dyDescent="0.35">
      <c r="B36" t="s">
        <v>356</v>
      </c>
      <c r="H36" s="35"/>
      <c r="I36" s="35"/>
      <c r="J36" s="35"/>
      <c r="K36" s="35"/>
      <c r="L36" s="35">
        <f>SUM(H30:L30)</f>
        <v>3096.1810790391196</v>
      </c>
    </row>
    <row r="37" spans="2:12" x14ac:dyDescent="0.35">
      <c r="H37" s="35"/>
      <c r="I37" s="35"/>
      <c r="J37" s="35"/>
      <c r="K37" s="35"/>
      <c r="L37" s="35"/>
    </row>
    <row r="38" spans="2:12" x14ac:dyDescent="0.35">
      <c r="B38" t="s">
        <v>358</v>
      </c>
      <c r="H38" s="35"/>
      <c r="I38" s="35"/>
      <c r="J38" s="35"/>
      <c r="K38" s="35"/>
      <c r="L38" s="35">
        <f>L34+L36</f>
        <v>6883.5084494948132</v>
      </c>
    </row>
    <row r="39" spans="2:12" x14ac:dyDescent="0.35">
      <c r="B39" s="1" t="s">
        <v>359</v>
      </c>
      <c r="H39" s="35"/>
      <c r="I39" s="35"/>
      <c r="J39" s="35"/>
      <c r="K39" s="35"/>
      <c r="L39" s="19">
        <f>L34/L38</f>
        <v>0.55020305389959234</v>
      </c>
    </row>
    <row r="40" spans="2:12" x14ac:dyDescent="0.35">
      <c r="H40" s="35"/>
      <c r="I40" s="35"/>
      <c r="J40" s="35"/>
      <c r="K40" s="35"/>
      <c r="L40" s="35"/>
    </row>
    <row r="41" spans="2:12" x14ac:dyDescent="0.35">
      <c r="B41" t="s">
        <v>361</v>
      </c>
      <c r="H41" s="35"/>
      <c r="I41" s="35"/>
      <c r="J41" s="35"/>
      <c r="K41" s="35"/>
      <c r="L41" s="35">
        <f>L38-Combined!G56-Combined!G51+Combined!G45+Combined!G30+Combined!G29</f>
        <v>10654.061449494811</v>
      </c>
    </row>
    <row r="42" spans="2:12" x14ac:dyDescent="0.35">
      <c r="H42" s="35"/>
      <c r="I42" s="35"/>
      <c r="J42" s="35"/>
      <c r="K42" s="35"/>
      <c r="L42" s="35"/>
    </row>
    <row r="43" spans="2:12" x14ac:dyDescent="0.35">
      <c r="H43" s="35"/>
      <c r="I43" s="35"/>
      <c r="J43" s="35"/>
      <c r="K43" s="35"/>
      <c r="L43" s="35"/>
    </row>
    <row r="44" spans="2:12" x14ac:dyDescent="0.35">
      <c r="H44" s="35"/>
      <c r="I44" s="35"/>
      <c r="J44" s="35"/>
      <c r="K44" s="35"/>
      <c r="L44" s="35"/>
    </row>
    <row r="45" spans="2:12" x14ac:dyDescent="0.35">
      <c r="H45" s="35"/>
      <c r="I45" s="35"/>
      <c r="J45" s="35"/>
      <c r="K45" s="35"/>
      <c r="L45" s="35"/>
    </row>
    <row r="46" spans="2:12" x14ac:dyDescent="0.35">
      <c r="H46" s="35"/>
      <c r="I46" s="35"/>
      <c r="J46" s="35"/>
      <c r="K46" s="35"/>
      <c r="L46" s="35"/>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D A A B Q S w M E F A A C A A g A T 4 A c U w 5 9 U u K l A A A A 9 Q A A A B I A H A B D b 2 5 m a W c v U G F j a 2 F n Z S 5 4 b W w g o h g A K K A U A A A A A A A A A A A A A A A A A A A A A A A A A A A A e 7 9 7 v 4 1 9 R W 6 O Q l l q U X F m f p 6 t k q G e g Z J C a l 5 y f k p m X r q t U m l J m q 6 F k r 2 d T U B i c n Z i e q o C U H F e s V V F c a a t U k Z J S Y G V v n 5 5 e b l e u b F e f l G 6 v p G B g a F + h K 9 P c H J G a m 6 i b m Z e c U l i X n K q E l x X C m F d S n Y 2 Y R D H 2 B n p W Z r q m Z k A n W S j D x O z 8 c 3 M Q 8 g b A e V A s k i C N s 6 l O S W l R a l 2 q X m 6 w e 4 2 + j C u j T 7 U C 3 Y A U E s D B B Q A A g A I A E + A H 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g B x T i H O k S Z w A A A D W A A A A E w A c A E Z v c m 1 1 b G F z L 1 N l Y 3 R p b 2 4 x L m 0 g o h g A K K A U A A A A A A A A A A A A A A A A A A A A A A A A A A A A b Y 0 9 C 4 M w E I b 3 Q P 5 D S B c F E Z z F K X T t o t B B H K K 9 V j H m S n K C R f z v j c 3 a d z l 4 P 5 7 z M N C E V t T x F i V n n P l R O 3 i I R v c G C l E J A 8 S Z C K p x d Q M E 5 7 o N Y H K 1 O g e W 7 u j m H n F O 0 r 2 9 6 Q U q G Z e y O 1 q F l k K l y y L g I t W o 7 e u E f 9 4 g A + l X z R u n r X + i W x S a d b F n 6 J P 4 L d t 3 G d 1 C Z o J C I g g 2 O o 6 U s 8 n + x Z Z f U E s B A i 0 A F A A C A A g A T 4 A c U w 5 9 U u K l A A A A 9 Q A A A B I A A A A A A A A A A A A A A A A A A A A A A E N v b m Z p Z y 9 Q Y W N r Y W d l L n h t b F B L A Q I t A B Q A A g A I A E + A H F M P y u m r p A A A A O k A A A A T A A A A A A A A A A A A A A A A A P E A A A B b Q 2 9 u d G V u d F 9 U e X B l c 1 0 u e G 1 s U E s B A i 0 A F A A C A A g A T 4 A c U 4 h z p E m c A A A A 1 g A A A B M A A A A A A A A A A A A A A A A A 4 g E A A E Z v c m 1 1 b G F z L 1 N l Y 3 R p b 2 4 x L m 1 Q S w U G A A A A A A M A A w D C A A A A y 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g g A A A A A A A A k 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i I g L z 4 8 R W 5 0 c n k g V H l w Z T 0 i U m V j b 3 Z l c n l U Y X J n Z X R D b 2 x 1 b W 4 i I F Z h b H V l P S J s M S I g L z 4 8 R W 5 0 c n k g V H l w Z T 0 i U m V j b 3 Z l c n l U Y X J n Z X R S b 3 c 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S 0 w O C 0 y O F Q w O D o w M j o y N i 4 3 M j c x M z I 0 W i I g L z 4 8 R W 5 0 c n k g V H l w Z T 0 i R m l s b E N v b H V t b l R 5 c G V z I i B W Y W x 1 Z T 0 i c 0 J n 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M S 9 D a G F u Z 2 V k I F R 5 c G U u e 0 N v b H V t b j E s M H 0 m c X V v d D t d L C Z x d W 9 0 O 0 N v b H V t b k N v d W 5 0 J n F 1 b 3 Q 7 O j E s J n F 1 b 3 Q 7 S 2 V 5 Q 2 9 s d W 1 u T m F t Z X M m c X V v d D s 6 W 1 0 s J n F 1 b 3 Q 7 Q 2 9 s d W 1 u S W R l b n R p d G l l c y Z x d W 9 0 O z p b J n F 1 b 3 Q 7 U 2 V j d G l v b j E v V G F i b G U x L 0 N o Y W 5 n Z W Q g V H l w Z S 5 7 Q 2 9 s d W 1 u M S w w 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C Y B A A A B A A A A 0 I y d 3 w E V 0 R G M e g D A T 8 K X 6 w E A A A C V / Q T / b 9 D 2 R I 8 e k 6 w Q 2 E u g A A A A A A I A A A A A A B B m A A A A A Q A A I A A A A B O m S + 8 x u C y K q D 0 p o i S u M 8 6 s z X q + j o Q w P k 3 j Z 7 r 4 d J l 4 A A A A A A 6 A A A A A A g A A I A A A A B a Z 3 C l J E j 8 5 o z H W t Q V s P O l 2 N 7 u v 9 Q O 9 X O v k a g m s j y z b U A A A A G g M z y v b a L 1 m 2 L + 4 I u P e K 3 n 6 G y s w i M k 4 3 u b s X d c B c f q 2 h S 9 Q 3 o y e O p U S T O n c x d n v G A Q q t q C P m g R p s N 4 H F j 7 Z C q i Z 7 q Y K U x l E a + q l 9 s B u a l h r Q A A A A A k 9 G U i X l M t w L X l p Q B X 1 v u 8 D 6 Y o O j K / k 9 9 b K C Z J C q 2 6 1 s d D H 8 Q 5 / M 3 d U h 9 s A 0 8 / F G U M 8 j l V k b / R o 2 S y G Q s 5 1 B 0 0 = < / D a t a M a s h u p > 
</file>

<file path=customXml/itemProps1.xml><?xml version="1.0" encoding="utf-8"?>
<ds:datastoreItem xmlns:ds="http://schemas.openxmlformats.org/officeDocument/2006/customXml" ds:itemID="{9A288D98-7E82-4DFB-865B-8C9FF24B33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Basic</vt:lpstr>
      <vt:lpstr>Revenue</vt:lpstr>
      <vt:lpstr>Expense</vt:lpstr>
      <vt:lpstr>Balance Sheet</vt:lpstr>
      <vt:lpstr>CF</vt:lpstr>
      <vt:lpstr>Combined</vt:lpstr>
      <vt:lpstr>Projection</vt:lpstr>
      <vt:lpstr>DCF</vt:lpstr>
      <vt:lpstr>cent</vt:lpstr>
      <vt:lpstr>Debt</vt:lpstr>
      <vt:lpstr>Equity</vt:lpstr>
      <vt:lpstr>Hist_Yr</vt:lpstr>
      <vt:lpstr>tax</vt:lpstr>
      <vt:lpstr>unit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Xiang Leow</dc:creator>
  <cp:lastModifiedBy>Wei Xiang Leow</cp:lastModifiedBy>
  <dcterms:created xsi:type="dcterms:W3CDTF">2021-08-28T06:34:25Z</dcterms:created>
  <dcterms:modified xsi:type="dcterms:W3CDTF">2021-09-03T05:44:17Z</dcterms:modified>
</cp:coreProperties>
</file>