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\Purchase Process\03_Import - Export\FY 2020\"/>
    </mc:Choice>
  </mc:AlternateContent>
  <bookViews>
    <workbookView xWindow="0" yWindow="180" windowWidth="10590" windowHeight="7485" tabRatio="781" firstSheet="3" activeTab="3"/>
  </bookViews>
  <sheets>
    <sheet name="Total" sheetId="20" state="hidden" r:id="rId1"/>
    <sheet name="Export fee" sheetId="21" state="hidden" r:id="rId2"/>
    <sheet name="Total export fee" sheetId="8" state="hidden" r:id="rId3"/>
    <sheet name="Dec-20" sheetId="66" r:id="rId4"/>
    <sheet name="Nov-20" sheetId="65" r:id="rId5"/>
    <sheet name="Oct-20" sheetId="64" r:id="rId6"/>
    <sheet name="Sep-20" sheetId="63" r:id="rId7"/>
    <sheet name="Aug-20" sheetId="62" r:id="rId8"/>
    <sheet name="Jul-20" sheetId="61" r:id="rId9"/>
    <sheet name="May-20" sheetId="59" r:id="rId10"/>
    <sheet name="Jun-20" sheetId="60" r:id="rId11"/>
    <sheet name="Apr-20" sheetId="58" r:id="rId12"/>
    <sheet name="Total export fee (2)" sheetId="26" r:id="rId13"/>
    <sheet name="Sheet1" sheetId="46" r:id="rId14"/>
  </sheets>
  <externalReferences>
    <externalReference r:id="rId15"/>
  </externalReferences>
  <definedNames>
    <definedName name="_xlnm._FilterDatabase" localSheetId="11" hidden="1">'Apr-20'!$A$12:$AF$87</definedName>
    <definedName name="_xlnm._FilterDatabase" localSheetId="7" hidden="1">'Aug-20'!$A$12:$AE$107</definedName>
    <definedName name="_xlnm._FilterDatabase" localSheetId="3" hidden="1">'Dec-20'!$A$12:$AE$100</definedName>
    <definedName name="_xlnm._FilterDatabase" localSheetId="8" hidden="1">'Jul-20'!$A$12:$AE$107</definedName>
    <definedName name="_xlnm._FilterDatabase" localSheetId="10" hidden="1">'Jun-20'!$A$12:$AE$75</definedName>
    <definedName name="_xlnm._FilterDatabase" localSheetId="9" hidden="1">'May-20'!$A$12:$AE$87</definedName>
    <definedName name="_xlnm._FilterDatabase" localSheetId="4" hidden="1">'Nov-20'!$A$12:$AE$100</definedName>
    <definedName name="_xlnm._FilterDatabase" localSheetId="5" hidden="1">'Oct-20'!$A$12:$AE$107</definedName>
    <definedName name="_xlnm._FilterDatabase" localSheetId="6" hidden="1">'Sep-20'!$A$12:$AE$12</definedName>
  </definedNames>
  <calcPr calcId="152511"/>
</workbook>
</file>

<file path=xl/calcChain.xml><?xml version="1.0" encoding="utf-8"?>
<calcChain xmlns="http://schemas.openxmlformats.org/spreadsheetml/2006/main">
  <c r="H44" i="66" l="1"/>
  <c r="L39" i="66"/>
  <c r="L38" i="66"/>
  <c r="L37" i="66"/>
  <c r="L36" i="66"/>
  <c r="L35" i="66"/>
  <c r="L34" i="66"/>
  <c r="L33" i="66"/>
  <c r="L32" i="66"/>
  <c r="L31" i="66"/>
  <c r="L30" i="66"/>
  <c r="L29" i="66"/>
  <c r="L28" i="66"/>
  <c r="L27" i="66"/>
  <c r="L26" i="66"/>
  <c r="L25" i="66"/>
  <c r="L24" i="66"/>
  <c r="L23" i="66"/>
  <c r="L22" i="66"/>
  <c r="L21" i="66"/>
  <c r="L20" i="66"/>
  <c r="L19" i="66"/>
  <c r="L18" i="66"/>
  <c r="L17" i="66"/>
  <c r="L16" i="66"/>
  <c r="L15" i="66"/>
  <c r="L14" i="66"/>
  <c r="L13" i="66"/>
  <c r="X30" i="66"/>
  <c r="X29" i="66"/>
  <c r="X28" i="66"/>
  <c r="X27" i="66"/>
  <c r="X26" i="66"/>
  <c r="X25" i="66"/>
  <c r="X24" i="66"/>
  <c r="X23" i="66"/>
  <c r="X22" i="66"/>
  <c r="X21" i="66"/>
  <c r="X20" i="66"/>
  <c r="X19" i="66"/>
  <c r="X18" i="66"/>
  <c r="X17" i="66"/>
  <c r="X16" i="66"/>
  <c r="X15" i="66"/>
  <c r="X14" i="66"/>
  <c r="X13" i="66"/>
  <c r="AD7" i="66"/>
  <c r="AC7" i="66"/>
  <c r="AC8" i="66" s="1"/>
  <c r="AB7" i="66"/>
  <c r="AB8" i="66" s="1"/>
  <c r="AE6" i="66"/>
  <c r="AE5" i="66"/>
  <c r="AE7" i="66" s="1"/>
  <c r="AD8" i="66" l="1"/>
  <c r="U58" i="65"/>
  <c r="U30" i="65"/>
  <c r="U56" i="65" l="1"/>
  <c r="U38" i="65"/>
  <c r="U23" i="65"/>
  <c r="U22" i="65"/>
  <c r="U20" i="65"/>
  <c r="U13" i="65"/>
  <c r="L58" i="65" l="1"/>
  <c r="L59" i="65"/>
  <c r="L60" i="65"/>
  <c r="L61" i="65"/>
  <c r="L62" i="65"/>
  <c r="L63" i="65"/>
  <c r="L64" i="65"/>
  <c r="L65" i="65"/>
  <c r="L66" i="65"/>
  <c r="L56" i="65"/>
  <c r="L57" i="65"/>
  <c r="L38" i="65" l="1"/>
  <c r="L39" i="65"/>
  <c r="L40" i="65"/>
  <c r="L41" i="65"/>
  <c r="L42" i="65"/>
  <c r="L43" i="65"/>
  <c r="L44" i="65"/>
  <c r="L45" i="65"/>
  <c r="L46" i="65"/>
  <c r="L47" i="65"/>
  <c r="L48" i="65"/>
  <c r="L49" i="65"/>
  <c r="L50" i="65"/>
  <c r="L51" i="65"/>
  <c r="L52" i="65"/>
  <c r="L53" i="65"/>
  <c r="L54" i="65"/>
  <c r="L55" i="65"/>
  <c r="L30" i="65" l="1"/>
  <c r="L31" i="65"/>
  <c r="L32" i="65"/>
  <c r="L33" i="65"/>
  <c r="L34" i="65"/>
  <c r="L35" i="65"/>
  <c r="L36" i="65"/>
  <c r="L37" i="65"/>
  <c r="L23" i="65" l="1"/>
  <c r="L24" i="65"/>
  <c r="L25" i="65"/>
  <c r="L26" i="65"/>
  <c r="L27" i="65"/>
  <c r="L28" i="65"/>
  <c r="L29" i="65"/>
  <c r="L22" i="65"/>
  <c r="L20" i="65"/>
  <c r="L21" i="65"/>
  <c r="L14" i="65"/>
  <c r="L15" i="65"/>
  <c r="L16" i="65"/>
  <c r="L17" i="65"/>
  <c r="L18" i="65"/>
  <c r="L19" i="65"/>
  <c r="L13" i="65"/>
  <c r="U76" i="64" l="1"/>
  <c r="U74" i="64"/>
  <c r="U67" i="64"/>
  <c r="U65" i="64"/>
  <c r="U63" i="64"/>
  <c r="U60" i="64"/>
  <c r="U59" i="64"/>
  <c r="U57" i="64"/>
  <c r="U52" i="64"/>
  <c r="U48" i="64"/>
  <c r="U35" i="64"/>
  <c r="U31" i="64"/>
  <c r="U13" i="64"/>
  <c r="X30" i="65" l="1"/>
  <c r="X29" i="65"/>
  <c r="X28" i="65"/>
  <c r="X27" i="65"/>
  <c r="X26" i="65"/>
  <c r="X25" i="65"/>
  <c r="X24" i="65"/>
  <c r="X23" i="65"/>
  <c r="X22" i="65"/>
  <c r="X21" i="65"/>
  <c r="X20" i="65"/>
  <c r="X19" i="65"/>
  <c r="X18" i="65"/>
  <c r="X17" i="65"/>
  <c r="X16" i="65"/>
  <c r="X15" i="65"/>
  <c r="X14" i="65"/>
  <c r="X13" i="65"/>
  <c r="AD7" i="65"/>
  <c r="AC7" i="65"/>
  <c r="AB7" i="65"/>
  <c r="AE6" i="65"/>
  <c r="AE5" i="65"/>
  <c r="AE7" i="65" l="1"/>
  <c r="AD8" i="65" s="1"/>
  <c r="AC8" i="65"/>
  <c r="AB8" i="65"/>
  <c r="X142" i="64"/>
  <c r="X141" i="64"/>
  <c r="X140" i="64"/>
  <c r="X139" i="64"/>
  <c r="X138" i="64"/>
  <c r="X137" i="64"/>
  <c r="X136" i="64"/>
  <c r="X135" i="64"/>
  <c r="X134" i="64"/>
  <c r="X133" i="64"/>
  <c r="X132" i="64"/>
  <c r="X131" i="64"/>
  <c r="X130" i="64"/>
  <c r="X129" i="64"/>
  <c r="X128" i="64"/>
  <c r="X127" i="64"/>
  <c r="X126" i="64"/>
  <c r="X125" i="64"/>
  <c r="X124" i="64"/>
  <c r="X123" i="64"/>
  <c r="X122" i="64"/>
  <c r="X121" i="64"/>
  <c r="X120" i="64"/>
  <c r="X119" i="64"/>
  <c r="X118" i="64"/>
  <c r="X117" i="64"/>
  <c r="X116" i="64"/>
  <c r="X115" i="64"/>
  <c r="X114" i="64"/>
  <c r="X113" i="64"/>
  <c r="X112" i="64"/>
  <c r="X111" i="64"/>
  <c r="X110" i="64"/>
  <c r="X109" i="64"/>
  <c r="X108" i="64"/>
  <c r="L107" i="64"/>
  <c r="X107" i="64" s="1"/>
  <c r="L106" i="64"/>
  <c r="X106" i="64" s="1"/>
  <c r="L105" i="64"/>
  <c r="X105" i="64" s="1"/>
  <c r="L104" i="64"/>
  <c r="X104" i="64" s="1"/>
  <c r="L103" i="64"/>
  <c r="X103" i="64" s="1"/>
  <c r="L102" i="64"/>
  <c r="X102" i="64" s="1"/>
  <c r="L101" i="64"/>
  <c r="X101" i="64" s="1"/>
  <c r="L100" i="64"/>
  <c r="X100" i="64" s="1"/>
  <c r="L99" i="64"/>
  <c r="X99" i="64" s="1"/>
  <c r="L98" i="64"/>
  <c r="X98" i="64" s="1"/>
  <c r="L97" i="64"/>
  <c r="X97" i="64" s="1"/>
  <c r="L96" i="64"/>
  <c r="X96" i="64" s="1"/>
  <c r="L95" i="64"/>
  <c r="X95" i="64" s="1"/>
  <c r="L94" i="64"/>
  <c r="X94" i="64" s="1"/>
  <c r="L93" i="64"/>
  <c r="X93" i="64" s="1"/>
  <c r="L92" i="64"/>
  <c r="X92" i="64" s="1"/>
  <c r="L91" i="64"/>
  <c r="X91" i="64" s="1"/>
  <c r="L90" i="64"/>
  <c r="X90" i="64" s="1"/>
  <c r="L89" i="64"/>
  <c r="X89" i="64" s="1"/>
  <c r="L88" i="64"/>
  <c r="X88" i="64" s="1"/>
  <c r="L87" i="64"/>
  <c r="X87" i="64" s="1"/>
  <c r="L86" i="64"/>
  <c r="X86" i="64" s="1"/>
  <c r="L85" i="64"/>
  <c r="X85" i="64" s="1"/>
  <c r="L84" i="64"/>
  <c r="X84" i="64" s="1"/>
  <c r="L83" i="64"/>
  <c r="X83" i="64" s="1"/>
  <c r="L82" i="64"/>
  <c r="X82" i="64" s="1"/>
  <c r="L81" i="64"/>
  <c r="X81" i="64" s="1"/>
  <c r="L80" i="64"/>
  <c r="X80" i="64" s="1"/>
  <c r="L79" i="64"/>
  <c r="X79" i="64" s="1"/>
  <c r="L78" i="64"/>
  <c r="X78" i="64" s="1"/>
  <c r="L77" i="64"/>
  <c r="X77" i="64" s="1"/>
  <c r="L75" i="64"/>
  <c r="X75" i="64" s="1"/>
  <c r="L74" i="64"/>
  <c r="X74" i="64" s="1"/>
  <c r="L73" i="64"/>
  <c r="X73" i="64" s="1"/>
  <c r="L72" i="64"/>
  <c r="X72" i="64" s="1"/>
  <c r="L71" i="64"/>
  <c r="X71" i="64" s="1"/>
  <c r="L70" i="64"/>
  <c r="X70" i="64" s="1"/>
  <c r="L69" i="64"/>
  <c r="X69" i="64" s="1"/>
  <c r="L68" i="64"/>
  <c r="X68" i="64" s="1"/>
  <c r="L67" i="64"/>
  <c r="X67" i="64" s="1"/>
  <c r="L66" i="64"/>
  <c r="X66" i="64" s="1"/>
  <c r="L65" i="64"/>
  <c r="X65" i="64" s="1"/>
  <c r="L64" i="64"/>
  <c r="X64" i="64" s="1"/>
  <c r="L63" i="64"/>
  <c r="X63" i="64" s="1"/>
  <c r="L62" i="64"/>
  <c r="X62" i="64" s="1"/>
  <c r="L61" i="64"/>
  <c r="X61" i="64" s="1"/>
  <c r="L60" i="64"/>
  <c r="X60" i="64" s="1"/>
  <c r="L59" i="64"/>
  <c r="X59" i="64" s="1"/>
  <c r="L58" i="64"/>
  <c r="X58" i="64" s="1"/>
  <c r="L57" i="64"/>
  <c r="X57" i="64" s="1"/>
  <c r="L56" i="64"/>
  <c r="X56" i="64" s="1"/>
  <c r="L55" i="64"/>
  <c r="X55" i="64" s="1"/>
  <c r="L54" i="64"/>
  <c r="X54" i="64" s="1"/>
  <c r="L53" i="64"/>
  <c r="X53" i="64" s="1"/>
  <c r="L52" i="64"/>
  <c r="X52" i="64" s="1"/>
  <c r="L51" i="64"/>
  <c r="X51" i="64" s="1"/>
  <c r="L50" i="64"/>
  <c r="X50" i="64" s="1"/>
  <c r="L49" i="64"/>
  <c r="X49" i="64" s="1"/>
  <c r="L48" i="64"/>
  <c r="X48" i="64" s="1"/>
  <c r="L47" i="64"/>
  <c r="X47" i="64" s="1"/>
  <c r="L46" i="64"/>
  <c r="X46" i="64" s="1"/>
  <c r="L45" i="64"/>
  <c r="X45" i="64" s="1"/>
  <c r="L44" i="64"/>
  <c r="X44" i="64" s="1"/>
  <c r="L43" i="64"/>
  <c r="X43" i="64" s="1"/>
  <c r="L42" i="64"/>
  <c r="X42" i="64" s="1"/>
  <c r="L41" i="64"/>
  <c r="X41" i="64" s="1"/>
  <c r="L40" i="64"/>
  <c r="X40" i="64" s="1"/>
  <c r="L39" i="64"/>
  <c r="X39" i="64" s="1"/>
  <c r="L38" i="64"/>
  <c r="X38" i="64" s="1"/>
  <c r="L37" i="64"/>
  <c r="X37" i="64" s="1"/>
  <c r="L36" i="64"/>
  <c r="X36" i="64" s="1"/>
  <c r="L35" i="64"/>
  <c r="X35" i="64" s="1"/>
  <c r="L34" i="64"/>
  <c r="X34" i="64" s="1"/>
  <c r="L33" i="64"/>
  <c r="X33" i="64" s="1"/>
  <c r="L32" i="64"/>
  <c r="X32" i="64" s="1"/>
  <c r="L31" i="64"/>
  <c r="X31" i="64" s="1"/>
  <c r="L30" i="64"/>
  <c r="X30" i="64" s="1"/>
  <c r="L29" i="64"/>
  <c r="X29" i="64" s="1"/>
  <c r="L28" i="64"/>
  <c r="X28" i="64" s="1"/>
  <c r="L27" i="64"/>
  <c r="X27" i="64" s="1"/>
  <c r="L26" i="64"/>
  <c r="X26" i="64" s="1"/>
  <c r="L25" i="64"/>
  <c r="X25" i="64" s="1"/>
  <c r="L24" i="64"/>
  <c r="X24" i="64" s="1"/>
  <c r="L23" i="64"/>
  <c r="X23" i="64" s="1"/>
  <c r="L22" i="64"/>
  <c r="X22" i="64" s="1"/>
  <c r="L21" i="64"/>
  <c r="X21" i="64" s="1"/>
  <c r="L20" i="64"/>
  <c r="X20" i="64" s="1"/>
  <c r="L19" i="64"/>
  <c r="X19" i="64" s="1"/>
  <c r="L18" i="64"/>
  <c r="X18" i="64" s="1"/>
  <c r="L17" i="64"/>
  <c r="X17" i="64" s="1"/>
  <c r="L16" i="64"/>
  <c r="X16" i="64" s="1"/>
  <c r="L15" i="64"/>
  <c r="X15" i="64" s="1"/>
  <c r="L14" i="64"/>
  <c r="X14" i="64" s="1"/>
  <c r="L13" i="64"/>
  <c r="X13" i="64" s="1"/>
  <c r="AD7" i="64"/>
  <c r="AC7" i="64"/>
  <c r="AC8" i="64" s="1"/>
  <c r="AB7" i="64"/>
  <c r="AB8" i="64" s="1"/>
  <c r="AE6" i="64"/>
  <c r="AE7" i="64" s="1"/>
  <c r="AE5" i="64"/>
  <c r="AD8" i="64" l="1"/>
  <c r="L15" i="63"/>
  <c r="L16" i="63"/>
  <c r="L17" i="63"/>
  <c r="L18" i="63"/>
  <c r="L19" i="63"/>
  <c r="L20" i="63"/>
  <c r="L21" i="63"/>
  <c r="L22" i="63"/>
  <c r="L23" i="63"/>
  <c r="L24" i="63"/>
  <c r="L25" i="63"/>
  <c r="L26" i="63"/>
  <c r="L27" i="63"/>
  <c r="L28" i="63"/>
  <c r="L29" i="63"/>
  <c r="L30" i="63"/>
  <c r="L31" i="63"/>
  <c r="L32" i="63"/>
  <c r="L33" i="63"/>
  <c r="L34" i="63"/>
  <c r="L35" i="63"/>
  <c r="L36" i="63"/>
  <c r="L37" i="63"/>
  <c r="L38" i="63"/>
  <c r="L39" i="63"/>
  <c r="L40" i="63"/>
  <c r="L41" i="63"/>
  <c r="L42" i="63"/>
  <c r="L43" i="63"/>
  <c r="L44" i="63"/>
  <c r="L45" i="63"/>
  <c r="L46" i="63"/>
  <c r="L47" i="63"/>
  <c r="L48" i="63"/>
  <c r="L49" i="63"/>
  <c r="L50" i="63"/>
  <c r="L51" i="63"/>
  <c r="L52" i="63"/>
  <c r="L53" i="63"/>
  <c r="L54" i="63"/>
  <c r="L55" i="63"/>
  <c r="L56" i="63"/>
  <c r="L57" i="63"/>
  <c r="L58" i="63"/>
  <c r="L59" i="63"/>
  <c r="L60" i="63"/>
  <c r="L61" i="63"/>
  <c r="L62" i="63"/>
  <c r="L63" i="63"/>
  <c r="L64" i="63"/>
  <c r="L65" i="63"/>
  <c r="L66" i="63"/>
  <c r="L67" i="63"/>
  <c r="L68" i="63"/>
  <c r="L69" i="63"/>
  <c r="L70" i="63"/>
  <c r="L71" i="63"/>
  <c r="L72" i="63"/>
  <c r="L73" i="63"/>
  <c r="L74" i="63"/>
  <c r="L75" i="63"/>
  <c r="L76" i="63"/>
  <c r="L77" i="63"/>
  <c r="L78" i="63"/>
  <c r="L79" i="63"/>
  <c r="L80" i="63"/>
  <c r="L81" i="63"/>
  <c r="L82" i="63"/>
  <c r="L83" i="63"/>
  <c r="L84" i="63"/>
  <c r="L85" i="63"/>
  <c r="L86" i="63"/>
  <c r="L87" i="63"/>
  <c r="L88" i="63"/>
  <c r="L89" i="63"/>
  <c r="L90" i="63"/>
  <c r="L91" i="63"/>
  <c r="L92" i="63"/>
  <c r="L93" i="63"/>
  <c r="L94" i="63"/>
  <c r="L95" i="63"/>
  <c r="L96" i="63"/>
  <c r="L97" i="63"/>
  <c r="L98" i="63"/>
  <c r="L99" i="63"/>
  <c r="L100" i="63"/>
  <c r="L101" i="63"/>
  <c r="L102" i="63"/>
  <c r="L103" i="63"/>
  <c r="L104" i="63"/>
  <c r="L105" i="63"/>
  <c r="L106" i="63"/>
  <c r="L107" i="63"/>
  <c r="L14" i="63"/>
  <c r="L13" i="63"/>
  <c r="X142" i="63" l="1"/>
  <c r="X141" i="63"/>
  <c r="X140" i="63"/>
  <c r="X139" i="63"/>
  <c r="X138" i="63"/>
  <c r="X137" i="63"/>
  <c r="X136" i="63"/>
  <c r="X135" i="63"/>
  <c r="X134" i="63"/>
  <c r="X133" i="63"/>
  <c r="X132" i="63"/>
  <c r="X131" i="63"/>
  <c r="X130" i="63"/>
  <c r="X129" i="63"/>
  <c r="X128" i="63"/>
  <c r="X127" i="63"/>
  <c r="X126" i="63"/>
  <c r="X125" i="63"/>
  <c r="X124" i="63"/>
  <c r="X123" i="63"/>
  <c r="X122" i="63"/>
  <c r="X121" i="63"/>
  <c r="X120" i="63"/>
  <c r="X119" i="63"/>
  <c r="X118" i="63"/>
  <c r="X117" i="63"/>
  <c r="X116" i="63"/>
  <c r="X115" i="63"/>
  <c r="X114" i="63"/>
  <c r="X113" i="63"/>
  <c r="X112" i="63"/>
  <c r="X111" i="63"/>
  <c r="X110" i="63"/>
  <c r="X109" i="63"/>
  <c r="X108" i="63"/>
  <c r="X107" i="63"/>
  <c r="X106" i="63"/>
  <c r="X105" i="63"/>
  <c r="X104" i="63"/>
  <c r="X103" i="63"/>
  <c r="X102" i="63"/>
  <c r="X101" i="63"/>
  <c r="X100" i="63"/>
  <c r="X99" i="63"/>
  <c r="X98" i="63"/>
  <c r="X97" i="63"/>
  <c r="X96" i="63"/>
  <c r="X95" i="63"/>
  <c r="X94" i="63"/>
  <c r="X93" i="63"/>
  <c r="X92" i="63"/>
  <c r="X91" i="63"/>
  <c r="X90" i="63"/>
  <c r="X89" i="63"/>
  <c r="X88" i="63"/>
  <c r="X87" i="63"/>
  <c r="X86" i="63"/>
  <c r="X85" i="63"/>
  <c r="X84" i="63"/>
  <c r="X83" i="63"/>
  <c r="X82" i="63"/>
  <c r="X81" i="63"/>
  <c r="X80" i="63"/>
  <c r="X79" i="63"/>
  <c r="X78" i="63"/>
  <c r="X77" i="63"/>
  <c r="X76" i="63"/>
  <c r="X75" i="63"/>
  <c r="X74" i="63"/>
  <c r="X73" i="63"/>
  <c r="X72" i="63"/>
  <c r="X71" i="63"/>
  <c r="X70" i="63"/>
  <c r="X69" i="63"/>
  <c r="X68" i="63"/>
  <c r="X67" i="63"/>
  <c r="X66" i="63"/>
  <c r="X65" i="63"/>
  <c r="X64" i="63"/>
  <c r="X63" i="63"/>
  <c r="X62" i="63"/>
  <c r="X61" i="63"/>
  <c r="X60" i="63"/>
  <c r="X59" i="63"/>
  <c r="X58" i="63"/>
  <c r="X57" i="63"/>
  <c r="X56" i="63"/>
  <c r="X55" i="63"/>
  <c r="X54" i="63"/>
  <c r="X53" i="63"/>
  <c r="X52" i="63"/>
  <c r="X51" i="63"/>
  <c r="X50" i="63"/>
  <c r="X49" i="63"/>
  <c r="X48" i="63"/>
  <c r="X47" i="63"/>
  <c r="X46" i="63"/>
  <c r="X45" i="63"/>
  <c r="X44" i="63"/>
  <c r="X43" i="63"/>
  <c r="X42" i="63"/>
  <c r="X41" i="63"/>
  <c r="X40" i="63"/>
  <c r="X39" i="63"/>
  <c r="X38" i="63"/>
  <c r="X37" i="63"/>
  <c r="X36" i="63"/>
  <c r="X35" i="63"/>
  <c r="X34" i="63"/>
  <c r="X33" i="63"/>
  <c r="X32" i="63"/>
  <c r="X31" i="63"/>
  <c r="X30" i="63"/>
  <c r="X29" i="63"/>
  <c r="X28" i="63"/>
  <c r="X27" i="63"/>
  <c r="X26" i="63"/>
  <c r="X25" i="63"/>
  <c r="X24" i="63"/>
  <c r="X23" i="63"/>
  <c r="X22" i="63"/>
  <c r="X21" i="63"/>
  <c r="X20" i="63"/>
  <c r="X19" i="63"/>
  <c r="X18" i="63"/>
  <c r="X17" i="63"/>
  <c r="X16" i="63"/>
  <c r="X15" i="63"/>
  <c r="X14" i="63"/>
  <c r="X13" i="63"/>
  <c r="AD7" i="63"/>
  <c r="AC7" i="63"/>
  <c r="AB7" i="63"/>
  <c r="AE6" i="63"/>
  <c r="AE5" i="63"/>
  <c r="AE7" i="63" l="1"/>
  <c r="AC8" i="63" s="1"/>
  <c r="AD8" i="63"/>
  <c r="AB8" i="63"/>
  <c r="U37" i="62"/>
  <c r="U28" i="62"/>
  <c r="U36" i="62" l="1"/>
  <c r="U34" i="62"/>
  <c r="U19" i="62"/>
  <c r="U13" i="62"/>
  <c r="L44" i="62" l="1"/>
  <c r="L43" i="62"/>
  <c r="L42" i="62"/>
  <c r="L41" i="62"/>
  <c r="X41" i="62" s="1"/>
  <c r="L40" i="62"/>
  <c r="L39" i="62"/>
  <c r="L38" i="62"/>
  <c r="L37" i="62"/>
  <c r="X37" i="62" s="1"/>
  <c r="L36" i="62"/>
  <c r="L35" i="62"/>
  <c r="L34" i="62"/>
  <c r="L33" i="62"/>
  <c r="L32" i="62"/>
  <c r="X32" i="62" s="1"/>
  <c r="L31" i="62"/>
  <c r="L30" i="62"/>
  <c r="L29" i="62"/>
  <c r="L28" i="62"/>
  <c r="X28" i="62" s="1"/>
  <c r="L27" i="62"/>
  <c r="L26" i="62"/>
  <c r="L25" i="62"/>
  <c r="L24" i="62"/>
  <c r="L23" i="62"/>
  <c r="L22" i="62"/>
  <c r="L21" i="62"/>
  <c r="L20" i="62"/>
  <c r="L19" i="62"/>
  <c r="L14" i="62"/>
  <c r="L15" i="62"/>
  <c r="L16" i="62"/>
  <c r="L17" i="62"/>
  <c r="X17" i="62" s="1"/>
  <c r="L18" i="62"/>
  <c r="L13" i="62"/>
  <c r="X142" i="62"/>
  <c r="X141" i="62"/>
  <c r="X140" i="62"/>
  <c r="X139" i="62"/>
  <c r="X138" i="62"/>
  <c r="X137" i="62"/>
  <c r="X136" i="62"/>
  <c r="X135" i="62"/>
  <c r="X134" i="62"/>
  <c r="X133" i="62"/>
  <c r="X132" i="62"/>
  <c r="X131" i="62"/>
  <c r="X130" i="62"/>
  <c r="X129" i="62"/>
  <c r="X128" i="62"/>
  <c r="X127" i="62"/>
  <c r="X126" i="62"/>
  <c r="X125" i="62"/>
  <c r="X124" i="62"/>
  <c r="X123" i="62"/>
  <c r="X122" i="62"/>
  <c r="X121" i="62"/>
  <c r="X120" i="62"/>
  <c r="X119" i="62"/>
  <c r="X118" i="62"/>
  <c r="X117" i="62"/>
  <c r="X116" i="62"/>
  <c r="X115" i="62"/>
  <c r="X114" i="62"/>
  <c r="X113" i="62"/>
  <c r="X112" i="62"/>
  <c r="X111" i="62"/>
  <c r="X110" i="62"/>
  <c r="X109" i="62"/>
  <c r="X108" i="62"/>
  <c r="X107" i="62"/>
  <c r="X106" i="62"/>
  <c r="X105" i="62"/>
  <c r="X104" i="62"/>
  <c r="X103" i="62"/>
  <c r="X102" i="62"/>
  <c r="X101" i="62"/>
  <c r="X100" i="62"/>
  <c r="X99" i="62"/>
  <c r="X98" i="62"/>
  <c r="X97" i="62"/>
  <c r="X96" i="62"/>
  <c r="X95" i="62"/>
  <c r="X94" i="62"/>
  <c r="X93" i="62"/>
  <c r="X92" i="62"/>
  <c r="X91" i="62"/>
  <c r="X90" i="62"/>
  <c r="X89" i="62"/>
  <c r="X88" i="62"/>
  <c r="X87" i="62"/>
  <c r="X86" i="62"/>
  <c r="X85" i="62"/>
  <c r="X84" i="62"/>
  <c r="X83" i="62"/>
  <c r="X82" i="62"/>
  <c r="X81" i="62"/>
  <c r="X80" i="62"/>
  <c r="X79" i="62"/>
  <c r="X78" i="62"/>
  <c r="X77" i="62"/>
  <c r="X76" i="62"/>
  <c r="X75" i="62"/>
  <c r="X74" i="62"/>
  <c r="X73" i="62"/>
  <c r="X72" i="62"/>
  <c r="X71" i="62"/>
  <c r="X70" i="62"/>
  <c r="X69" i="62"/>
  <c r="X68" i="62"/>
  <c r="X67" i="62"/>
  <c r="X66" i="62"/>
  <c r="X65" i="62"/>
  <c r="X64" i="62"/>
  <c r="X63" i="62"/>
  <c r="X62" i="62"/>
  <c r="X61" i="62"/>
  <c r="X60" i="62"/>
  <c r="X59" i="62"/>
  <c r="X58" i="62"/>
  <c r="X57" i="62"/>
  <c r="X56" i="62"/>
  <c r="X55" i="62"/>
  <c r="X54" i="62"/>
  <c r="X53" i="62"/>
  <c r="X52" i="62"/>
  <c r="X51" i="62"/>
  <c r="X50" i="62"/>
  <c r="X49" i="62"/>
  <c r="X48" i="62"/>
  <c r="X47" i="62"/>
  <c r="X46" i="62"/>
  <c r="X45" i="62"/>
  <c r="X44" i="62"/>
  <c r="X43" i="62"/>
  <c r="X42" i="62"/>
  <c r="X40" i="62"/>
  <c r="X39" i="62"/>
  <c r="X38" i="62"/>
  <c r="X36" i="62"/>
  <c r="X35" i="62"/>
  <c r="X34" i="62"/>
  <c r="X33" i="62"/>
  <c r="X31" i="62"/>
  <c r="X30" i="62"/>
  <c r="X29" i="62"/>
  <c r="X27" i="62"/>
  <c r="X26" i="62"/>
  <c r="X25" i="62"/>
  <c r="X24" i="62"/>
  <c r="X23" i="62"/>
  <c r="X22" i="62"/>
  <c r="X21" i="62"/>
  <c r="X20" i="62"/>
  <c r="X19" i="62"/>
  <c r="X18" i="62"/>
  <c r="X16" i="62"/>
  <c r="X15" i="62"/>
  <c r="X14" i="62"/>
  <c r="X13" i="62"/>
  <c r="AD7" i="62"/>
  <c r="AC7" i="62"/>
  <c r="AB7" i="62"/>
  <c r="AB8" i="62" s="1"/>
  <c r="AE6" i="62"/>
  <c r="AE5" i="62"/>
  <c r="AE7" i="62" s="1"/>
  <c r="AC8" i="62" l="1"/>
  <c r="AD8" i="62"/>
  <c r="X98" i="61"/>
  <c r="X99" i="61"/>
  <c r="X100" i="61"/>
  <c r="X101" i="61"/>
  <c r="X102" i="61"/>
  <c r="X103" i="61"/>
  <c r="X104" i="61"/>
  <c r="X105" i="61"/>
  <c r="X106" i="61"/>
  <c r="X107" i="61"/>
  <c r="X108" i="61"/>
  <c r="X109" i="61"/>
  <c r="X110" i="61"/>
  <c r="X111" i="61"/>
  <c r="X112" i="61"/>
  <c r="X113" i="61"/>
  <c r="X114" i="61"/>
  <c r="X115" i="61"/>
  <c r="X116" i="61"/>
  <c r="X117" i="61"/>
  <c r="X118" i="61"/>
  <c r="X119" i="61"/>
  <c r="X120" i="61"/>
  <c r="X121" i="61"/>
  <c r="X122" i="61"/>
  <c r="X123" i="61"/>
  <c r="X124" i="61"/>
  <c r="X125" i="61"/>
  <c r="X126" i="61"/>
  <c r="X127" i="61"/>
  <c r="X128" i="61"/>
  <c r="X129" i="61"/>
  <c r="X130" i="61"/>
  <c r="X131" i="61"/>
  <c r="X132" i="61"/>
  <c r="X133" i="61"/>
  <c r="X134" i="61"/>
  <c r="X135" i="61"/>
  <c r="X136" i="61"/>
  <c r="X137" i="61"/>
  <c r="X138" i="61"/>
  <c r="X139" i="61"/>
  <c r="X140" i="61"/>
  <c r="X141" i="61"/>
  <c r="X142" i="61"/>
  <c r="L97" i="61" l="1"/>
  <c r="X97" i="61" s="1"/>
  <c r="L96" i="61"/>
  <c r="X96" i="61" s="1"/>
  <c r="L95" i="61"/>
  <c r="X95" i="61" s="1"/>
  <c r="L94" i="61"/>
  <c r="X94" i="61" s="1"/>
  <c r="L93" i="61"/>
  <c r="X93" i="61" s="1"/>
  <c r="L92" i="61"/>
  <c r="X92" i="61" s="1"/>
  <c r="L91" i="61"/>
  <c r="X91" i="61" s="1"/>
  <c r="L90" i="61" l="1"/>
  <c r="X90" i="61" s="1"/>
  <c r="L89" i="61"/>
  <c r="X89" i="61" s="1"/>
  <c r="L88" i="61"/>
  <c r="X88" i="61" s="1"/>
  <c r="L87" i="61"/>
  <c r="X87" i="61" s="1"/>
  <c r="L86" i="61"/>
  <c r="X86" i="61" s="1"/>
  <c r="L85" i="61"/>
  <c r="X85" i="61" s="1"/>
  <c r="L84" i="61"/>
  <c r="X84" i="61" s="1"/>
  <c r="L83" i="61"/>
  <c r="X83" i="61" s="1"/>
  <c r="L82" i="61"/>
  <c r="X82" i="61" s="1"/>
  <c r="L81" i="61"/>
  <c r="X81" i="61" s="1"/>
  <c r="L80" i="61" l="1"/>
  <c r="X80" i="61" s="1"/>
  <c r="L79" i="61"/>
  <c r="X79" i="61" s="1"/>
  <c r="L78" i="61"/>
  <c r="X78" i="61" s="1"/>
  <c r="L77" i="61"/>
  <c r="X77" i="61" s="1"/>
  <c r="L76" i="61"/>
  <c r="X76" i="61" s="1"/>
  <c r="L75" i="61"/>
  <c r="X75" i="61" s="1"/>
  <c r="L74" i="61"/>
  <c r="X74" i="61" s="1"/>
  <c r="L73" i="61"/>
  <c r="X73" i="61" s="1"/>
  <c r="L72" i="61"/>
  <c r="X72" i="61" s="1"/>
  <c r="L71" i="61"/>
  <c r="X71" i="61" s="1"/>
  <c r="L70" i="61"/>
  <c r="X70" i="61" s="1"/>
  <c r="L69" i="61"/>
  <c r="X69" i="61" s="1"/>
  <c r="L68" i="61"/>
  <c r="X68" i="61" s="1"/>
  <c r="L67" i="61"/>
  <c r="X67" i="61" s="1"/>
  <c r="L66" i="61"/>
  <c r="X66" i="61" s="1"/>
  <c r="L65" i="61"/>
  <c r="X65" i="61" s="1"/>
  <c r="L64" i="61"/>
  <c r="X64" i="61" s="1"/>
  <c r="L63" i="61"/>
  <c r="X63" i="61" s="1"/>
  <c r="L62" i="61"/>
  <c r="X62" i="61" s="1"/>
  <c r="L61" i="61"/>
  <c r="X61" i="61" s="1"/>
  <c r="L60" i="61"/>
  <c r="X60" i="61" s="1"/>
  <c r="L59" i="61"/>
  <c r="X59" i="61" s="1"/>
  <c r="L58" i="61"/>
  <c r="X58" i="61" s="1"/>
  <c r="L57" i="61"/>
  <c r="X57" i="61" s="1"/>
  <c r="L56" i="61"/>
  <c r="X56" i="61" s="1"/>
  <c r="L55" i="61"/>
  <c r="X55" i="61" s="1"/>
  <c r="L54" i="61"/>
  <c r="X54" i="61" s="1"/>
  <c r="L53" i="61"/>
  <c r="X53" i="61" s="1"/>
  <c r="L52" i="61"/>
  <c r="X52" i="61" s="1"/>
  <c r="L51" i="61"/>
  <c r="X51" i="61" s="1"/>
  <c r="L50" i="61"/>
  <c r="X50" i="61" s="1"/>
  <c r="L49" i="61"/>
  <c r="X49" i="61" s="1"/>
  <c r="L48" i="61"/>
  <c r="X48" i="61" s="1"/>
  <c r="L47" i="61"/>
  <c r="X47" i="61" s="1"/>
  <c r="L46" i="61"/>
  <c r="X46" i="61" s="1"/>
  <c r="L45" i="61"/>
  <c r="X45" i="61" s="1"/>
  <c r="L44" i="61"/>
  <c r="X44" i="61" s="1"/>
  <c r="L43" i="61"/>
  <c r="X43" i="61" s="1"/>
  <c r="L42" i="61"/>
  <c r="X42" i="61" s="1"/>
  <c r="L41" i="61"/>
  <c r="X41" i="61" s="1"/>
  <c r="L40" i="61"/>
  <c r="X40" i="61" s="1"/>
  <c r="L39" i="61"/>
  <c r="X39" i="61" s="1"/>
  <c r="L38" i="61"/>
  <c r="X38" i="61" s="1"/>
  <c r="L37" i="61"/>
  <c r="X37" i="61" s="1"/>
  <c r="L36" i="61"/>
  <c r="X36" i="61" s="1"/>
  <c r="L35" i="61" l="1"/>
  <c r="X35" i="61" s="1"/>
  <c r="L34" i="61"/>
  <c r="X34" i="61" s="1"/>
  <c r="L33" i="61"/>
  <c r="X33" i="61" s="1"/>
  <c r="L32" i="61"/>
  <c r="X32" i="61" s="1"/>
  <c r="L31" i="61"/>
  <c r="X31" i="61" s="1"/>
  <c r="L30" i="61"/>
  <c r="X30" i="61" s="1"/>
  <c r="L29" i="61"/>
  <c r="X29" i="61" s="1"/>
  <c r="L28" i="61"/>
  <c r="X28" i="61" s="1"/>
  <c r="L27" i="61"/>
  <c r="X27" i="61" s="1"/>
  <c r="L26" i="61"/>
  <c r="X26" i="61" s="1"/>
  <c r="L25" i="61"/>
  <c r="X25" i="61" s="1"/>
  <c r="L24" i="61"/>
  <c r="X24" i="61" s="1"/>
  <c r="L23" i="61"/>
  <c r="X23" i="61" s="1"/>
  <c r="L22" i="61"/>
  <c r="X22" i="61" s="1"/>
  <c r="L21" i="61"/>
  <c r="X21" i="61" s="1"/>
  <c r="L20" i="61"/>
  <c r="X20" i="61" s="1"/>
  <c r="L14" i="61"/>
  <c r="X14" i="61" s="1"/>
  <c r="L15" i="61"/>
  <c r="X15" i="61" s="1"/>
  <c r="L16" i="61"/>
  <c r="X16" i="61" s="1"/>
  <c r="L17" i="61"/>
  <c r="X17" i="61" s="1"/>
  <c r="L18" i="61"/>
  <c r="X18" i="61" s="1"/>
  <c r="L19" i="61"/>
  <c r="X19" i="61" s="1"/>
  <c r="L13" i="61"/>
  <c r="X13" i="61" s="1"/>
  <c r="AD7" i="61"/>
  <c r="AC7" i="61"/>
  <c r="AB7" i="61"/>
  <c r="AE6" i="61"/>
  <c r="AE5" i="61"/>
  <c r="AE7" i="61" l="1"/>
  <c r="AB8" i="61" s="1"/>
  <c r="AD8" i="61"/>
  <c r="X14" i="60"/>
  <c r="X15" i="60"/>
  <c r="X16" i="60"/>
  <c r="X17" i="60"/>
  <c r="X18" i="60"/>
  <c r="X19" i="60"/>
  <c r="X20" i="60"/>
  <c r="X21" i="60"/>
  <c r="X22" i="60"/>
  <c r="X23" i="60"/>
  <c r="X24" i="60"/>
  <c r="X25" i="60"/>
  <c r="X26" i="60"/>
  <c r="X27" i="60"/>
  <c r="X28" i="60"/>
  <c r="X29" i="60"/>
  <c r="X30" i="60"/>
  <c r="X31" i="60"/>
  <c r="X32" i="60"/>
  <c r="X33" i="60"/>
  <c r="X34" i="60"/>
  <c r="X35" i="60"/>
  <c r="X36" i="60"/>
  <c r="X37" i="60"/>
  <c r="X38" i="60"/>
  <c r="X39" i="60"/>
  <c r="X40" i="60"/>
  <c r="X41" i="60"/>
  <c r="X42" i="60"/>
  <c r="X43" i="60"/>
  <c r="X44" i="60"/>
  <c r="X45" i="60"/>
  <c r="X46" i="60"/>
  <c r="X47" i="60"/>
  <c r="X48" i="60"/>
  <c r="X49" i="60"/>
  <c r="X50" i="60"/>
  <c r="X51" i="60"/>
  <c r="X52" i="60"/>
  <c r="X53" i="60"/>
  <c r="X54" i="60"/>
  <c r="X55" i="60"/>
  <c r="X56" i="60"/>
  <c r="X57" i="60"/>
  <c r="X58" i="60"/>
  <c r="X59" i="60"/>
  <c r="X60" i="60"/>
  <c r="X61" i="60"/>
  <c r="X62" i="60"/>
  <c r="X63" i="60"/>
  <c r="X64" i="60"/>
  <c r="X65" i="60"/>
  <c r="X66" i="60"/>
  <c r="X67" i="60"/>
  <c r="X68" i="60"/>
  <c r="X69" i="60"/>
  <c r="X70" i="60"/>
  <c r="X71" i="60"/>
  <c r="X72" i="60"/>
  <c r="X73" i="60"/>
  <c r="X74" i="60"/>
  <c r="X75" i="60"/>
  <c r="X76" i="60"/>
  <c r="X77" i="60"/>
  <c r="X78" i="60"/>
  <c r="X79" i="60"/>
  <c r="X80" i="60"/>
  <c r="X81" i="60"/>
  <c r="X82" i="60"/>
  <c r="X83" i="60"/>
  <c r="X84" i="60"/>
  <c r="X85" i="60"/>
  <c r="X86" i="60"/>
  <c r="X87" i="60"/>
  <c r="X88" i="60"/>
  <c r="X89" i="60"/>
  <c r="X90" i="60"/>
  <c r="X91" i="60"/>
  <c r="X92" i="60"/>
  <c r="X93" i="60"/>
  <c r="X94" i="60"/>
  <c r="X95" i="60"/>
  <c r="X96" i="60"/>
  <c r="X97" i="60"/>
  <c r="X98" i="60"/>
  <c r="X99" i="60"/>
  <c r="X100" i="60"/>
  <c r="X101" i="60"/>
  <c r="X102" i="60"/>
  <c r="X103" i="60"/>
  <c r="X104" i="60"/>
  <c r="X105" i="60"/>
  <c r="X106" i="60"/>
  <c r="X107" i="60"/>
  <c r="X108" i="60"/>
  <c r="X109" i="60"/>
  <c r="X110" i="60"/>
  <c r="X111" i="60"/>
  <c r="X112" i="60"/>
  <c r="X113" i="60"/>
  <c r="X114" i="60"/>
  <c r="X115" i="60"/>
  <c r="X116" i="60"/>
  <c r="X117" i="60"/>
  <c r="X118" i="60"/>
  <c r="X119" i="60"/>
  <c r="X120" i="60"/>
  <c r="X121" i="60"/>
  <c r="X122" i="60"/>
  <c r="X123" i="60"/>
  <c r="X124" i="60"/>
  <c r="X125" i="60"/>
  <c r="X126" i="60"/>
  <c r="X127" i="60"/>
  <c r="X128" i="60"/>
  <c r="X129" i="60"/>
  <c r="X130" i="60"/>
  <c r="X131" i="60"/>
  <c r="X132" i="60"/>
  <c r="X133" i="60"/>
  <c r="X134" i="60"/>
  <c r="X135" i="60"/>
  <c r="X136" i="60"/>
  <c r="X137" i="60"/>
  <c r="X138" i="60"/>
  <c r="X139" i="60"/>
  <c r="X140" i="60"/>
  <c r="X141" i="60"/>
  <c r="X142" i="60"/>
  <c r="AC8" i="61" l="1"/>
  <c r="U15" i="60"/>
  <c r="U68" i="60"/>
  <c r="U57" i="60"/>
  <c r="U53" i="60"/>
  <c r="U51" i="60"/>
  <c r="U49" i="60"/>
  <c r="U40" i="60"/>
  <c r="U37" i="60"/>
  <c r="U35" i="60"/>
  <c r="U30" i="60"/>
  <c r="U23" i="60"/>
  <c r="U22" i="60"/>
  <c r="U13" i="60"/>
  <c r="U71" i="60"/>
  <c r="L75" i="60"/>
  <c r="L74" i="60"/>
  <c r="L73" i="60"/>
  <c r="L72" i="60"/>
  <c r="L71" i="60"/>
  <c r="L70" i="60" l="1"/>
  <c r="L69" i="60"/>
  <c r="L68" i="60"/>
  <c r="L67" i="60"/>
  <c r="L66" i="60"/>
  <c r="L65" i="60"/>
  <c r="L64" i="60"/>
  <c r="L63" i="60"/>
  <c r="L62" i="60"/>
  <c r="L61" i="60"/>
  <c r="L60" i="60"/>
  <c r="L59" i="60"/>
  <c r="L58" i="60"/>
  <c r="L57" i="60"/>
  <c r="L56" i="60" l="1"/>
  <c r="L55" i="60"/>
  <c r="L54" i="60"/>
  <c r="L53" i="60"/>
  <c r="L51" i="60"/>
  <c r="L52" i="60"/>
  <c r="L50" i="60"/>
  <c r="L49" i="60"/>
  <c r="L48" i="60"/>
  <c r="L47" i="60"/>
  <c r="L46" i="60"/>
  <c r="L45" i="60"/>
  <c r="L44" i="60"/>
  <c r="L43" i="60"/>
  <c r="L42" i="60"/>
  <c r="L41" i="60"/>
  <c r="L40" i="60"/>
  <c r="L39" i="60"/>
  <c r="L38" i="60"/>
  <c r="L37" i="60"/>
  <c r="L36" i="60" l="1"/>
  <c r="L35" i="60"/>
  <c r="L34" i="60"/>
  <c r="L33" i="60"/>
  <c r="L32" i="60"/>
  <c r="L31" i="60"/>
  <c r="L30" i="60"/>
  <c r="U42" i="59" l="1"/>
  <c r="U40" i="59"/>
  <c r="U34" i="59"/>
  <c r="U23" i="59"/>
  <c r="U24" i="59"/>
  <c r="U13" i="59"/>
  <c r="L29" i="60" l="1"/>
  <c r="L28" i="60"/>
  <c r="L27" i="60"/>
  <c r="L26" i="60"/>
  <c r="L25" i="60"/>
  <c r="L24" i="60"/>
  <c r="L23" i="60"/>
  <c r="L22" i="60"/>
  <c r="L21" i="60"/>
  <c r="L20" i="60"/>
  <c r="L19" i="60"/>
  <c r="L18" i="60"/>
  <c r="L17" i="60"/>
  <c r="L16" i="60"/>
  <c r="L15" i="60"/>
  <c r="L14" i="60" l="1"/>
  <c r="L13" i="60"/>
  <c r="X13" i="60" s="1"/>
  <c r="AD7" i="60"/>
  <c r="AC7" i="60"/>
  <c r="AB7" i="60"/>
  <c r="AE6" i="60"/>
  <c r="AE5" i="60"/>
  <c r="AE7" i="60" s="1"/>
  <c r="AD8" i="60" l="1"/>
  <c r="AB8" i="60"/>
  <c r="AC8" i="60"/>
  <c r="L35" i="59"/>
  <c r="L36" i="59"/>
  <c r="L37" i="59"/>
  <c r="L38" i="59"/>
  <c r="L39" i="59"/>
  <c r="L27" i="59"/>
  <c r="L28" i="59"/>
  <c r="L29" i="59"/>
  <c r="L30" i="59"/>
  <c r="L31" i="59"/>
  <c r="L32" i="59"/>
  <c r="L33" i="59"/>
  <c r="L22" i="59"/>
  <c r="X142" i="59" l="1"/>
  <c r="X141" i="59"/>
  <c r="X140" i="59"/>
  <c r="X139" i="59"/>
  <c r="X138" i="59"/>
  <c r="X137" i="59"/>
  <c r="X136" i="59"/>
  <c r="X135" i="59"/>
  <c r="X134" i="59"/>
  <c r="X133" i="59"/>
  <c r="X132" i="59"/>
  <c r="X131" i="59"/>
  <c r="X130" i="59"/>
  <c r="X129" i="59"/>
  <c r="X128" i="59"/>
  <c r="X127" i="59"/>
  <c r="X126" i="59"/>
  <c r="X125" i="59"/>
  <c r="X124" i="59"/>
  <c r="X123" i="59"/>
  <c r="X122" i="59"/>
  <c r="X121" i="59"/>
  <c r="X120" i="59"/>
  <c r="X119" i="59"/>
  <c r="X118" i="59"/>
  <c r="X117" i="59"/>
  <c r="X116" i="59"/>
  <c r="X115" i="59"/>
  <c r="X114" i="59"/>
  <c r="X113" i="59"/>
  <c r="X112" i="59"/>
  <c r="X111" i="59"/>
  <c r="X110" i="59"/>
  <c r="X109" i="59"/>
  <c r="X108" i="59"/>
  <c r="X107" i="59"/>
  <c r="X106" i="59"/>
  <c r="X105" i="59"/>
  <c r="X104" i="59"/>
  <c r="X103" i="59"/>
  <c r="X102" i="59"/>
  <c r="X101" i="59"/>
  <c r="X100" i="59"/>
  <c r="X99" i="59"/>
  <c r="X98" i="59"/>
  <c r="X97" i="59"/>
  <c r="X96" i="59"/>
  <c r="X95" i="59"/>
  <c r="X94" i="59"/>
  <c r="X93" i="59"/>
  <c r="X92" i="59"/>
  <c r="X91" i="59"/>
  <c r="X90" i="59"/>
  <c r="X89" i="59"/>
  <c r="X88" i="59"/>
  <c r="L87" i="59"/>
  <c r="X87" i="59" s="1"/>
  <c r="L86" i="59"/>
  <c r="X86" i="59" s="1"/>
  <c r="L85" i="59"/>
  <c r="X85" i="59" s="1"/>
  <c r="L84" i="59"/>
  <c r="X84" i="59" s="1"/>
  <c r="L83" i="59"/>
  <c r="X83" i="59" s="1"/>
  <c r="L82" i="59"/>
  <c r="X82" i="59" s="1"/>
  <c r="L81" i="59"/>
  <c r="X81" i="59" s="1"/>
  <c r="L80" i="59"/>
  <c r="X80" i="59" s="1"/>
  <c r="L79" i="59"/>
  <c r="X79" i="59" s="1"/>
  <c r="L78" i="59"/>
  <c r="X78" i="59" s="1"/>
  <c r="L77" i="59"/>
  <c r="X77" i="59" s="1"/>
  <c r="L76" i="59"/>
  <c r="X76" i="59" s="1"/>
  <c r="L75" i="59"/>
  <c r="X75" i="59" s="1"/>
  <c r="L74" i="59"/>
  <c r="X74" i="59" s="1"/>
  <c r="L73" i="59"/>
  <c r="X73" i="59" s="1"/>
  <c r="L72" i="59"/>
  <c r="X72" i="59" s="1"/>
  <c r="L71" i="59"/>
  <c r="X71" i="59" s="1"/>
  <c r="L70" i="59"/>
  <c r="X70" i="59" s="1"/>
  <c r="L69" i="59"/>
  <c r="X69" i="59" s="1"/>
  <c r="L68" i="59"/>
  <c r="X68" i="59" s="1"/>
  <c r="L67" i="59"/>
  <c r="X67" i="59" s="1"/>
  <c r="L66" i="59"/>
  <c r="X66" i="59" s="1"/>
  <c r="L65" i="59"/>
  <c r="X65" i="59" s="1"/>
  <c r="L64" i="59"/>
  <c r="X64" i="59" s="1"/>
  <c r="L63" i="59"/>
  <c r="X63" i="59" s="1"/>
  <c r="L62" i="59"/>
  <c r="X62" i="59" s="1"/>
  <c r="L61" i="59"/>
  <c r="X61" i="59" s="1"/>
  <c r="L60" i="59"/>
  <c r="X60" i="59" s="1"/>
  <c r="L59" i="59"/>
  <c r="X59" i="59" s="1"/>
  <c r="L58" i="59"/>
  <c r="X58" i="59" s="1"/>
  <c r="L57" i="59"/>
  <c r="X57" i="59" s="1"/>
  <c r="L56" i="59"/>
  <c r="X56" i="59" s="1"/>
  <c r="L55" i="59"/>
  <c r="X55" i="59" s="1"/>
  <c r="L54" i="59"/>
  <c r="X54" i="59" s="1"/>
  <c r="L53" i="59"/>
  <c r="X53" i="59" s="1"/>
  <c r="L52" i="59"/>
  <c r="X52" i="59" s="1"/>
  <c r="L51" i="59"/>
  <c r="X51" i="59" s="1"/>
  <c r="L50" i="59"/>
  <c r="X50" i="59" s="1"/>
  <c r="L49" i="59"/>
  <c r="X49" i="59" s="1"/>
  <c r="L48" i="59"/>
  <c r="X48" i="59" s="1"/>
  <c r="L47" i="59"/>
  <c r="X47" i="59" s="1"/>
  <c r="L46" i="59"/>
  <c r="X46" i="59" s="1"/>
  <c r="L45" i="59"/>
  <c r="X45" i="59" s="1"/>
  <c r="L44" i="59"/>
  <c r="X44" i="59" s="1"/>
  <c r="L43" i="59"/>
  <c r="X43" i="59" s="1"/>
  <c r="L42" i="59"/>
  <c r="X42" i="59" s="1"/>
  <c r="L41" i="59"/>
  <c r="X41" i="59" s="1"/>
  <c r="L40" i="59"/>
  <c r="X40" i="59" s="1"/>
  <c r="X39" i="59"/>
  <c r="X38" i="59"/>
  <c r="X37" i="59"/>
  <c r="X36" i="59"/>
  <c r="X35" i="59"/>
  <c r="L34" i="59"/>
  <c r="X34" i="59" s="1"/>
  <c r="X33" i="59"/>
  <c r="X32" i="59"/>
  <c r="X31" i="59"/>
  <c r="X30" i="59"/>
  <c r="X29" i="59"/>
  <c r="X28" i="59"/>
  <c r="X27" i="59"/>
  <c r="L26" i="59"/>
  <c r="X26" i="59" s="1"/>
  <c r="L25" i="59"/>
  <c r="X25" i="59" s="1"/>
  <c r="L24" i="59"/>
  <c r="X24" i="59" s="1"/>
  <c r="L23" i="59"/>
  <c r="X23" i="59" s="1"/>
  <c r="L21" i="59"/>
  <c r="X21" i="59" s="1"/>
  <c r="L20" i="59"/>
  <c r="X20" i="59" s="1"/>
  <c r="L19" i="59"/>
  <c r="X19" i="59" s="1"/>
  <c r="L18" i="59"/>
  <c r="X18" i="59" s="1"/>
  <c r="L17" i="59"/>
  <c r="X17" i="59" s="1"/>
  <c r="L16" i="59"/>
  <c r="X16" i="59" s="1"/>
  <c r="L15" i="59"/>
  <c r="X15" i="59" s="1"/>
  <c r="L14" i="59"/>
  <c r="X14" i="59" s="1"/>
  <c r="L13" i="59"/>
  <c r="X13" i="59" s="1"/>
  <c r="AD7" i="59"/>
  <c r="AC7" i="59"/>
  <c r="AB7" i="59"/>
  <c r="AE6" i="59"/>
  <c r="AE5" i="59"/>
  <c r="AE7" i="59" l="1"/>
  <c r="AD8" i="59"/>
  <c r="AB8" i="59"/>
  <c r="AC8" i="59"/>
  <c r="X142" i="58"/>
  <c r="X141" i="58"/>
  <c r="X140" i="58"/>
  <c r="X139" i="58"/>
  <c r="X138" i="58"/>
  <c r="X137" i="58"/>
  <c r="X136" i="58"/>
  <c r="X135" i="58"/>
  <c r="X134" i="58"/>
  <c r="X133" i="58"/>
  <c r="X132" i="58"/>
  <c r="X131" i="58"/>
  <c r="X130" i="58"/>
  <c r="X129" i="58"/>
  <c r="X128" i="58"/>
  <c r="X127" i="58"/>
  <c r="X126" i="58"/>
  <c r="X125" i="58"/>
  <c r="X124" i="58"/>
  <c r="X123" i="58"/>
  <c r="X122" i="58"/>
  <c r="X121" i="58"/>
  <c r="X120" i="58"/>
  <c r="X119" i="58"/>
  <c r="X118" i="58"/>
  <c r="X117" i="58"/>
  <c r="X116" i="58"/>
  <c r="X115" i="58"/>
  <c r="X114" i="58"/>
  <c r="X113" i="58"/>
  <c r="X112" i="58"/>
  <c r="X111" i="58"/>
  <c r="X110" i="58"/>
  <c r="X109" i="58"/>
  <c r="X108" i="58"/>
  <c r="X107" i="58"/>
  <c r="X106" i="58"/>
  <c r="X105" i="58"/>
  <c r="X104" i="58"/>
  <c r="X103" i="58"/>
  <c r="X102" i="58"/>
  <c r="X101" i="58"/>
  <c r="X100" i="58"/>
  <c r="X99" i="58"/>
  <c r="X98" i="58"/>
  <c r="X97" i="58"/>
  <c r="X96" i="58"/>
  <c r="X95" i="58"/>
  <c r="X94" i="58"/>
  <c r="X93" i="58"/>
  <c r="X92" i="58"/>
  <c r="X91" i="58"/>
  <c r="X90" i="58"/>
  <c r="X89" i="58"/>
  <c r="X88" i="58"/>
  <c r="U87" i="58" l="1"/>
  <c r="U78" i="58"/>
  <c r="U72" i="58"/>
  <c r="U70" i="58"/>
  <c r="U69" i="58"/>
  <c r="U66" i="58"/>
  <c r="U61" i="58"/>
  <c r="U59" i="58"/>
  <c r="U57" i="58"/>
  <c r="U38" i="58"/>
  <c r="U36" i="58"/>
  <c r="U34" i="58"/>
  <c r="U31" i="58"/>
  <c r="U13" i="58"/>
  <c r="L87" i="58" l="1"/>
  <c r="X87" i="58" s="1"/>
  <c r="L86" i="58"/>
  <c r="X86" i="58" s="1"/>
  <c r="L85" i="58"/>
  <c r="X85" i="58" s="1"/>
  <c r="L84" i="58"/>
  <c r="X84" i="58" s="1"/>
  <c r="L83" i="58"/>
  <c r="X83" i="58" s="1"/>
  <c r="L82" i="58"/>
  <c r="X82" i="58" s="1"/>
  <c r="L81" i="58"/>
  <c r="X81" i="58" s="1"/>
  <c r="L80" i="58"/>
  <c r="X80" i="58" s="1"/>
  <c r="L79" i="58"/>
  <c r="X79" i="58" s="1"/>
  <c r="L78" i="58"/>
  <c r="X78" i="58" s="1"/>
  <c r="L77" i="58"/>
  <c r="X77" i="58" s="1"/>
  <c r="L76" i="58"/>
  <c r="X76" i="58" s="1"/>
  <c r="L75" i="58"/>
  <c r="X75" i="58" s="1"/>
  <c r="L74" i="58"/>
  <c r="X74" i="58" s="1"/>
  <c r="L73" i="58"/>
  <c r="X73" i="58" s="1"/>
  <c r="L72" i="58"/>
  <c r="X72" i="58" s="1"/>
  <c r="L71" i="58"/>
  <c r="X71" i="58" s="1"/>
  <c r="L70" i="58"/>
  <c r="X70" i="58" s="1"/>
  <c r="L69" i="58"/>
  <c r="X69" i="58" s="1"/>
  <c r="L68" i="58"/>
  <c r="L67" i="58"/>
  <c r="L66" i="58"/>
  <c r="L61" i="58"/>
  <c r="X61" i="58" s="1"/>
  <c r="L62" i="58"/>
  <c r="X62" i="58" s="1"/>
  <c r="L63" i="58"/>
  <c r="X63" i="58" s="1"/>
  <c r="L64" i="58"/>
  <c r="X64" i="58" s="1"/>
  <c r="L65" i="58"/>
  <c r="X65" i="58" s="1"/>
  <c r="L60" i="58"/>
  <c r="X60" i="58" s="1"/>
  <c r="L59" i="58"/>
  <c r="X59" i="58" s="1"/>
  <c r="L58" i="58" l="1"/>
  <c r="X58" i="58" s="1"/>
  <c r="L57" i="58"/>
  <c r="X57" i="58" s="1"/>
  <c r="L39" i="58"/>
  <c r="X39" i="58" s="1"/>
  <c r="L40" i="58"/>
  <c r="X40" i="58" s="1"/>
  <c r="L41" i="58"/>
  <c r="X41" i="58" s="1"/>
  <c r="L42" i="58"/>
  <c r="X42" i="58" s="1"/>
  <c r="L43" i="58"/>
  <c r="X43" i="58" s="1"/>
  <c r="L44" i="58"/>
  <c r="X44" i="58" s="1"/>
  <c r="L45" i="58"/>
  <c r="X45" i="58" s="1"/>
  <c r="L46" i="58"/>
  <c r="X46" i="58" s="1"/>
  <c r="L47" i="58"/>
  <c r="X47" i="58" s="1"/>
  <c r="L48" i="58"/>
  <c r="X48" i="58" s="1"/>
  <c r="L49" i="58"/>
  <c r="X49" i="58" s="1"/>
  <c r="L50" i="58"/>
  <c r="X50" i="58" s="1"/>
  <c r="L51" i="58"/>
  <c r="X51" i="58" s="1"/>
  <c r="L52" i="58"/>
  <c r="X52" i="58" s="1"/>
  <c r="L53" i="58"/>
  <c r="X53" i="58" s="1"/>
  <c r="L54" i="58"/>
  <c r="X54" i="58" s="1"/>
  <c r="L55" i="58"/>
  <c r="X55" i="58" s="1"/>
  <c r="L56" i="58"/>
  <c r="X56" i="58" s="1"/>
  <c r="L38" i="58"/>
  <c r="X38" i="58" s="1"/>
  <c r="L37" i="58" l="1"/>
  <c r="X37" i="58" s="1"/>
  <c r="L36" i="58"/>
  <c r="X36" i="58" s="1"/>
  <c r="L35" i="58"/>
  <c r="L34" i="58"/>
  <c r="L33" i="58"/>
  <c r="X33" i="58" s="1"/>
  <c r="L32" i="58"/>
  <c r="X32" i="58" s="1"/>
  <c r="L31" i="58"/>
  <c r="X31" i="58" s="1"/>
  <c r="L14" i="58"/>
  <c r="X14" i="58" s="1"/>
  <c r="L15" i="58"/>
  <c r="X15" i="58" s="1"/>
  <c r="L16" i="58"/>
  <c r="X16" i="58" s="1"/>
  <c r="L17" i="58"/>
  <c r="X17" i="58" s="1"/>
  <c r="L18" i="58"/>
  <c r="X18" i="58" s="1"/>
  <c r="L19" i="58"/>
  <c r="X19" i="58" s="1"/>
  <c r="L20" i="58"/>
  <c r="X20" i="58" s="1"/>
  <c r="L21" i="58"/>
  <c r="X21" i="58" s="1"/>
  <c r="L22" i="58"/>
  <c r="X22" i="58" s="1"/>
  <c r="L23" i="58"/>
  <c r="X23" i="58" s="1"/>
  <c r="L24" i="58"/>
  <c r="X24" i="58" s="1"/>
  <c r="L25" i="58"/>
  <c r="X25" i="58" s="1"/>
  <c r="L26" i="58"/>
  <c r="X26" i="58" s="1"/>
  <c r="L27" i="58"/>
  <c r="X27" i="58" s="1"/>
  <c r="L28" i="58"/>
  <c r="X28" i="58" s="1"/>
  <c r="L29" i="58"/>
  <c r="X29" i="58" s="1"/>
  <c r="L30" i="58"/>
  <c r="X30" i="58" s="1"/>
  <c r="L13" i="58"/>
  <c r="X13" i="58" s="1"/>
  <c r="X35" i="58" l="1"/>
  <c r="X68" i="58"/>
  <c r="X67" i="58"/>
  <c r="X66" i="58"/>
  <c r="X34" i="58"/>
  <c r="AE7" i="58"/>
  <c r="AD7" i="58"/>
  <c r="AC7" i="58"/>
  <c r="AF6" i="58"/>
  <c r="AF5" i="58"/>
  <c r="AF7" i="58" l="1"/>
  <c r="AC8" i="58"/>
  <c r="AD8" i="58"/>
  <c r="AE8" i="58"/>
  <c r="M16" i="46" l="1"/>
  <c r="M15" i="46"/>
  <c r="L16" i="46"/>
  <c r="L15" i="46"/>
  <c r="K16" i="46"/>
  <c r="J16" i="46"/>
  <c r="J15" i="46"/>
  <c r="I16" i="46"/>
  <c r="I15" i="46"/>
  <c r="H16" i="46"/>
  <c r="G16" i="46"/>
  <c r="G15" i="46"/>
  <c r="F16" i="46"/>
  <c r="F15" i="46"/>
  <c r="E16" i="46"/>
  <c r="E15" i="46"/>
  <c r="D16" i="46"/>
  <c r="D15" i="46"/>
  <c r="C16" i="46"/>
  <c r="C15" i="46"/>
  <c r="B16" i="46"/>
  <c r="B15" i="46"/>
  <c r="T9" i="46"/>
  <c r="K15" i="46" s="1"/>
  <c r="N9" i="46"/>
  <c r="H15" i="46" s="1"/>
  <c r="R11" i="46"/>
  <c r="N11" i="46"/>
  <c r="B11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B10" i="46"/>
  <c r="W11" i="46"/>
  <c r="V11" i="46"/>
  <c r="U11" i="46"/>
  <c r="T11" i="46"/>
  <c r="S11" i="46"/>
  <c r="Q11" i="46"/>
  <c r="P11" i="46"/>
  <c r="O11" i="46"/>
  <c r="M11" i="46"/>
  <c r="L11" i="46"/>
  <c r="K11" i="46"/>
  <c r="J11" i="46"/>
  <c r="I11" i="46"/>
  <c r="H11" i="46"/>
  <c r="G11" i="46"/>
  <c r="F11" i="46"/>
  <c r="E11" i="46"/>
  <c r="D11" i="46"/>
  <c r="C11" i="46"/>
  <c r="O10" i="26"/>
  <c r="N10" i="26"/>
  <c r="M10" i="26"/>
  <c r="L10" i="26"/>
  <c r="K10" i="26"/>
  <c r="J10" i="26"/>
  <c r="I10" i="26"/>
  <c r="H10" i="26"/>
  <c r="G10" i="26"/>
  <c r="E20" i="26"/>
  <c r="F10" i="26"/>
  <c r="E10" i="26"/>
  <c r="F134" i="21"/>
  <c r="N7" i="8" s="1"/>
  <c r="F132" i="21"/>
  <c r="D131" i="21"/>
  <c r="F131" i="21" s="1"/>
  <c r="F121" i="21"/>
  <c r="F120" i="21"/>
  <c r="M5" i="8" s="1"/>
  <c r="E124" i="21"/>
  <c r="D123" i="21"/>
  <c r="D124" i="21" s="1"/>
  <c r="F109" i="21"/>
  <c r="E113" i="21"/>
  <c r="D112" i="21"/>
  <c r="F112" i="21" s="1"/>
  <c r="L7" i="8" s="1"/>
  <c r="D110" i="21"/>
  <c r="D113" i="21" s="1"/>
  <c r="F101" i="21"/>
  <c r="F99" i="21"/>
  <c r="K6" i="8" s="1"/>
  <c r="F98" i="21"/>
  <c r="E102" i="21"/>
  <c r="D102" i="21"/>
  <c r="F90" i="21"/>
  <c r="J7" i="8" s="1"/>
  <c r="F88" i="21"/>
  <c r="F87" i="21"/>
  <c r="E91" i="21"/>
  <c r="F91" i="21" s="1"/>
  <c r="J8" i="8" s="1"/>
  <c r="D91" i="21"/>
  <c r="F79" i="21"/>
  <c r="F77" i="21"/>
  <c r="F76" i="21"/>
  <c r="I5" i="8" s="1"/>
  <c r="E80" i="21"/>
  <c r="D80" i="21"/>
  <c r="F68" i="21"/>
  <c r="F65" i="21"/>
  <c r="H6" i="8" s="1"/>
  <c r="F64" i="21"/>
  <c r="F56" i="21"/>
  <c r="F53" i="21"/>
  <c r="E57" i="21"/>
  <c r="D52" i="21"/>
  <c r="D57" i="21" s="1"/>
  <c r="F57" i="21" s="1"/>
  <c r="G8" i="8" s="1"/>
  <c r="E45" i="21"/>
  <c r="F45" i="21" s="1"/>
  <c r="F8" i="8" s="1"/>
  <c r="D45" i="21"/>
  <c r="F44" i="21"/>
  <c r="F42" i="21"/>
  <c r="F6" i="8" s="1"/>
  <c r="F41" i="21"/>
  <c r="F5" i="8" s="1"/>
  <c r="D19" i="21"/>
  <c r="G33" i="21"/>
  <c r="G31" i="21"/>
  <c r="E6" i="8" s="1"/>
  <c r="F22" i="21"/>
  <c r="F20" i="21"/>
  <c r="F19" i="21"/>
  <c r="D5" i="8" s="1"/>
  <c r="E34" i="21"/>
  <c r="F30" i="21"/>
  <c r="F34" i="21" s="1"/>
  <c r="D30" i="21"/>
  <c r="D34" i="21" s="1"/>
  <c r="G30" i="21"/>
  <c r="E5" i="8" s="1"/>
  <c r="E23" i="21"/>
  <c r="D23" i="21"/>
  <c r="N17" i="8"/>
  <c r="M17" i="8"/>
  <c r="L17" i="8"/>
  <c r="K17" i="8"/>
  <c r="J17" i="8"/>
  <c r="I17" i="8"/>
  <c r="H17" i="8"/>
  <c r="G17" i="8"/>
  <c r="F17" i="8"/>
  <c r="E17" i="8"/>
  <c r="D17" i="8"/>
  <c r="C17" i="8"/>
  <c r="N6" i="8"/>
  <c r="M6" i="8"/>
  <c r="L5" i="8"/>
  <c r="K7" i="8"/>
  <c r="K5" i="8"/>
  <c r="J6" i="8"/>
  <c r="J5" i="8"/>
  <c r="I7" i="8"/>
  <c r="I6" i="8"/>
  <c r="H7" i="8"/>
  <c r="H5" i="8"/>
  <c r="G7" i="8"/>
  <c r="G6" i="8"/>
  <c r="F7" i="8"/>
  <c r="E7" i="8"/>
  <c r="D7" i="8"/>
  <c r="D6" i="8"/>
  <c r="F11" i="21"/>
  <c r="C7" i="8" s="1"/>
  <c r="F9" i="21"/>
  <c r="C6" i="8" s="1"/>
  <c r="E12" i="21"/>
  <c r="D8" i="21"/>
  <c r="D12" i="21" s="1"/>
  <c r="F52" i="21" l="1"/>
  <c r="G5" i="8" s="1"/>
  <c r="F8" i="21"/>
  <c r="C5" i="8" s="1"/>
  <c r="F113" i="21"/>
  <c r="L8" i="8" s="1"/>
  <c r="F12" i="21"/>
  <c r="C8" i="8" s="1"/>
  <c r="F23" i="21"/>
  <c r="D8" i="8" s="1"/>
  <c r="G34" i="21"/>
  <c r="E8" i="8" s="1"/>
  <c r="F102" i="21"/>
  <c r="K8" i="8" s="1"/>
  <c r="F110" i="21"/>
  <c r="L6" i="8" s="1"/>
  <c r="F69" i="21"/>
  <c r="H8" i="8" s="1"/>
  <c r="F80" i="21"/>
  <c r="I8" i="8" s="1"/>
  <c r="F135" i="21"/>
  <c r="N8" i="8" s="1"/>
  <c r="N5" i="8"/>
  <c r="F123" i="21"/>
  <c r="F124" i="21" l="1"/>
  <c r="M8" i="8" s="1"/>
  <c r="M7" i="8"/>
</calcChain>
</file>

<file path=xl/sharedStrings.xml><?xml version="1.0" encoding="utf-8"?>
<sst xmlns="http://schemas.openxmlformats.org/spreadsheetml/2006/main" count="7362" uniqueCount="922">
  <si>
    <t>No.</t>
  </si>
  <si>
    <t>Invoice</t>
  </si>
  <si>
    <t>Forwader</t>
  </si>
  <si>
    <t>Selectivity</t>
  </si>
  <si>
    <t>Measurement</t>
  </si>
  <si>
    <t>Export date</t>
  </si>
  <si>
    <t>PCS</t>
  </si>
  <si>
    <t>Material</t>
  </si>
  <si>
    <t>Remark</t>
  </si>
  <si>
    <t>Cargo</t>
  </si>
  <si>
    <t>Customs Declaration sheet</t>
  </si>
  <si>
    <t>Order Department</t>
  </si>
  <si>
    <t>Invoice #</t>
  </si>
  <si>
    <t>Date</t>
  </si>
  <si>
    <t>Invoice type</t>
  </si>
  <si>
    <t>Name</t>
  </si>
  <si>
    <t>Type of Cargo</t>
  </si>
  <si>
    <t>CDS #</t>
  </si>
  <si>
    <t>Non-Commercial</t>
  </si>
  <si>
    <t>Yusen</t>
  </si>
  <si>
    <t>Green</t>
  </si>
  <si>
    <t>Total</t>
  </si>
  <si>
    <t>Yellow</t>
  </si>
  <si>
    <t>Red</t>
  </si>
  <si>
    <t>Non-commercial</t>
  </si>
  <si>
    <t>Item</t>
  </si>
  <si>
    <t>Total export fee
(Forwarder service fee + Transportation fee)</t>
  </si>
  <si>
    <t>Invoice Qty</t>
  </si>
  <si>
    <t>Sample for testing</t>
  </si>
  <si>
    <t>YUSEN</t>
  </si>
  <si>
    <t>RUBBER SAMPLE</t>
  </si>
  <si>
    <t>Term</t>
  </si>
  <si>
    <t>DDP</t>
  </si>
  <si>
    <t>RING JIG</t>
  </si>
  <si>
    <t>GW</t>
  </si>
  <si>
    <t>CARIER</t>
  </si>
  <si>
    <t>SAGAWA</t>
  </si>
  <si>
    <t>BILL NO</t>
  </si>
  <si>
    <t>Fee</t>
  </si>
  <si>
    <t>Weight (kg)</t>
  </si>
  <si>
    <t>PCS
(Without doing customs clearance)</t>
  </si>
  <si>
    <t>Total fee (USD)</t>
  </si>
  <si>
    <t>Total fee
(USD)</t>
  </si>
  <si>
    <t>3</t>
  </si>
  <si>
    <t>6</t>
  </si>
  <si>
    <t>Carrier</t>
  </si>
  <si>
    <t>Forwarder
(Do customs clearance)</t>
  </si>
  <si>
    <t>1</t>
  </si>
  <si>
    <t>50820TLAA0-Z023-A01</t>
  </si>
  <si>
    <t>50820TLAA0-Z023-A02</t>
  </si>
  <si>
    <t>50820TLAA0-Z023-A03</t>
  </si>
  <si>
    <t>50820TLAA0-Z023-A04</t>
  </si>
  <si>
    <t>50820TLAA0-Z023-A05</t>
  </si>
  <si>
    <t>50820TLAA0-Z023-A06</t>
  </si>
  <si>
    <t>50820TLAA0-Z035-A01</t>
  </si>
  <si>
    <t>50820THBH0-Z022-F01</t>
  </si>
  <si>
    <t>TLA JIG  for Durability test</t>
  </si>
  <si>
    <t>YTVN052-EX</t>
  </si>
  <si>
    <t>51391-T5A</t>
    <phoneticPr fontId="3"/>
  </si>
  <si>
    <t>51392-T5A</t>
    <phoneticPr fontId="3"/>
  </si>
  <si>
    <t>52385-14FIT</t>
    <phoneticPr fontId="3"/>
  </si>
  <si>
    <t>PL-16128-COMP-FR</t>
    <phoneticPr fontId="3"/>
  </si>
  <si>
    <t>PL-16128-LWR-FR</t>
    <phoneticPr fontId="3"/>
  </si>
  <si>
    <t>PL-16128-COMP-RR</t>
    <phoneticPr fontId="3"/>
  </si>
  <si>
    <t>51397-LWR-FR</t>
    <phoneticPr fontId="4"/>
  </si>
  <si>
    <t>51392-TBA-A011-M1</t>
    <phoneticPr fontId="4"/>
  </si>
  <si>
    <t>52377 -TEA-T010-M1</t>
    <phoneticPr fontId="4"/>
  </si>
  <si>
    <t>52378 -TEA-T010-M1</t>
    <phoneticPr fontId="4"/>
  </si>
  <si>
    <t>52357-TBA-A020-M1</t>
    <phoneticPr fontId="4"/>
  </si>
  <si>
    <t>52385 -TBA A010-M1</t>
    <phoneticPr fontId="4"/>
  </si>
  <si>
    <t>52385 -TBA A010</t>
    <phoneticPr fontId="4"/>
  </si>
  <si>
    <t>51391 TBA -A013 -M1</t>
    <phoneticPr fontId="4"/>
  </si>
  <si>
    <t>6R040-7151F</t>
    <phoneticPr fontId="4"/>
  </si>
  <si>
    <t>50850-TSV</t>
    <phoneticPr fontId="4"/>
  </si>
  <si>
    <t>50850TSV-STP</t>
    <phoneticPr fontId="4"/>
  </si>
  <si>
    <t>50820-TGG0H0-F001</t>
    <phoneticPr fontId="4"/>
  </si>
  <si>
    <t>50820-TGG0H0-STP</t>
    <phoneticPr fontId="4"/>
  </si>
  <si>
    <t>50820-TGG0H0-BRKT</t>
    <phoneticPr fontId="4"/>
  </si>
  <si>
    <t>TSV JIG20 UPPER</t>
  </si>
  <si>
    <t xml:space="preserve">TSV JIG20 LOWER </t>
  </si>
  <si>
    <t>TSV JIG14 UPPER</t>
  </si>
  <si>
    <t>TSV JIG14 LOWER</t>
  </si>
  <si>
    <t>Compliance FR Bush</t>
    <phoneticPr fontId="3"/>
  </si>
  <si>
    <t>Lower Arm FR Bush</t>
    <phoneticPr fontId="3"/>
  </si>
  <si>
    <t>Compliance RR Bush</t>
    <phoneticPr fontId="3"/>
  </si>
  <si>
    <t>Lower Arm FR Bush</t>
  </si>
  <si>
    <t>Lower Arm FR Bush</t>
    <phoneticPr fontId="4"/>
  </si>
  <si>
    <t>Lower Arm A-RR Bush</t>
    <phoneticPr fontId="4"/>
  </si>
  <si>
    <t>Lower Arm B-RR Bush</t>
    <phoneticPr fontId="4"/>
  </si>
  <si>
    <t>Trailing Arm RR Bush compliance</t>
    <phoneticPr fontId="4"/>
  </si>
  <si>
    <t>Trailing Arm RR Bush Hydric</t>
    <phoneticPr fontId="4"/>
  </si>
  <si>
    <t xml:space="preserve"> Bush Compliance FR</t>
    <phoneticPr fontId="4"/>
  </si>
  <si>
    <t>Quer lenker links</t>
    <phoneticPr fontId="4"/>
  </si>
  <si>
    <t>TSV DIFF MOUNT</t>
    <phoneticPr fontId="4"/>
  </si>
  <si>
    <t>TSV STOPPER</t>
    <phoneticPr fontId="4"/>
  </si>
  <si>
    <t>TG0 TRANSMISSION MOUNT</t>
    <phoneticPr fontId="4"/>
  </si>
  <si>
    <t>STOPPER</t>
    <phoneticPr fontId="4"/>
  </si>
  <si>
    <t>BRACKET OF TRANSMISSION MOUNT</t>
    <phoneticPr fontId="4"/>
  </si>
  <si>
    <t>50850TFT00-Z010-W 04</t>
  </si>
  <si>
    <t>50850TFT00-Z011-W 03</t>
  </si>
  <si>
    <t>50850TFT00-Z010-W 02</t>
  </si>
  <si>
    <t>50850TFT00-Z010-W 03</t>
  </si>
  <si>
    <t xml:space="preserve"> VGAA158/168/174-EX</t>
  </si>
  <si>
    <t>2</t>
  </si>
  <si>
    <t>YTVN053-EXDS</t>
  </si>
  <si>
    <t>52385-14FIT-RING-Ф72.8</t>
  </si>
  <si>
    <t>51391-VPL16-Z006</t>
  </si>
  <si>
    <t>51392-VPL16-Z003</t>
  </si>
  <si>
    <t>51391-VPL16-Z002</t>
  </si>
  <si>
    <t>YTVN054-EXDS</t>
  </si>
  <si>
    <t>0.5</t>
  </si>
  <si>
    <t>4</t>
  </si>
  <si>
    <t>VGAA177-EX</t>
  </si>
  <si>
    <t>13/4/2017</t>
  </si>
  <si>
    <t>50851-TGHA0-A104</t>
  </si>
  <si>
    <t>TGH TRANSMOUNT</t>
  </si>
  <si>
    <t>9</t>
  </si>
  <si>
    <t>301281947910</t>
  </si>
  <si>
    <t>16/04/2017</t>
  </si>
  <si>
    <t>5</t>
  </si>
  <si>
    <t>VGAA168/182/184-EX</t>
  </si>
  <si>
    <t>50850-THAH0-F006</t>
  </si>
  <si>
    <t>THA SIDE MOUNT</t>
  </si>
  <si>
    <t>50820-TGG0H0-F001</t>
  </si>
  <si>
    <t>TG0 TRANSMISSION MOUNT</t>
  </si>
  <si>
    <t>50820-TGG0H0-STP</t>
  </si>
  <si>
    <t>STOPPER</t>
  </si>
  <si>
    <t>50820-TGG0H0-BRKT</t>
  </si>
  <si>
    <t>BRACKET OF TRANSMISSION MOUNT</t>
  </si>
  <si>
    <t>50851-TTA01-A102</t>
  </si>
  <si>
    <t>TTA CONVENTMOUNT</t>
  </si>
  <si>
    <t>571-TLA</t>
  </si>
  <si>
    <t>TLA MOUNT INNER</t>
  </si>
  <si>
    <t>572-TLA</t>
  </si>
  <si>
    <t>TLA MOUNT OUTER</t>
  </si>
  <si>
    <t>50360-TMJ-A010-M1</t>
  </si>
  <si>
    <t>TMJ MOUNT INNER</t>
  </si>
  <si>
    <t>TMJ MOUNT OUTER</t>
  </si>
  <si>
    <t>17/4/2017</t>
  </si>
  <si>
    <t>23.7</t>
  </si>
  <si>
    <t>19/04/2017</t>
  </si>
  <si>
    <t>10343322662</t>
  </si>
  <si>
    <t>10343272822</t>
  </si>
  <si>
    <t>74173-SJ4-0002</t>
  </si>
  <si>
    <t>SJ4 RAD MOUNT UPPER</t>
  </si>
  <si>
    <t xml:space="preserve">TGH TRANSMOUNT </t>
  </si>
  <si>
    <t>50851-TGH-A031-Y1</t>
  </si>
  <si>
    <t>VGAA180/184-EX</t>
  </si>
  <si>
    <t>20/4/2017</t>
  </si>
  <si>
    <t>10.3</t>
  </si>
  <si>
    <t>7</t>
  </si>
  <si>
    <t>10351079104</t>
  </si>
  <si>
    <t>23/04/2017</t>
  </si>
  <si>
    <t>VGAA184-EX</t>
  </si>
  <si>
    <t>24/4/2017</t>
  </si>
  <si>
    <t>73382-BJ95</t>
  </si>
  <si>
    <t>DYNAMIC DAMPER</t>
  </si>
  <si>
    <t>26/04/2017</t>
  </si>
  <si>
    <t>8</t>
  </si>
  <si>
    <t>10351265422</t>
  </si>
  <si>
    <t>usd/vn</t>
  </si>
  <si>
    <t>JPY/VND</t>
  </si>
  <si>
    <t>Sagawa</t>
  </si>
  <si>
    <t xml:space="preserve">Yusen (Service fee)  </t>
  </si>
  <si>
    <t>Sagawa (Transportation fee)</t>
  </si>
  <si>
    <t>PCS (Without doing customs clearance)</t>
  </si>
  <si>
    <t xml:space="preserve">Yusen </t>
  </si>
  <si>
    <t>Total invoice</t>
  </si>
  <si>
    <t>TOTAL EXPORT FEE</t>
  </si>
  <si>
    <t>TOTAL INVOICE</t>
  </si>
  <si>
    <t>EXPORT FEE</t>
  </si>
  <si>
    <t>Commercial</t>
  </si>
  <si>
    <t>GAHR</t>
  </si>
  <si>
    <t>Total fee
(1000 VND)</t>
  </si>
  <si>
    <t>Weight</t>
  </si>
  <si>
    <t>weight</t>
  </si>
  <si>
    <t>Total fee (VND)</t>
  </si>
  <si>
    <t>1000 VND</t>
  </si>
  <si>
    <t>OCS</t>
  </si>
  <si>
    <t>BUSH</t>
  </si>
  <si>
    <t>Rubber sample</t>
  </si>
  <si>
    <t>PCS &amp; OCS
(Without doing customs clearance)</t>
  </si>
  <si>
    <t>Total fee ( VND)</t>
  </si>
  <si>
    <t>PCS/OCS</t>
  </si>
  <si>
    <t>CDS FEE
VNĐ</t>
  </si>
  <si>
    <t>OCS
(Without doing customs clearance)</t>
  </si>
  <si>
    <t>OCS (Transportation fee)</t>
  </si>
  <si>
    <t xml:space="preserve">Total fee </t>
  </si>
  <si>
    <t xml:space="preserve">Unit: </t>
  </si>
  <si>
    <t>1000VND</t>
  </si>
  <si>
    <t>EXPORT FEE
VNĐ</t>
  </si>
  <si>
    <t>Nippon</t>
  </si>
  <si>
    <t>SIDE MOUNT</t>
  </si>
  <si>
    <t>Quantity</t>
  </si>
  <si>
    <t>Unit price</t>
  </si>
  <si>
    <t>Unit</t>
  </si>
  <si>
    <t>DHL</t>
  </si>
  <si>
    <t>USD</t>
  </si>
  <si>
    <t xml:space="preserve">USD/VND = </t>
  </si>
  <si>
    <t>MEA</t>
  </si>
  <si>
    <t>MAT</t>
  </si>
  <si>
    <t>Total import fee</t>
  </si>
  <si>
    <t>Total fee ( without VAT)</t>
  </si>
  <si>
    <t>Section</t>
  </si>
  <si>
    <t>TRNS MOUNT</t>
  </si>
  <si>
    <t>Export to</t>
  </si>
  <si>
    <t>Value of cargo
(1000 USD)</t>
  </si>
  <si>
    <t>pcs</t>
  </si>
  <si>
    <t>SUBFRAME</t>
  </si>
  <si>
    <t>kg</t>
  </si>
  <si>
    <t>RH MOUNT</t>
  </si>
  <si>
    <t>INS RUBBER</t>
  </si>
  <si>
    <t>Sheet sample</t>
  </si>
  <si>
    <t>T-ROD</t>
  </si>
  <si>
    <t>PROP DD</t>
  </si>
  <si>
    <t>50890-TZE</t>
  </si>
  <si>
    <t>50850-TZB</t>
  </si>
  <si>
    <t>Exporting kneader 7L</t>
  </si>
  <si>
    <t>Commericial</t>
  </si>
  <si>
    <t>YAMASHITA RUBBER CO.,LTD</t>
  </si>
  <si>
    <t>74899-TZA</t>
  </si>
  <si>
    <t>50890XL6E0-F000-R1</t>
  </si>
  <si>
    <t>TRNS BRKT</t>
  </si>
  <si>
    <t>50650TZAJ1-1002</t>
  </si>
  <si>
    <t>50650TZAJ1-1002_Zhuhai</t>
  </si>
  <si>
    <t>50650TZAJ1-1002_KIKUWA</t>
  </si>
  <si>
    <t>T5B_TAHILAND KIWAKU</t>
  </si>
  <si>
    <t>YTVN368-EX</t>
  </si>
  <si>
    <t>18-904-705-061</t>
  </si>
  <si>
    <t>50850-TTA-0030</t>
  </si>
  <si>
    <t>50880-TJBA-A010-M2</t>
  </si>
  <si>
    <t>YTVN369-EX</t>
  </si>
  <si>
    <t>18-904-705-072</t>
  </si>
  <si>
    <t>52385T22A0-H009</t>
  </si>
  <si>
    <t>HT7LA-PA0-0-CW</t>
  </si>
  <si>
    <t>51391T50J0-H006</t>
  </si>
  <si>
    <t>COMPLIANCE FR BUSH</t>
  </si>
  <si>
    <t>YTVN370-EX</t>
  </si>
  <si>
    <t>18-904-705-083</t>
  </si>
  <si>
    <t>Rubber batch - SLV48-A00M</t>
  </si>
  <si>
    <t>Rubber batch - SLV58-A00M</t>
  </si>
  <si>
    <t>YTVN371-EX</t>
  </si>
  <si>
    <t>18-904-705-094</t>
  </si>
  <si>
    <t>Full compound</t>
  </si>
  <si>
    <t>YTVN372-EX</t>
  </si>
  <si>
    <t>73-454#BJ100</t>
  </si>
  <si>
    <t>DRIVER SHAFT DD</t>
  </si>
  <si>
    <t>73-455#BJ100</t>
  </si>
  <si>
    <t>74899-TLA</t>
  </si>
  <si>
    <t>T/GATE DD</t>
  </si>
  <si>
    <t>11610-85S00</t>
  </si>
  <si>
    <t>74899T43J0-A100-A</t>
  </si>
  <si>
    <t>50850-TZB_ASSY</t>
  </si>
  <si>
    <t>50360-TMJ</t>
  </si>
  <si>
    <t>50850-TZA</t>
  </si>
  <si>
    <t>21950-I7000_H</t>
  </si>
  <si>
    <t>21950-I7000_Y</t>
  </si>
  <si>
    <t>50822T5A00-NEW</t>
  </si>
  <si>
    <t>50822T5A00-NOW</t>
  </si>
  <si>
    <t>50822T5A00-NEW-01</t>
  </si>
  <si>
    <t>50822T5A00-NOW-01</t>
  </si>
  <si>
    <t>21950-I7000</t>
  </si>
  <si>
    <t>18-901-734-294</t>
  </si>
  <si>
    <t>52385TNY</t>
  </si>
  <si>
    <t>YTVN373-EX</t>
  </si>
  <si>
    <t>18-901-734-272</t>
  </si>
  <si>
    <t>YTVN374-EX</t>
  </si>
  <si>
    <t>18-904-705-105</t>
  </si>
  <si>
    <t>YTVN375-EX</t>
  </si>
  <si>
    <t>18-904-705-116</t>
  </si>
  <si>
    <t>11620-85S00</t>
  </si>
  <si>
    <t>LH MOUNT</t>
  </si>
  <si>
    <t>50850-TGVA0-F005</t>
  </si>
  <si>
    <t>50890T6AJ0-F005</t>
  </si>
  <si>
    <t>50890TAD00-F002</t>
  </si>
  <si>
    <t>YTVN376-EX</t>
  </si>
  <si>
    <t>18-904-705-120</t>
  </si>
  <si>
    <t>8TZ-016M (SLD 50-LF)</t>
  </si>
  <si>
    <t>8TZ-016M (SLD 60-LF)</t>
  </si>
  <si>
    <t>8TZ-016M (SLD 70-LF)</t>
  </si>
  <si>
    <t>YTVN377-EX</t>
  </si>
  <si>
    <t>18-904-705-131</t>
  </si>
  <si>
    <t>RPA sample</t>
  </si>
  <si>
    <t>YTVN378-EX</t>
  </si>
  <si>
    <t>18-904-705-142</t>
  </si>
  <si>
    <t>52385-TNY</t>
  </si>
  <si>
    <t>51391TLAA0-F0U7-TEST</t>
  </si>
  <si>
    <t>FR COMPLIANCE BUSH (54Hs)</t>
  </si>
  <si>
    <t>YTVN379-EX</t>
  </si>
  <si>
    <t>50820T5A00-Z058-01</t>
  </si>
  <si>
    <t>JIG</t>
  </si>
  <si>
    <t>50820T5A00-Z058-02</t>
  </si>
  <si>
    <t>50820T5A00-Z043-A01</t>
  </si>
  <si>
    <t>50820WFA90-Z001-B03</t>
  </si>
  <si>
    <t>50820WFA90-Z001-B05</t>
  </si>
  <si>
    <t>50820WFA90-Z001-B02</t>
  </si>
  <si>
    <t>18-904-705-153</t>
  </si>
  <si>
    <t>YTVN380-EX</t>
  </si>
  <si>
    <t>18-904-705-175</t>
  </si>
  <si>
    <t>51391TRTA0-H029</t>
  </si>
  <si>
    <t>HTYAA-PA0-01</t>
  </si>
  <si>
    <t>HTYAB-PA0-01</t>
  </si>
  <si>
    <t>44351-3A0A-9000</t>
  </si>
  <si>
    <t>73-421#BJ104</t>
  </si>
  <si>
    <t>50401-T86A-0000</t>
  </si>
  <si>
    <t>DYNAMIC DAMPER ENG SIDE MTG</t>
  </si>
  <si>
    <t>74899-3M0A-J011-M1</t>
  </si>
  <si>
    <t>DYNAMIC DAMPER T/GATE</t>
  </si>
  <si>
    <t>50880-T80H0-F001</t>
  </si>
  <si>
    <t>T-ROD UPR</t>
  </si>
  <si>
    <t>50850-ＴZA</t>
  </si>
  <si>
    <t>YTVN381-EX</t>
  </si>
  <si>
    <r>
      <t xml:space="preserve">Rubber sheet (NHH50-T02 US LAB CB 0, </t>
    </r>
    <r>
      <rPr>
        <sz val="12"/>
        <rFont val="Calibri"/>
        <family val="2"/>
      </rPr>
      <t>± 1</t>
    </r>
    <r>
      <rPr>
        <sz val="12"/>
        <rFont val="ＭＳ Ｐゴシック"/>
        <family val="2"/>
      </rPr>
      <t>, ± 3, ± 5%)</t>
    </r>
  </si>
  <si>
    <t>Rubber sheet</t>
  </si>
  <si>
    <t>18-904-705-164</t>
  </si>
  <si>
    <t>11710-63S00</t>
  </si>
  <si>
    <t>RR MOUNT</t>
  </si>
  <si>
    <t xml:space="preserve">73-440#BJ95 </t>
  </si>
  <si>
    <t>73-422#BJ104</t>
  </si>
  <si>
    <t>11710-63S20</t>
  </si>
  <si>
    <t>508503K4H0-F000</t>
  </si>
  <si>
    <t>TRNS COMP</t>
  </si>
  <si>
    <t xml:space="preserve"> YTVN382-EX</t>
  </si>
  <si>
    <t>18-904-705-186</t>
  </si>
  <si>
    <t>Yamashita Rubber</t>
  </si>
  <si>
    <t>YTVN383-EX</t>
  </si>
  <si>
    <t>18-904-705-190</t>
  </si>
  <si>
    <t>52385-TBC</t>
  </si>
  <si>
    <t>52357T20A</t>
  </si>
  <si>
    <t>52517XF8A0-H055</t>
  </si>
  <si>
    <t>YTVN384-EX</t>
  </si>
  <si>
    <t>18-904-705-201</t>
  </si>
  <si>
    <t>YTVN385-EX</t>
  </si>
  <si>
    <t>18-904-705-212</t>
  </si>
  <si>
    <t>20TZ-012M (NLX50) Masterbatch</t>
  </si>
  <si>
    <t>Masterbatch sample</t>
  </si>
  <si>
    <t>Kg</t>
  </si>
  <si>
    <t>YTVN386-EX</t>
  </si>
  <si>
    <t>18-904-705-223</t>
  </si>
  <si>
    <t>RPA samples</t>
  </si>
  <si>
    <t xml:space="preserve"> YTVN387-EX</t>
  </si>
  <si>
    <t>18-904-705-234</t>
  </si>
  <si>
    <t>52385-T20-A110-M1</t>
  </si>
  <si>
    <t>45540-76M01</t>
  </si>
  <si>
    <t>52385XF8A0-H068</t>
  </si>
  <si>
    <t>11610-74S00</t>
  </si>
  <si>
    <t>11610-76S00</t>
  </si>
  <si>
    <t>50880-TJB</t>
  </si>
  <si>
    <t>50890-ＴZE</t>
  </si>
  <si>
    <t>YTVN388-EX</t>
  </si>
  <si>
    <t>18-904-705-245</t>
  </si>
  <si>
    <t>TORQUEROD</t>
  </si>
  <si>
    <t>50890TZEJ5-F002</t>
  </si>
  <si>
    <t>52357XF8A0-H056</t>
  </si>
  <si>
    <t>52385XF8A0-H069</t>
  </si>
  <si>
    <t>YTVN389-EX</t>
  </si>
  <si>
    <t>18-904-705-256</t>
  </si>
  <si>
    <t>Sheet sample (NH53, NH60)</t>
  </si>
  <si>
    <t xml:space="preserve">Rubber sample </t>
  </si>
  <si>
    <t>Masterbatch sample (TCMT 2202I, TCMT 2724D)</t>
  </si>
  <si>
    <t>yamashita Rubber</t>
  </si>
  <si>
    <t>YTVN390-EX</t>
  </si>
  <si>
    <t>18-905-496-035</t>
  </si>
  <si>
    <t>50852-T5J5-B101-F</t>
  </si>
  <si>
    <t>TRNS HOLDER</t>
  </si>
  <si>
    <t>11910-66M01</t>
  </si>
  <si>
    <t>YTVN391-EX</t>
  </si>
  <si>
    <t>18-905-496-046</t>
  </si>
  <si>
    <t>Sample test (sheet)- MA20050003</t>
  </si>
  <si>
    <t>Sample test (sheet)- MA20040014</t>
  </si>
  <si>
    <t>YTVN392-EX</t>
  </si>
  <si>
    <t>18-905-496-050</t>
  </si>
  <si>
    <t>51306-HT01</t>
  </si>
  <si>
    <t>STABI BUSH</t>
  </si>
  <si>
    <t>508503A0A1-F002-F</t>
  </si>
  <si>
    <t>50890-TAA -0130</t>
  </si>
  <si>
    <t>50890XL6E0-Z001-01</t>
  </si>
  <si>
    <t>Jig T/ROD</t>
  </si>
  <si>
    <t>50890XL6E0-Z001-02</t>
  </si>
  <si>
    <t>50890FD800-Z000-X03</t>
  </si>
  <si>
    <t>50890FD800-Z000-X04</t>
  </si>
  <si>
    <t>YTVN393-EX</t>
  </si>
  <si>
    <t>18-905-496-061</t>
  </si>
  <si>
    <t>Sheet rubber sample</t>
  </si>
  <si>
    <t>YTVN394-EX</t>
  </si>
  <si>
    <t>18-905-496-072</t>
  </si>
  <si>
    <t>51392TVAA0-F000</t>
  </si>
  <si>
    <t>BUSH ARM</t>
  </si>
  <si>
    <t>51397-TVA-A01</t>
  </si>
  <si>
    <t>N28132011</t>
  </si>
  <si>
    <t>16M CIVIC</t>
  </si>
  <si>
    <t>TOP-MOUNT</t>
  </si>
  <si>
    <t>50850-T86</t>
  </si>
  <si>
    <t>51391TVAA0-Z300-A</t>
  </si>
  <si>
    <t>51391TVAA0-Z301-A</t>
  </si>
  <si>
    <t>YTVN395-EX</t>
  </si>
  <si>
    <t>18-905-496-083</t>
  </si>
  <si>
    <t>50890-TAD -0030</t>
  </si>
  <si>
    <t>50850-TAA -0230</t>
  </si>
  <si>
    <t>508503M0J1-F000</t>
  </si>
  <si>
    <t>TRNS INSRUBBER</t>
  </si>
  <si>
    <t>51392-T86 -T010-M1</t>
  </si>
  <si>
    <t>18-905-496-186</t>
  </si>
  <si>
    <t xml:space="preserve"> YTVN396-EX</t>
  </si>
  <si>
    <t>Masterbatch LNX60 (20TZ-019M)</t>
  </si>
  <si>
    <t>Sample test (sheet)</t>
  </si>
  <si>
    <t>YTVN397-EX</t>
  </si>
  <si>
    <t>18-905-496-175</t>
  </si>
  <si>
    <t>51306XF8A0-HM04</t>
  </si>
  <si>
    <t>51391T50J0-H013</t>
  </si>
  <si>
    <t>51391TBAXX-H000</t>
  </si>
  <si>
    <t xml:space="preserve"> YTVN398-EX</t>
  </si>
  <si>
    <t>18-905-496-094</t>
  </si>
  <si>
    <t>73-432#BJ95</t>
  </si>
  <si>
    <t>73-452#BJ100</t>
  </si>
  <si>
    <t>50851-TGVA0</t>
  </si>
  <si>
    <t>TRANS MOUNT</t>
  </si>
  <si>
    <t>50850TVAA1</t>
  </si>
  <si>
    <t>MOUNTING COM ENG RH</t>
  </si>
  <si>
    <t>50850TZBJ5-F005</t>
  </si>
  <si>
    <t>52358XF8A0-H055</t>
  </si>
  <si>
    <t>5237730AA0-H010</t>
  </si>
  <si>
    <t>5237830AA0-H018</t>
  </si>
  <si>
    <t>YTVN399-EX</t>
  </si>
  <si>
    <t>18-905-496-105</t>
  </si>
  <si>
    <t>Sendan metal part</t>
  </si>
  <si>
    <t>Masterbatch sample 
(CI 0945 A0T,  CI 0937 A0T, CI 0938 A0T)</t>
  </si>
  <si>
    <t>batch</t>
  </si>
  <si>
    <t>YTVN400-EX</t>
  </si>
  <si>
    <t>18-905-496-116</t>
  </si>
  <si>
    <t>52385T22A0-H015</t>
  </si>
  <si>
    <t>SHAFT BUSH</t>
  </si>
  <si>
    <t>YTVN401-EX</t>
  </si>
  <si>
    <t>18-905-496-131</t>
  </si>
  <si>
    <t>Rubber Sheet</t>
  </si>
  <si>
    <t>Rubber batch</t>
  </si>
  <si>
    <t>Masterbatch (NHH45-T02, NHH50-T02, NHH62-T02)</t>
  </si>
  <si>
    <t xml:space="preserve"> YTVN402-EX</t>
  </si>
  <si>
    <t>18-905-496-120</t>
  </si>
  <si>
    <t>5N0199555L</t>
  </si>
  <si>
    <t>11610-C-HR</t>
  </si>
  <si>
    <t>12305-0Y151</t>
  </si>
  <si>
    <t xml:space="preserve">RH MOUNT </t>
  </si>
  <si>
    <t>11610-02008</t>
  </si>
  <si>
    <t>DO9T39060</t>
  </si>
  <si>
    <t>18M ACC FR</t>
  </si>
  <si>
    <t>TOP MOUNT</t>
  </si>
  <si>
    <t>50890XL6E0-F003-R1</t>
  </si>
  <si>
    <t>50401-3M0 -0030</t>
  </si>
  <si>
    <t>SUBFRAME DD</t>
  </si>
  <si>
    <t>52385-TDK</t>
  </si>
  <si>
    <t xml:space="preserve">52517-XT1E-H000 </t>
  </si>
  <si>
    <t>YTVN403-EX</t>
  </si>
  <si>
    <t>18-905-496-142</t>
  </si>
  <si>
    <t>50880T6CJ0-F004</t>
  </si>
  <si>
    <t>50850-TJH -H010-M1</t>
  </si>
  <si>
    <t>YTVN365-EX</t>
  </si>
  <si>
    <t>18-904-705-035</t>
  </si>
  <si>
    <t>HTJBA-PA0-2A</t>
  </si>
  <si>
    <t>HTJBA-PA0-2A_RJ</t>
  </si>
  <si>
    <t>HTJBB-PA0-2A</t>
  </si>
  <si>
    <t>HTJBB-PA0-2A_RJ</t>
  </si>
  <si>
    <t>YTVN407-EX</t>
  </si>
  <si>
    <t>18-905-496-164</t>
  </si>
  <si>
    <t>74899-TZA -0031</t>
  </si>
  <si>
    <t>50401-3M0 -0030-F000</t>
  </si>
  <si>
    <t>74899-3M0A-J010-M1</t>
  </si>
  <si>
    <t>50890-TJB</t>
  </si>
  <si>
    <t>YTVN409-EX</t>
  </si>
  <si>
    <t>18-905-496-153</t>
  </si>
  <si>
    <t>50850THGA0-Z030-02-1</t>
  </si>
  <si>
    <t>50850TGHA0-Z020-01</t>
  </si>
  <si>
    <t>50850TGHA0-Z020-01A</t>
  </si>
  <si>
    <t>50850TGHA0-Z020-01B</t>
  </si>
  <si>
    <t>50850TGHA0-Z020-03</t>
  </si>
  <si>
    <t>50850TGHA0-Z020-04</t>
  </si>
  <si>
    <t>50850-TTA</t>
  </si>
  <si>
    <t>50850-TTA-CUT</t>
  </si>
  <si>
    <t>50850TGH -A021-M1</t>
  </si>
  <si>
    <t>5237830AA0-H021</t>
  </si>
  <si>
    <t>5235730AA0-H010</t>
  </si>
  <si>
    <t>51392-T86A-H005</t>
  </si>
  <si>
    <t>303314497160</t>
  </si>
  <si>
    <t>YTVN410-EX</t>
  </si>
  <si>
    <t>18-904-147-032</t>
  </si>
  <si>
    <t>HTKSA-PA0-0</t>
  </si>
  <si>
    <t>PROP DYNAMIC DAMPER</t>
  </si>
  <si>
    <t>YTVN411-EX</t>
  </si>
  <si>
    <t>50850TZAJ1-F002</t>
  </si>
  <si>
    <t>50760T6NA0-F002</t>
  </si>
  <si>
    <t>DIFF MOUNT</t>
  </si>
  <si>
    <t>50780T6NA0-F002</t>
  </si>
  <si>
    <t>50890-31AH0-F002-A</t>
  </si>
  <si>
    <t>50850-3A0A1-F003-A</t>
  </si>
  <si>
    <t xml:space="preserve">TRANS MOUNT HOLDER </t>
  </si>
  <si>
    <t>TRANS HOLDER</t>
  </si>
  <si>
    <t>508503A0A1-F003-A01</t>
  </si>
  <si>
    <t>11620-76S00</t>
  </si>
  <si>
    <t>11620-76S00-B00</t>
  </si>
  <si>
    <t>18-904-147-043</t>
  </si>
  <si>
    <t>303326866900</t>
  </si>
  <si>
    <t>YTVN412-EX</t>
  </si>
  <si>
    <t>18-904-147-054</t>
  </si>
  <si>
    <t>Masterbatch
(2.5kg/batch)</t>
  </si>
  <si>
    <t>YTVN413-EX</t>
  </si>
  <si>
    <t>18-904-147-065</t>
  </si>
  <si>
    <t>NIPOL DN515  
0.01kg/bag</t>
  </si>
  <si>
    <t>NIPOL 1042(N-31)
0.01kg/bag</t>
  </si>
  <si>
    <t>N-774 
0.01kg/bag</t>
  </si>
  <si>
    <t xml:space="preserve">Carbon black </t>
  </si>
  <si>
    <t>ADK CIZER RS-107  
0.01kg/pipet</t>
  </si>
  <si>
    <t>ADK CIZER RS-1000
0.01kg/pipet</t>
  </si>
  <si>
    <t>Aluminium Hydroxide(BF013)
0.01kg/bag</t>
  </si>
  <si>
    <t>Antage MB
0.01kg/bag</t>
  </si>
  <si>
    <t>Nocrac 224
0.01kg/bag</t>
  </si>
  <si>
    <t>Accel CZ 
0.01kg/bag</t>
  </si>
  <si>
    <t>Accel TMT
0.01kg/bag</t>
  </si>
  <si>
    <t>   CTPI     
0.01kg/bag</t>
  </si>
  <si>
    <t>Sulphur 325 Mesh 
0.01kg/bag</t>
  </si>
  <si>
    <t>Zinc Oxide Active ZA 12N
0.01kg/bag</t>
  </si>
  <si>
    <t>Bag</t>
  </si>
  <si>
    <t>pipet</t>
  </si>
  <si>
    <t>YTVN414-EX</t>
  </si>
  <si>
    <t>18-904-147-076</t>
  </si>
  <si>
    <t>74899-3K4-H020-M1</t>
  </si>
  <si>
    <t>508503A0A1-F003-A</t>
  </si>
  <si>
    <t>50850TGVA0-F006-NIPPA</t>
  </si>
  <si>
    <t>ROLL ROD</t>
  </si>
  <si>
    <t>303340648830</t>
  </si>
  <si>
    <t>YTVN415-EX</t>
  </si>
  <si>
    <t>18-904-147-080</t>
  </si>
  <si>
    <t>Rubber sample test SLD60 (step 2- MA1911024)</t>
  </si>
  <si>
    <t>Rubber sample test AT-0061  (MA2007005)</t>
  </si>
  <si>
    <t>Rubber sample test SLD60 ( step 3- MA1911024)</t>
  </si>
  <si>
    <t>Rubber sample test SLD ( step 4- MA1911024)</t>
  </si>
  <si>
    <t xml:space="preserve">Rubber sample PCE-444M </t>
  </si>
  <si>
    <t>YTVN416-EX</t>
  </si>
  <si>
    <t>18-904-147-091</t>
  </si>
  <si>
    <t>52358-T20-A010-M1</t>
  </si>
  <si>
    <t>523853V0A0-H108</t>
  </si>
  <si>
    <t>51392-TY2</t>
  </si>
  <si>
    <t>51393-SZA</t>
  </si>
  <si>
    <t>50890XL6E0-F002-R1</t>
  </si>
  <si>
    <t>YTVN417-EX</t>
  </si>
  <si>
    <t>18-904-147-102</t>
  </si>
  <si>
    <t>51391-T00</t>
  </si>
  <si>
    <t>COMP BUSH</t>
  </si>
  <si>
    <t>51392/51397</t>
  </si>
  <si>
    <t>LOWER BUSH</t>
  </si>
  <si>
    <t>5139220FIT-Z100</t>
  </si>
  <si>
    <t>5139120FIT-Z100</t>
  </si>
  <si>
    <t>YTVN418-EX</t>
  </si>
  <si>
    <t>18-904-147-113</t>
  </si>
  <si>
    <t>Vulcanized sheet</t>
  </si>
  <si>
    <t>YTVN419-EX</t>
  </si>
  <si>
    <t>18-903-836-895</t>
  </si>
  <si>
    <t>YUSA CORPORATION</t>
  </si>
  <si>
    <t>11620-64P00/63S00</t>
  </si>
  <si>
    <t>50360-TZ5-A01</t>
  </si>
  <si>
    <t>50890-TRN-H011-M1</t>
  </si>
  <si>
    <t>50890-TFS-J011-M1</t>
  </si>
  <si>
    <t>50890-TAD-0030</t>
  </si>
  <si>
    <t>50890-T6C-J011-M1</t>
  </si>
  <si>
    <t>FR LH MOUNT</t>
  </si>
  <si>
    <t>SUB FRAME</t>
  </si>
  <si>
    <t>TORQUEROD LOWER</t>
  </si>
  <si>
    <t>YTVN420-EX</t>
  </si>
  <si>
    <t>18904147216</t>
  </si>
  <si>
    <t>52622XT1E-H000</t>
  </si>
  <si>
    <t>50851TVAA1-A102</t>
  </si>
  <si>
    <t>50711-TXB</t>
  </si>
  <si>
    <t>50731-TXB00-F000-A</t>
  </si>
  <si>
    <t>50731-TXB</t>
  </si>
  <si>
    <t>YTVN421-EX</t>
  </si>
  <si>
    <t>18-904-147-135</t>
  </si>
  <si>
    <t>18-904-147-146</t>
  </si>
  <si>
    <t>YTVN422-EX</t>
  </si>
  <si>
    <t>523583V0A0-H034</t>
  </si>
  <si>
    <t>50880-T6C-J011-M1</t>
  </si>
  <si>
    <t>TORQUEROD UPPER</t>
  </si>
  <si>
    <t>50890-TAA-0130</t>
  </si>
  <si>
    <t>50890-T5A-0030</t>
  </si>
  <si>
    <t>50890-T7B-0031</t>
  </si>
  <si>
    <t>50824TLAA0-A104</t>
  </si>
  <si>
    <t>50851TWAA5-A105</t>
  </si>
  <si>
    <t>AKUSERA HAIBURIDDO</t>
  </si>
  <si>
    <t>RT-5937 A-EX</t>
  </si>
  <si>
    <t xml:space="preserve">Masterbatch </t>
  </si>
  <si>
    <t>RT-5938 A-EX</t>
  </si>
  <si>
    <t>RT-5953 A-EX</t>
  </si>
  <si>
    <t>BT-5088-EX</t>
  </si>
  <si>
    <t>NHH 50-A00M</t>
  </si>
  <si>
    <t>NHH 62-A00M</t>
  </si>
  <si>
    <t>YTVN423-EX</t>
  </si>
  <si>
    <t>18-904-147-161</t>
  </si>
  <si>
    <t>303410247840</t>
  </si>
  <si>
    <t>YTVN424-EX</t>
  </si>
  <si>
    <t>52517XF8A0-H050</t>
  </si>
  <si>
    <t>50890-T5A -9110-M1</t>
  </si>
  <si>
    <t>18-904-147-172</t>
  </si>
  <si>
    <t>310510002350</t>
  </si>
  <si>
    <t>YTVN425-EX</t>
  </si>
  <si>
    <t>18-904-147-183</t>
  </si>
  <si>
    <t>Masterbatch OT-5110-EX (NHH50 ZAP)</t>
  </si>
  <si>
    <t>KG</t>
  </si>
  <si>
    <t>310510144010</t>
  </si>
  <si>
    <t xml:space="preserve"> YTVN426-EX</t>
  </si>
  <si>
    <t>18-904-147-194</t>
  </si>
  <si>
    <t>51392T20-H027</t>
  </si>
  <si>
    <t>50890-T80H0-F002</t>
  </si>
  <si>
    <t>T-ROD LWR</t>
  </si>
  <si>
    <t>50360-3W0A-A000-Z3</t>
  </si>
  <si>
    <t>44351-3B2A-J000</t>
  </si>
  <si>
    <t>44351-3B2A-J000
(44351-3B2A-J100)</t>
  </si>
  <si>
    <t>50401-T7W-0030</t>
  </si>
  <si>
    <t>50401-T7W-0030_NIPPA</t>
  </si>
  <si>
    <t>310510003750</t>
  </si>
  <si>
    <t>YTVN427-EX</t>
  </si>
  <si>
    <t>18-904-147-124</t>
  </si>
  <si>
    <t>29553-68PX0-20</t>
  </si>
  <si>
    <t>DAMPER COMP, LH MTG</t>
  </si>
  <si>
    <t>310511457100</t>
  </si>
  <si>
    <t>YTVN428-EX</t>
  </si>
  <si>
    <t>18-904-066-963</t>
  </si>
  <si>
    <t>50850TTA00-F005</t>
  </si>
  <si>
    <t>50850TTA00-F005-A</t>
  </si>
  <si>
    <t>50850-TGVA0-F006</t>
  </si>
  <si>
    <t>11910-74S00</t>
  </si>
  <si>
    <t>TROD</t>
  </si>
  <si>
    <t>Pcs</t>
  </si>
  <si>
    <t>303436671810</t>
  </si>
  <si>
    <t>YTVN429-EX</t>
  </si>
  <si>
    <t>18-904-066-974</t>
  </si>
  <si>
    <t>310512501610</t>
  </si>
  <si>
    <t>YTVN430-EX</t>
  </si>
  <si>
    <t>50824-TLAA0-A104</t>
  </si>
  <si>
    <t>74899-TD4</t>
  </si>
  <si>
    <t>INS-RUBBER</t>
  </si>
  <si>
    <t>18-904-147-021</t>
  </si>
  <si>
    <t>310514042050</t>
  </si>
  <si>
    <t>YTVN431-EX</t>
  </si>
  <si>
    <t>504013M0-F000-J</t>
  </si>
  <si>
    <t>504013M0-F000</t>
  </si>
  <si>
    <t>44351-3V5A-J000-H1</t>
  </si>
  <si>
    <t>50890XL6E0-F1-R1</t>
  </si>
  <si>
    <t>44351-3V5A-J100-H1</t>
  </si>
  <si>
    <t>50822-T9A00-6000</t>
  </si>
  <si>
    <t xml:space="preserve">SIDE INS-RUBBER </t>
  </si>
  <si>
    <t>18-904-066-985</t>
  </si>
  <si>
    <t>YTVN432-EX</t>
  </si>
  <si>
    <t xml:space="preserve">Rubber sheet sample 
(Friction sample and Bloom sample) </t>
  </si>
  <si>
    <t>18-904-066-996</t>
  </si>
  <si>
    <t>YTVN433-EX</t>
  </si>
  <si>
    <t>Torque standard
serial no. 3AAAE4776P</t>
  </si>
  <si>
    <t>Torque Rheometer</t>
  </si>
  <si>
    <t>18-903-836-906</t>
  </si>
  <si>
    <t>YTVN434-EX</t>
  </si>
  <si>
    <t>18-904-067-000</t>
  </si>
  <si>
    <t>74899-TLA-A013-M1</t>
  </si>
  <si>
    <t>50851-TWAA5-A105</t>
  </si>
  <si>
    <t>50851-TVAA7-A102</t>
  </si>
  <si>
    <t>51391-SWIFT-Z100</t>
  </si>
  <si>
    <t>51392-SWIFT-Z100</t>
  </si>
  <si>
    <t>52385-TNY-J011-Y1</t>
  </si>
  <si>
    <t>51391SWIFT-Z100</t>
  </si>
  <si>
    <t>51392SWIFT-Z100</t>
  </si>
  <si>
    <t>50850-TXA</t>
  </si>
  <si>
    <t>50850-TFSJ0-F003</t>
  </si>
  <si>
    <t>50850-TFSJ0-F003-B00</t>
  </si>
  <si>
    <t>TRNS MTG COMP</t>
  </si>
  <si>
    <t>TRNS MTG INSRUBBER</t>
  </si>
  <si>
    <t xml:space="preserve">JIG BUSH - RING JIG ɸ64 </t>
  </si>
  <si>
    <t xml:space="preserve">JIG BUSH - RING JIG ɸ38.3 </t>
  </si>
  <si>
    <t xml:space="preserve">TRANS INS-RUBBER </t>
  </si>
  <si>
    <t>TRANS STOPPER BRKT</t>
  </si>
  <si>
    <t>Alpha Technology ( America)</t>
  </si>
  <si>
    <t>YTVN435-EX</t>
  </si>
  <si>
    <t>N2 sample</t>
  </si>
  <si>
    <t>Materbatch sample</t>
  </si>
  <si>
    <t>18-904-067-011</t>
  </si>
  <si>
    <t>YTVN436-EX</t>
  </si>
  <si>
    <t>50890-T5A-9110-M1</t>
  </si>
  <si>
    <t>HTGZA-PA0-0C</t>
  </si>
  <si>
    <t>HTGYB-PA0-0</t>
  </si>
  <si>
    <t>5085030AA1-F000-AK01</t>
  </si>
  <si>
    <t>508503A0A1-F003</t>
  </si>
  <si>
    <t>5130630A0-HM02</t>
  </si>
  <si>
    <t>52377/52378-XT1E-A010-Y1</t>
  </si>
  <si>
    <t>A2473230020-Z900-05</t>
  </si>
  <si>
    <t>A2473230020-Z900-01</t>
  </si>
  <si>
    <t xml:space="preserve">BENZ-Z200 </t>
  </si>
  <si>
    <t>TOP MTG</t>
  </si>
  <si>
    <t>18-904-067-022</t>
  </si>
  <si>
    <t>YTVN437-EX</t>
  </si>
  <si>
    <t>18-904-067-033</t>
  </si>
  <si>
    <t>45530-71L00</t>
  </si>
  <si>
    <t>45262-61M10</t>
  </si>
  <si>
    <t>46221-61M10</t>
  </si>
  <si>
    <t>45530-71L00-Z100</t>
  </si>
  <si>
    <t>45262-61M10-Z100</t>
  </si>
  <si>
    <t>46221-61M10-Z100</t>
  </si>
  <si>
    <t>51391YARIS-Z100</t>
  </si>
  <si>
    <t>51392YARIS-Z100</t>
  </si>
  <si>
    <t>50850-TZBJ5-F002</t>
  </si>
  <si>
    <t>ACM</t>
  </si>
  <si>
    <t>50850TZBJ5-Z011ALF01</t>
  </si>
  <si>
    <t>50850TZBJ5-Z011ALF02</t>
  </si>
  <si>
    <t>50850TZBJ5-Z011ALF03</t>
  </si>
  <si>
    <t>50850TZBJ5-Z011ALF04</t>
  </si>
  <si>
    <t>50850TZBJ5-Z011ALF05</t>
  </si>
  <si>
    <t>50850TZBJ5-Z011ALF06</t>
  </si>
  <si>
    <t>JIG BUSH - RING JIG BM ɸ40</t>
  </si>
  <si>
    <t xml:space="preserve">JIG BUSH - RING JIG BM ɸ60 </t>
  </si>
  <si>
    <t xml:space="preserve">JIG BUSH - RING JIG BM ɸ64.8 </t>
  </si>
  <si>
    <t xml:space="preserve">JIG BUSH - RING JIG ɸ67.64 </t>
  </si>
  <si>
    <t xml:space="preserve">JIG BUSH - RING JIG ɸ36.8 </t>
  </si>
  <si>
    <t>TRNS MTG</t>
  </si>
  <si>
    <t>MOUNT</t>
  </si>
  <si>
    <t>YTVN438-EX</t>
  </si>
  <si>
    <t>18-904-851-910</t>
  </si>
  <si>
    <t>50890XL6E0-F001-R1</t>
  </si>
  <si>
    <t>TORQUE ROD</t>
  </si>
  <si>
    <t>51670-TBAA0-A100-99</t>
  </si>
  <si>
    <t>COMP MOUNT</t>
  </si>
  <si>
    <t>1161068P01NF006</t>
  </si>
  <si>
    <t>MTG ASSY YRA RH MT (1.2L GAS)</t>
  </si>
  <si>
    <t>51391-T86-T020-M1</t>
  </si>
  <si>
    <t>50850-3A0A1-F002-F</t>
  </si>
  <si>
    <t>50880TJBA0-F003</t>
  </si>
  <si>
    <t>50850-TXA-C</t>
  </si>
  <si>
    <t>50720TYAA0-F000 (L)</t>
  </si>
  <si>
    <t>50710TYAA0-Y1/Y2</t>
  </si>
  <si>
    <t>50720-TYA</t>
  </si>
  <si>
    <t>DIFF MT L</t>
  </si>
  <si>
    <t>50710-TYA</t>
  </si>
  <si>
    <t>DIFF MT R</t>
  </si>
  <si>
    <t>YTVN439-EX</t>
  </si>
  <si>
    <t>18-904-036-163</t>
  </si>
  <si>
    <t xml:space="preserve">Rubber </t>
  </si>
  <si>
    <t>SLV48-A00M (Hexpol)</t>
  </si>
  <si>
    <t>SLV58-A00M (Hexpol)</t>
  </si>
  <si>
    <t>PC</t>
  </si>
  <si>
    <t>Set</t>
  </si>
  <si>
    <t>YTVN440-EX</t>
  </si>
  <si>
    <t>18-904-036-185</t>
  </si>
  <si>
    <t>50820T9A 013 2</t>
  </si>
  <si>
    <t>50820-TSV-K014-M1</t>
  </si>
  <si>
    <t>HTYAA-PA0-0</t>
  </si>
  <si>
    <t>HTYAB-PA0-0</t>
  </si>
  <si>
    <t>50851-3T0A-A000-Z2</t>
  </si>
  <si>
    <t>52385TLAA0-Z101</t>
  </si>
  <si>
    <t>52385T20A1-T001</t>
  </si>
  <si>
    <t>MTG RUB ASSY ENG SIDE</t>
  </si>
  <si>
    <t>YTVN441-EX</t>
  </si>
  <si>
    <t>18-905-604-045</t>
  </si>
  <si>
    <t>50850TGVA0-F006</t>
  </si>
  <si>
    <t>508503K0</t>
  </si>
  <si>
    <t>50850T20</t>
  </si>
  <si>
    <t>50850-3T0A-A000-Z1</t>
  </si>
  <si>
    <t>YTVN442-EX</t>
  </si>
  <si>
    <t>18-905-604-034</t>
  </si>
  <si>
    <t>Sample Test (Sheet) - MA2009014</t>
  </si>
  <si>
    <t>Sample Test (Daen)  50Hs- MA2009014</t>
  </si>
  <si>
    <t>Sample Test (Daen)  60Hs- MA2009014</t>
  </si>
  <si>
    <t>Sample Test (RPA) - MA2008001</t>
  </si>
  <si>
    <t>Sample Test (Sheet) - MA2005015</t>
  </si>
  <si>
    <t>YTVN443-EX</t>
  </si>
  <si>
    <t>18-905-604-130</t>
  </si>
  <si>
    <t>50830A0A1-F002-F</t>
  </si>
  <si>
    <t>YTVN444-EX</t>
  </si>
  <si>
    <t>18-905-604-141</t>
  </si>
  <si>
    <t>YTVN445-EX</t>
  </si>
  <si>
    <t>18-904-036-196</t>
  </si>
  <si>
    <t xml:space="preserve">50850-3T0A-A000-Z1 </t>
  </si>
  <si>
    <t xml:space="preserve">50851-3T0A-A000-Z1 </t>
  </si>
  <si>
    <t xml:space="preserve">11620-76S00 </t>
  </si>
  <si>
    <t>LH MT HEV</t>
  </si>
  <si>
    <t>YTVN446-EX</t>
  </si>
  <si>
    <t>18-904-036-200</t>
  </si>
  <si>
    <t>52378-XF8A0-H056</t>
  </si>
  <si>
    <t>52385-XF8A0-H072</t>
  </si>
  <si>
    <t>YTVN447-EX</t>
  </si>
  <si>
    <t>18-904-036-211</t>
  </si>
  <si>
    <t>Sample Test - MA2009014-2</t>
  </si>
  <si>
    <t>YTVN448-EX</t>
  </si>
  <si>
    <t>18-904-036-222</t>
  </si>
  <si>
    <t>50850-TZA-J011-M1</t>
  </si>
  <si>
    <t>50890-TJB-A010-M2</t>
  </si>
  <si>
    <t>52385-TBC-A010-M1</t>
  </si>
  <si>
    <t>51306-XF8A0-HT07</t>
  </si>
  <si>
    <t>11610-68P52/1161068P52NF008</t>
  </si>
  <si>
    <t>50851-3T0A-A000-Z1</t>
  </si>
  <si>
    <t>RH MTG COMP</t>
  </si>
  <si>
    <t>YTVN449-EX</t>
  </si>
  <si>
    <t>18-904-036-233</t>
  </si>
  <si>
    <t>Keltan 5465</t>
  </si>
  <si>
    <t>Keltan 5465Q</t>
  </si>
  <si>
    <t xml:space="preserve">YTVN450-EX  </t>
  </si>
  <si>
    <t>50890T5A00MF003</t>
  </si>
  <si>
    <t>50810-TYA -A011-M2</t>
  </si>
  <si>
    <t>50810-TYAA0-F004</t>
  </si>
  <si>
    <t>52358XF8A0-H056</t>
  </si>
  <si>
    <t>52517XF8A0-H052</t>
  </si>
  <si>
    <t>EXT-RUBBER</t>
  </si>
  <si>
    <t>RH MOUNT COMP</t>
  </si>
  <si>
    <t>18904036454</t>
  </si>
  <si>
    <t>green</t>
  </si>
  <si>
    <t>YTVN451-EX</t>
  </si>
  <si>
    <t>18905604126</t>
  </si>
  <si>
    <t>50824-TMKT3-A100</t>
  </si>
  <si>
    <t>COMP SIDE MOUNT</t>
  </si>
  <si>
    <t>50822-TF0-J020-Y1</t>
  </si>
  <si>
    <t>TRNS MOUNTMTG RUB SUB ASSY ENG SIDE</t>
  </si>
  <si>
    <t>YTVN452-EX</t>
  </si>
  <si>
    <t>HTGZA-PA0-0</t>
  </si>
  <si>
    <t>HTGZB-PA0-0</t>
  </si>
  <si>
    <t>50401-3D4-A510-Y1</t>
  </si>
  <si>
    <t>50820T9A-0132</t>
  </si>
  <si>
    <t>50851-TFT00-B100-W</t>
  </si>
  <si>
    <t>50851-TFT00-C100-W</t>
  </si>
  <si>
    <t>STOPPER BRKT</t>
  </si>
  <si>
    <t>YTVN453-EX</t>
  </si>
  <si>
    <t>18905909330</t>
  </si>
  <si>
    <t>YTVN454-EX</t>
  </si>
  <si>
    <t>44351-3V5A-J110-H0</t>
  </si>
  <si>
    <t>73-423#BJ104</t>
  </si>
  <si>
    <t>51306-30A0-HM01</t>
  </si>
  <si>
    <t xml:space="preserve">STABI BUSH </t>
  </si>
  <si>
    <t>YTVN455-EX</t>
  </si>
  <si>
    <t>50820-3L1T1-F002-I01</t>
  </si>
  <si>
    <t>50890TRNH0-F002</t>
  </si>
  <si>
    <t>50890TAA01-F002</t>
  </si>
  <si>
    <t>50880T6AJ0-F004</t>
  </si>
  <si>
    <t>50890TFSJ0-F003</t>
  </si>
  <si>
    <t>50890T6CJ0-F004</t>
  </si>
  <si>
    <t>51391-3E7</t>
  </si>
  <si>
    <t>51392-3E7</t>
  </si>
  <si>
    <t>51397-3E7</t>
  </si>
  <si>
    <t>INS-RUBBER, SIDE MOUNT</t>
  </si>
  <si>
    <t>LOWER STOPPER</t>
  </si>
  <si>
    <t>18904067044</t>
  </si>
  <si>
    <t>geen</t>
  </si>
  <si>
    <t>YTVN456-EX</t>
  </si>
  <si>
    <t>Sendan sample</t>
  </si>
  <si>
    <t>18902838581</t>
  </si>
  <si>
    <t>material</t>
  </si>
  <si>
    <t>50850-T9D -T011-M1</t>
  </si>
  <si>
    <t>50851-T9D -T010-21</t>
  </si>
  <si>
    <t>50890-3M0J1-F002</t>
  </si>
  <si>
    <t>1161068P00NB103</t>
  </si>
  <si>
    <t>11610-66T50-F000-A</t>
  </si>
  <si>
    <t>MTG RUB COMP  YRA  RH MT (1.2L GAS)</t>
  </si>
  <si>
    <t>ENGINE BRKT</t>
  </si>
  <si>
    <t>YTVN457-EX</t>
  </si>
  <si>
    <t>18902838592</t>
  </si>
  <si>
    <t>18905700494</t>
  </si>
  <si>
    <t>18904036244</t>
  </si>
  <si>
    <t>YTVN458-EX</t>
  </si>
  <si>
    <t>18904036266</t>
  </si>
  <si>
    <t>11620-85S00-B102</t>
  </si>
  <si>
    <t>73-438#BJ95</t>
  </si>
  <si>
    <t>73-439#BJ95</t>
  </si>
  <si>
    <t>WCP1A-PA0-ZA-02</t>
  </si>
  <si>
    <t>50401-3D4A-A510-Y</t>
  </si>
  <si>
    <t xml:space="preserve">73-452#BJ100 </t>
  </si>
  <si>
    <t>HSZXA-PA0-0</t>
  </si>
  <si>
    <t>50851-3D4A5-B101-A</t>
  </si>
  <si>
    <t>INS-RUBBER, LH MOUNT</t>
  </si>
  <si>
    <t>DYNAMIC ANTI-VIBRATION RUBBER</t>
  </si>
  <si>
    <t>PROD DD</t>
  </si>
  <si>
    <t>INS-RUBBER, TRANS MOUNT</t>
  </si>
  <si>
    <t>YTVN459-EX</t>
  </si>
  <si>
    <t>18904036255</t>
  </si>
  <si>
    <t xml:space="preserve">Sample test (Daen) 50Hs
</t>
  </si>
  <si>
    <t xml:space="preserve">Sample test (Daen) 60Hs </t>
  </si>
  <si>
    <t xml:space="preserve">Sample test (Daen- No1,2,5) </t>
  </si>
  <si>
    <t xml:space="preserve">Sample test (Daen- No3,4,6) </t>
  </si>
  <si>
    <t>Sample test (Daen- No7,8)</t>
  </si>
  <si>
    <t xml:space="preserve">Sample test (RPA) </t>
  </si>
  <si>
    <t>YTVN460-EX</t>
  </si>
  <si>
    <t>18904036281</t>
  </si>
  <si>
    <t>11910-76TA0</t>
  </si>
  <si>
    <t>1191076TA0</t>
  </si>
  <si>
    <t>52517-XF8A0-H051</t>
  </si>
  <si>
    <t>51391-T50</t>
  </si>
  <si>
    <t>51392-T20A0-H030</t>
  </si>
  <si>
    <t xml:space="preserve">YTVN461-EX </t>
  </si>
  <si>
    <t>18904036292</t>
  </si>
  <si>
    <t>Massterbatch BT-5086 EX (HDS50)</t>
  </si>
  <si>
    <t xml:space="preserve">Massterbatch </t>
  </si>
  <si>
    <t>YTVN462-EX</t>
  </si>
  <si>
    <t>18904036303</t>
  </si>
  <si>
    <t>YTVN463-EX</t>
  </si>
  <si>
    <t>18904036314</t>
  </si>
  <si>
    <t>N2 samples</t>
  </si>
  <si>
    <t>YTVN464-EX</t>
  </si>
  <si>
    <t>18904036336</t>
  </si>
  <si>
    <t>5082Z-T9A</t>
  </si>
  <si>
    <t>1161068P00-1102</t>
  </si>
  <si>
    <t>HOLDER YRA RH MT</t>
  </si>
  <si>
    <t>55,5</t>
  </si>
  <si>
    <t>YTVN465-EX</t>
  </si>
  <si>
    <t>18904036325</t>
  </si>
  <si>
    <t>YTVN466-EX</t>
  </si>
  <si>
    <t>18904036340</t>
  </si>
  <si>
    <t>50850-T5R-A022-M1</t>
  </si>
  <si>
    <t>74899-3M0</t>
  </si>
  <si>
    <t>50401-3M0A-0030</t>
  </si>
  <si>
    <t>73-391#BJ87</t>
  </si>
  <si>
    <t>50851-XT1A5-A100-E</t>
  </si>
  <si>
    <t>52385-TDK-0030</t>
  </si>
  <si>
    <t>52358-T6N -A010-Y1</t>
  </si>
  <si>
    <t>51391-T6N -A010-Y1</t>
  </si>
  <si>
    <t>51291-T6N -A010-Y1</t>
  </si>
  <si>
    <t>52347-T6N -A020-Y1</t>
  </si>
  <si>
    <t>51393-T6N -A010-Y1</t>
  </si>
  <si>
    <t>52357-T6N -A010-Y1</t>
  </si>
  <si>
    <t>51517-T6N -A010-Y1</t>
  </si>
  <si>
    <t>51518-T6N -A010-Y1</t>
  </si>
  <si>
    <t>50890-3M0J1-F001</t>
  </si>
  <si>
    <t>COMP, TRANS MOUNT</t>
  </si>
  <si>
    <t>HÀNG KHÔNG GỬI 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</si>
</sst>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/mmm/yy;@"/>
    <numFmt numFmtId="165" formatCode="0.000"/>
    <numFmt numFmtId="166" formatCode="_(* #,##0_);_(* \(#,##0\);_(* &quot;-&quot;??_);_(@_)"/>
    <numFmt numFmtId="167" formatCode="#,##0.0_);\(#,##0.0\)"/>
    <numFmt numFmtId="168" formatCode="#,##0.0"/>
    <numFmt numFmtId="169" formatCode="[$-409]mmm/yy;@"/>
    <numFmt numFmtId="170" formatCode="#,##0.00000_);\(#,##0.00000\)"/>
    <numFmt numFmtId="171" formatCode="#,##0.000_);\(#,##0.000\)"/>
    <numFmt numFmtId="172" formatCode="_(* #,##0.0_);_(* \(#,##0.0\);_(* &quot;-&quot;??_);_(@_)"/>
    <numFmt numFmtId="173" formatCode="[$-409]mmm\-yy;@"/>
    <numFmt numFmtId="174" formatCode="[$-409]d\-mmm\-yy;@"/>
    <numFmt numFmtId="175" formatCode="_(* #,##0.000_);_(* \(#,##0.000\);_(* &quot;-&quot;??_);_(@_)"/>
    <numFmt numFmtId="176" formatCode="_-* #,##0_-;\-* #,##0_-;_-* &quot;-&quot;_-;_-@_-"/>
    <numFmt numFmtId="177" formatCode="&quot;¥&quot;#,##0;[Red]&quot;¥&quot;\-#,##0"/>
    <numFmt numFmtId="178" formatCode="&quot;¥&quot;#,##0.00;[Red]&quot;¥&quot;\-#,##0.00"/>
    <numFmt numFmtId="179" formatCode="[$-412]\ m\/d\ \(ddd\)"/>
    <numFmt numFmtId="180" formatCode="#,##0;\-#,##0;&quot;-&quot;"/>
    <numFmt numFmtId="181" formatCode="_ &quot;¥&quot;* #,##0_ ;_ &quot;¥&quot;* \-#,##0_ ;_ &quot;¥&quot;* &quot;-&quot;_ ;_ @_ "/>
    <numFmt numFmtId="182" formatCode="_ * #,##0_ ;_ * \-#,##0_ ;_ * &quot;-&quot;_ ;_ @_ "/>
    <numFmt numFmtId="183" formatCode="_ &quot;¥&quot;* #,##0.00_ ;_ &quot;¥&quot;* \-#,##0.00_ ;_ &quot;¥&quot;* &quot;-&quot;??_ ;_ @_ "/>
    <numFmt numFmtId="184" formatCode="&quot;Gs&quot;\ #,##0;[Red]&quot;Gs&quot;\ \-#,##0"/>
    <numFmt numFmtId="185" formatCode="&quot;Gs&quot;\ #,##0;&quot;Gs&quot;\ \-#,##0"/>
    <numFmt numFmtId="186" formatCode="General_)"/>
    <numFmt numFmtId="187" formatCode="&quot;fl&quot;#,##0_);\(&quot;fl&quot;#,##0\)"/>
    <numFmt numFmtId="188" formatCode="&quot;fl&quot;#,##0_);[Red]\(&quot;fl&quot;#,##0\)"/>
    <numFmt numFmtId="189" formatCode="_(* #,##0.0_);_(* \(#,##0.00\);_(* &quot;-&quot;??_);_(@_)"/>
    <numFmt numFmtId="190" formatCode="&quot;fl&quot;#,##0.00_);\(&quot;fl&quot;#,##0.00\)"/>
    <numFmt numFmtId="191" formatCode="#,##0;\(#,##0\)"/>
    <numFmt numFmtId="192" formatCode="\60\4\7\:"/>
    <numFmt numFmtId="193" formatCode="\$#,##0.00;\(\$#,##0.00\)"/>
    <numFmt numFmtId="194" formatCode="\$#,##0;\(\$#,##0\)"/>
    <numFmt numFmtId="195" formatCode="#,##0;[Red]\(#,##0\)"/>
    <numFmt numFmtId="196" formatCode="_-* #,##0.00\ &quot;F&quot;_-;\-* #,##0.00\ &quot;F&quot;_-;_-* &quot;-&quot;??\ &quot;F&quot;_-;_-@_-"/>
    <numFmt numFmtId="197" formatCode="&quot;fl&quot;#,##0.00_);[Red]\(&quot;fl&quot;#,##0.00\)"/>
    <numFmt numFmtId="198" formatCode="_(&quot;fl&quot;* #,##0_);_(&quot;fl&quot;* \(#,##0\);_(&quot;fl&quot;* &quot;-&quot;_);_(@_)"/>
    <numFmt numFmtId="199" formatCode="_-* #,##0\ _T_L_-;\-* #,##0\ _T_L_-;_-* &quot;-&quot;\ _T_L_-;_-@_-"/>
    <numFmt numFmtId="200" formatCode="_-* #,##0.00\ _T_L_-;\-* #,##0.00\ _T_L_-;_-* &quot;-&quot;??\ _T_L_-;_-@_-"/>
    <numFmt numFmtId="201" formatCode="_(* #,##0.00_);_(* &quot;¥&quot;\!\(#,##0.00&quot;¥&quot;\!\);_(* &quot;-&quot;??_);_(@_)"/>
    <numFmt numFmtId="202" formatCode="_(* #,##0_);_(* &quot;¥&quot;\!\(#,##0&quot;¥&quot;\!\);_(* &quot;-&quot;_);_(@_)"/>
    <numFmt numFmtId="203" formatCode="&quot;¥&quot;#,##0.00;[Red]&quot;¥&quot;&quot;¥&quot;\!\-#,##0.00"/>
    <numFmt numFmtId="204" formatCode="&quot;¥&quot;#,##0;[Red]&quot;¥&quot;&quot;¥&quot;\!\-#,##0"/>
    <numFmt numFmtId="205" formatCode="&quot;¥&quot;#,##0;[Red]&quot;¥&quot;&quot;¥&quot;&quot;¥&quot;\!\!\-#,##0"/>
    <numFmt numFmtId="206" formatCode="[$-409]d\-mmm\-yyyy;@"/>
  </numFmts>
  <fonts count="18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name val="Tahoma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2"/>
      <name val="ＭＳ ゴシック"/>
      <family val="3"/>
      <charset val="128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  <charset val="163"/>
    </font>
    <font>
      <sz val="12"/>
      <name val="宋体"/>
      <charset val="134"/>
    </font>
    <font>
      <sz val="12"/>
      <name val="Osaka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2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돋움"/>
      <family val="2"/>
      <charset val="129"/>
    </font>
    <font>
      <sz val="11"/>
      <color indexed="8"/>
      <name val="맑은 고딕"/>
      <family val="2"/>
      <charset val="129"/>
    </font>
    <font>
      <sz val="11"/>
      <color indexed="9"/>
      <name val="맑은 고딕"/>
      <family val="2"/>
      <charset val="129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1"/>
      <color indexed="20"/>
      <name val="맑은 고딕"/>
      <family val="2"/>
      <charset val="129"/>
    </font>
    <font>
      <sz val="11"/>
      <color indexed="60"/>
      <name val="맑은 고딕"/>
      <family val="2"/>
      <charset val="129"/>
    </font>
    <font>
      <i/>
      <sz val="11"/>
      <color indexed="23"/>
      <name val="맑은 고딕"/>
      <family val="2"/>
      <charset val="129"/>
    </font>
    <font>
      <b/>
      <sz val="11"/>
      <color indexed="9"/>
      <name val="맑은 고딕"/>
      <family val="2"/>
      <charset val="129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sz val="11"/>
      <color indexed="8"/>
      <name val="Calibri"/>
      <family val="2"/>
    </font>
    <font>
      <sz val="10"/>
      <name val="굴림"/>
      <family val="2"/>
      <charset val="129"/>
    </font>
    <font>
      <sz val="10"/>
      <color indexed="14"/>
      <name val="Arial"/>
      <family val="2"/>
    </font>
    <font>
      <sz val="11"/>
      <color indexed="10"/>
      <name val="ＭＳ Ｐゴシック"/>
      <family val="3"/>
      <charset val="128"/>
    </font>
    <font>
      <sz val="10"/>
      <color indexed="8"/>
      <name val="맑은 고딕"/>
      <family val="2"/>
      <charset val="129"/>
    </font>
    <font>
      <sz val="10"/>
      <color indexed="8"/>
      <name val="Arial"/>
      <family val="2"/>
    </font>
    <font>
      <b/>
      <sz val="12"/>
      <name val="Arial"/>
      <family val="2"/>
    </font>
    <font>
      <sz val="14"/>
      <name val="ＭＳ 明朝"/>
      <family val="1"/>
      <charset val="128"/>
    </font>
    <font>
      <sz val="12"/>
      <name val="ＭＳ Ｐゴシック"/>
      <family val="3"/>
      <charset val="128"/>
    </font>
    <font>
      <sz val="8"/>
      <name val="Times New Roman"/>
      <family val="1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name val="明朝"/>
      <family val="3"/>
      <charset val="128"/>
    </font>
    <font>
      <sz val="12"/>
      <name val="VNTime"/>
      <family val="1"/>
    </font>
    <font>
      <sz val="14"/>
      <name val="??"/>
      <family val="3"/>
    </font>
    <font>
      <sz val="11"/>
      <name val="??"/>
      <family val="3"/>
    </font>
    <font>
      <sz val="10"/>
      <name val="???"/>
      <family val="3"/>
    </font>
    <font>
      <sz val="11"/>
      <name val="¾©"/>
      <family val="3"/>
      <charset val="128"/>
    </font>
    <font>
      <sz val="11"/>
      <color indexed="9"/>
      <name val="Calibri"/>
      <family val="2"/>
    </font>
    <font>
      <sz val="12"/>
      <name val="¹UAAA¼"/>
      <family val="3"/>
    </font>
    <font>
      <sz val="11"/>
      <color indexed="20"/>
      <name val="Calibri"/>
      <family val="2"/>
    </font>
    <font>
      <sz val="9"/>
      <name val="Times New Roma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.VnTime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0"/>
      <color indexed="12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sz val="10"/>
      <color indexed="9"/>
      <name val="Arial"/>
      <family val="2"/>
    </font>
    <font>
      <b/>
      <sz val="16"/>
      <color indexed="9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i/>
      <sz val="12"/>
      <name val="Arial"/>
      <family val="2"/>
    </font>
    <font>
      <sz val="12"/>
      <name val="Arial"/>
      <family val="2"/>
    </font>
    <font>
      <u/>
      <sz val="8"/>
      <color indexed="12"/>
      <name val="Times New Roman"/>
      <family val="1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u/>
      <sz val="14"/>
      <color indexed="36"/>
      <name val="Tms Rmn"/>
      <family val="1"/>
    </font>
    <font>
      <sz val="11"/>
      <color indexed="52"/>
      <name val="Calibri"/>
      <family val="2"/>
    </font>
    <font>
      <b/>
      <sz val="8"/>
      <name val="Arial"/>
      <family val="2"/>
    </font>
    <font>
      <sz val="11"/>
      <color indexed="60"/>
      <name val="Calibri"/>
      <family val="2"/>
    </font>
    <font>
      <sz val="7"/>
      <name val="Small Fonts"/>
      <family val="3"/>
      <charset val="128"/>
    </font>
    <font>
      <sz val="11"/>
      <name val="Arial"/>
      <family val="2"/>
    </font>
    <font>
      <sz val="11"/>
      <name val="‚l‚r –¾’©"/>
      <family val="3"/>
      <charset val="128"/>
    </font>
    <font>
      <sz val="14"/>
      <name val="System"/>
      <family val="2"/>
    </font>
    <font>
      <sz val="11"/>
      <name val="明朝"/>
      <family val="3"/>
      <charset val="128"/>
    </font>
    <font>
      <b/>
      <i/>
      <sz val="10"/>
      <name val="Arial"/>
      <family val="2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9.6"/>
      <name val="標準ゴシック"/>
      <family val="3"/>
      <charset val="128"/>
    </font>
    <font>
      <b/>
      <sz val="11"/>
      <name val="Helv"/>
      <family val="2"/>
    </font>
    <font>
      <b/>
      <sz val="12"/>
      <color indexed="10"/>
      <name val="Arial"/>
      <family val="2"/>
    </font>
    <font>
      <sz val="12"/>
      <color indexed="17"/>
      <name val="ARIAL"/>
      <family val="2"/>
    </font>
    <font>
      <b/>
      <sz val="10"/>
      <color indexed="17"/>
      <name val="Arial"/>
      <family val="2"/>
    </font>
    <font>
      <b/>
      <sz val="9"/>
      <name val="Times New Roman"/>
      <family val="1"/>
    </font>
    <font>
      <sz val="10"/>
      <name val="Times New Roman Tur"/>
      <family val="1"/>
      <charset val="162"/>
    </font>
    <font>
      <sz val="11"/>
      <color indexed="10"/>
      <name val="Calibri"/>
      <family val="2"/>
    </font>
    <font>
      <b/>
      <sz val="18"/>
      <color indexed="62"/>
      <name val="ＭＳ Ｐゴシック"/>
      <family val="3"/>
      <charset val="128"/>
    </font>
    <font>
      <sz val="14"/>
      <name val="AngsanaUPC"/>
      <family val="1"/>
    </font>
    <font>
      <sz val="11"/>
      <color indexed="14"/>
      <name val="ＭＳ Ｐゴシック"/>
      <family val="3"/>
      <charset val="128"/>
    </font>
    <font>
      <sz val="9.5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2"/>
      <name val="ＭＳ 明朝"/>
      <family val="1"/>
      <charset val="128"/>
    </font>
    <font>
      <sz val="12"/>
      <name val="宋体"/>
      <charset val="128"/>
    </font>
    <font>
      <sz val="14"/>
      <name val="뼻뮝"/>
      <family val="3"/>
    </font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12"/>
      <name val="뼻뮝"/>
      <family val="3"/>
    </font>
    <font>
      <sz val="12"/>
      <name val="바탕체"/>
      <family val="3"/>
    </font>
    <font>
      <sz val="10"/>
      <name val="굴림체"/>
      <family val="3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name val="돋움"/>
      <family val="2"/>
    </font>
    <font>
      <sz val="12"/>
      <name val=".VnTime"/>
      <family val="2"/>
    </font>
    <font>
      <u/>
      <sz val="10"/>
      <color indexed="12"/>
      <name val="Arial"/>
      <family val="2"/>
    </font>
    <font>
      <sz val="11"/>
      <name val="明朝"/>
      <family val="1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3"/>
      <charset val="128"/>
      <scheme val="minor"/>
    </font>
    <font>
      <u/>
      <sz val="11"/>
      <color theme="10"/>
      <name val="Calibri"/>
      <family val="2"/>
      <charset val="128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2"/>
      <name val="ＭＳ Ｐゴシック"/>
      <family val="2"/>
    </font>
    <font>
      <sz val="12"/>
      <name val="Calibri"/>
      <family val="2"/>
    </font>
    <font>
      <sz val="12"/>
      <name val="ＭＳ Ｐゴシック"/>
    </font>
    <font>
      <sz val="12"/>
      <color theme="1"/>
      <name val="Times New Roman"/>
      <family val="1"/>
    </font>
    <font>
      <sz val="12"/>
      <color rgb="FFFF0000"/>
      <name val="Tahoma"/>
      <family val="2"/>
    </font>
    <font>
      <sz val="11"/>
      <color rgb="FFFF0000"/>
      <name val="Times New Roman"/>
      <family val="2"/>
    </font>
    <font>
      <sz val="12"/>
      <color rgb="FFFF0000"/>
      <name val="ＭＳ Ｐゴシック"/>
    </font>
    <font>
      <sz val="12"/>
      <name val="Calibri"/>
      <family val="2"/>
      <scheme val="minor"/>
    </font>
    <font>
      <sz val="9"/>
      <name val="ＭＳ Ｐゴシック"/>
    </font>
    <font>
      <sz val="11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9"/>
      </patternFill>
    </fill>
    <fill>
      <patternFill patternType="solid">
        <fgColor indexed="54"/>
      </patternFill>
    </fill>
  </fills>
  <borders count="6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13">
    <xf numFmtId="164" fontId="0" fillId="0" borderId="0"/>
    <xf numFmtId="164" fontId="3" fillId="0" borderId="0"/>
    <xf numFmtId="164" fontId="5" fillId="0" borderId="0" applyFill="0" applyBorder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38" fontId="8" fillId="0" borderId="0" applyFont="0" applyFill="0" applyBorder="0" applyAlignment="0" applyProtection="0">
      <alignment vertical="center"/>
    </xf>
    <xf numFmtId="0" fontId="8" fillId="0" borderId="0"/>
    <xf numFmtId="43" fontId="5" fillId="0" borderId="0" applyFont="0" applyFill="0" applyBorder="0" applyAlignment="0" applyProtection="0"/>
    <xf numFmtId="0" fontId="5" fillId="0" borderId="0"/>
    <xf numFmtId="0" fontId="20" fillId="0" borderId="0"/>
    <xf numFmtId="0" fontId="21" fillId="0" borderId="0"/>
    <xf numFmtId="38" fontId="8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0" fontId="8" fillId="0" borderId="0"/>
    <xf numFmtId="0" fontId="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2" fillId="0" borderId="0"/>
    <xf numFmtId="0" fontId="24" fillId="0" borderId="0">
      <alignment vertical="center"/>
    </xf>
    <xf numFmtId="38" fontId="3" fillId="0" borderId="0" applyFont="0" applyFill="0" applyBorder="0" applyAlignment="0" applyProtection="0"/>
    <xf numFmtId="0" fontId="3" fillId="0" borderId="0"/>
    <xf numFmtId="0" fontId="74" fillId="0" borderId="0" applyNumberFormat="0" applyFill="0" applyBorder="0" applyAlignment="0" applyProtection="0"/>
    <xf numFmtId="184" fontId="75" fillId="0" borderId="0" applyFont="0" applyFill="0" applyBorder="0" applyAlignment="0" applyProtection="0"/>
    <xf numFmtId="0" fontId="76" fillId="0" borderId="0" applyFont="0" applyFill="0" applyBorder="0" applyAlignment="0" applyProtection="0"/>
    <xf numFmtId="185" fontId="75" fillId="0" borderId="0" applyFont="0" applyFill="0" applyBorder="0" applyAlignment="0" applyProtection="0"/>
    <xf numFmtId="40" fontId="76" fillId="0" borderId="0" applyFont="0" applyFill="0" applyBorder="0" applyAlignment="0" applyProtection="0"/>
    <xf numFmtId="38" fontId="76" fillId="0" borderId="0" applyFont="0" applyFill="0" applyBorder="0" applyAlignment="0" applyProtection="0"/>
    <xf numFmtId="9" fontId="77" fillId="0" borderId="0" applyFont="0" applyFill="0" applyBorder="0" applyAlignment="0" applyProtection="0"/>
    <xf numFmtId="0" fontId="78" fillId="0" borderId="0"/>
    <xf numFmtId="0" fontId="79" fillId="0" borderId="0"/>
    <xf numFmtId="0" fontId="158" fillId="0" borderId="0"/>
    <xf numFmtId="0" fontId="49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5" borderId="0" applyNumberFormat="0" applyBorder="0" applyAlignment="0" applyProtection="0"/>
    <xf numFmtId="0" fontId="49" fillId="16" borderId="0" applyNumberFormat="0" applyBorder="0" applyAlignment="0" applyProtection="0"/>
    <xf numFmtId="0" fontId="23" fillId="1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39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39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39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39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39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39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39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39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139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139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139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139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139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139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139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139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39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39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39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39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39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39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39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39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39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39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39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39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39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39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39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39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139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139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139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139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139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139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139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139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139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139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139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139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139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139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139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139" fillId="16" borderId="0" applyNumberFormat="0" applyBorder="0" applyAlignment="0" applyProtection="0">
      <alignment vertical="center"/>
    </xf>
    <xf numFmtId="0" fontId="49" fillId="19" borderId="0" applyNumberFormat="0" applyBorder="0" applyAlignment="0" applyProtection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49" fillId="14" borderId="0" applyNumberFormat="0" applyBorder="0" applyAlignment="0" applyProtection="0"/>
    <xf numFmtId="0" fontId="49" fillId="19" borderId="0" applyNumberFormat="0" applyBorder="0" applyAlignment="0" applyProtection="0"/>
    <xf numFmtId="0" fontId="49" fillId="22" borderId="0" applyNumberFormat="0" applyBorder="0" applyAlignment="0" applyProtection="0"/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39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39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39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39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39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39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39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39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139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139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139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139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139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139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139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139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139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139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139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139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139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139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139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139" fillId="2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39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39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39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39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39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39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39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39" fillId="14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39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39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39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39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39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39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39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39" fillId="19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139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139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139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139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139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139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139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139" fillId="22" borderId="0" applyNumberFormat="0" applyBorder="0" applyAlignment="0" applyProtection="0">
      <alignment vertical="center"/>
    </xf>
    <xf numFmtId="0" fontId="80" fillId="25" borderId="0" applyNumberFormat="0" applyBorder="0" applyAlignment="0" applyProtection="0"/>
    <xf numFmtId="0" fontId="80" fillId="20" borderId="0" applyNumberFormat="0" applyBorder="0" applyAlignment="0" applyProtection="0"/>
    <xf numFmtId="0" fontId="80" fillId="21" borderId="0" applyNumberFormat="0" applyBorder="0" applyAlignment="0" applyProtection="0"/>
    <xf numFmtId="0" fontId="80" fillId="26" borderId="0" applyNumberFormat="0" applyBorder="0" applyAlignment="0" applyProtection="0"/>
    <xf numFmtId="0" fontId="80" fillId="27" borderId="0" applyNumberFormat="0" applyBorder="0" applyAlignment="0" applyProtection="0"/>
    <xf numFmtId="0" fontId="80" fillId="28" borderId="0" applyNumberFormat="0" applyBorder="0" applyAlignment="0" applyProtection="0"/>
    <xf numFmtId="0" fontId="59" fillId="27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140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140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140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140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140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140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140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140" fillId="25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140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140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140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140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140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140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140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140" fillId="21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40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40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40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40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40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40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40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40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40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40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40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40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40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40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40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40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40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40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40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40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40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40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40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40" fillId="28" borderId="0" applyNumberFormat="0" applyBorder="0" applyAlignment="0" applyProtection="0">
      <alignment vertical="center"/>
    </xf>
    <xf numFmtId="0" fontId="80" fillId="29" borderId="0" applyNumberFormat="0" applyBorder="0" applyAlignment="0" applyProtection="0"/>
    <xf numFmtId="0" fontId="80" fillId="30" borderId="0" applyNumberFormat="0" applyBorder="0" applyAlignment="0" applyProtection="0"/>
    <xf numFmtId="0" fontId="80" fillId="31" borderId="0" applyNumberFormat="0" applyBorder="0" applyAlignment="0" applyProtection="0"/>
    <xf numFmtId="0" fontId="80" fillId="26" borderId="0" applyNumberFormat="0" applyBorder="0" applyAlignment="0" applyProtection="0"/>
    <xf numFmtId="0" fontId="80" fillId="27" borderId="0" applyNumberFormat="0" applyBorder="0" applyAlignment="0" applyProtection="0"/>
    <xf numFmtId="0" fontId="80" fillId="32" borderId="0" applyNumberFormat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58" fillId="0" borderId="0">
      <alignment horizontal="center" wrapText="1"/>
      <protection locked="0"/>
    </xf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2" fillId="12" borderId="0" applyNumberFormat="0" applyBorder="0" applyAlignment="0" applyProtection="0"/>
    <xf numFmtId="0" fontId="81" fillId="0" borderId="0"/>
    <xf numFmtId="180" fontId="54" fillId="0" borderId="0" applyFill="0" applyBorder="0" applyAlignment="0"/>
    <xf numFmtId="186" fontId="83" fillId="0" borderId="0" applyFill="0" applyBorder="0" applyAlignment="0"/>
    <xf numFmtId="165" fontId="83" fillId="0" borderId="0" applyFill="0" applyBorder="0" applyAlignment="0"/>
    <xf numFmtId="187" fontId="83" fillId="0" borderId="0" applyFill="0" applyBorder="0" applyAlignment="0"/>
    <xf numFmtId="188" fontId="83" fillId="0" borderId="0" applyFill="0" applyBorder="0" applyAlignment="0"/>
    <xf numFmtId="189" fontId="83" fillId="0" borderId="0" applyFill="0" applyBorder="0" applyAlignment="0"/>
    <xf numFmtId="190" fontId="83" fillId="0" borderId="0" applyFill="0" applyBorder="0" applyAlignment="0"/>
    <xf numFmtId="186" fontId="83" fillId="0" borderId="0" applyFill="0" applyBorder="0" applyAlignment="0"/>
    <xf numFmtId="0" fontId="84" fillId="23" borderId="26" applyNumberFormat="0" applyAlignment="0" applyProtection="0"/>
    <xf numFmtId="0" fontId="85" fillId="33" borderId="27" applyNumberFormat="0" applyAlignment="0" applyProtection="0"/>
    <xf numFmtId="40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22" fillId="0" borderId="0" applyFont="0" applyFill="0" applyBorder="0" applyAlignment="0" applyProtection="0">
      <alignment vertical="center"/>
    </xf>
    <xf numFmtId="189" fontId="8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9" fillId="0" borderId="0" applyFont="0" applyFill="0" applyBorder="0" applyAlignment="0" applyProtection="0"/>
    <xf numFmtId="191" fontId="29" fillId="0" borderId="0"/>
    <xf numFmtId="3" fontId="5" fillId="0" borderId="0" applyFont="0" applyFill="0" applyBorder="0" applyAlignment="0" applyProtection="0"/>
    <xf numFmtId="186" fontId="83" fillId="0" borderId="0" applyFont="0" applyFill="0" applyBorder="0" applyAlignment="0" applyProtection="0"/>
    <xf numFmtId="181" fontId="86" fillId="0" borderId="0" applyFont="0" applyFill="0" applyBorder="0" applyAlignment="0" applyProtection="0"/>
    <xf numFmtId="193" fontId="29" fillId="0" borderId="0"/>
    <xf numFmtId="0" fontId="5" fillId="0" borderId="0" applyFont="0" applyFill="0" applyBorder="0" applyAlignment="0" applyProtection="0"/>
    <xf numFmtId="14" fontId="54" fillId="0" borderId="0" applyFill="0" applyBorder="0" applyAlignment="0"/>
    <xf numFmtId="38" fontId="87" fillId="0" borderId="28">
      <alignment vertical="center"/>
    </xf>
    <xf numFmtId="194" fontId="29" fillId="0" borderId="0"/>
    <xf numFmtId="189" fontId="83" fillId="0" borderId="0" applyFill="0" applyBorder="0" applyAlignment="0"/>
    <xf numFmtId="186" fontId="83" fillId="0" borderId="0" applyFill="0" applyBorder="0" applyAlignment="0"/>
    <xf numFmtId="189" fontId="83" fillId="0" borderId="0" applyFill="0" applyBorder="0" applyAlignment="0"/>
    <xf numFmtId="190" fontId="83" fillId="0" borderId="0" applyFill="0" applyBorder="0" applyAlignment="0"/>
    <xf numFmtId="186" fontId="83" fillId="0" borderId="0" applyFill="0" applyBorder="0" applyAlignment="0"/>
    <xf numFmtId="0" fontId="83" fillId="0" borderId="0">
      <alignment horizontal="left"/>
    </xf>
    <xf numFmtId="0" fontId="88" fillId="0" borderId="0" applyNumberFormat="0" applyFill="0" applyBorder="0" applyAlignment="0" applyProtection="0"/>
    <xf numFmtId="2" fontId="5" fillId="0" borderId="0" applyFont="0" applyFill="0" applyBorder="0" applyAlignment="0" applyProtection="0"/>
    <xf numFmtId="0" fontId="5" fillId="0" borderId="0"/>
    <xf numFmtId="195" fontId="89" fillId="0" borderId="0"/>
    <xf numFmtId="0" fontId="90" fillId="13" borderId="0" applyNumberFormat="0" applyBorder="0" applyAlignment="0" applyProtection="0"/>
    <xf numFmtId="38" fontId="91" fillId="34" borderId="0" applyNumberFormat="0" applyBorder="0" applyAlignment="0" applyProtection="0"/>
    <xf numFmtId="0" fontId="55" fillId="0" borderId="29" applyNumberFormat="0" applyAlignment="0" applyProtection="0">
      <alignment horizontal="left" vertical="center"/>
    </xf>
    <xf numFmtId="0" fontId="55" fillId="0" borderId="19">
      <alignment horizontal="left" vertical="center"/>
    </xf>
    <xf numFmtId="0" fontId="92" fillId="35" borderId="25"/>
    <xf numFmtId="0" fontId="93" fillId="35" borderId="0"/>
    <xf numFmtId="0" fontId="9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95" fillId="0" borderId="32" applyNumberFormat="0" applyFill="0" applyAlignment="0" applyProtection="0"/>
    <xf numFmtId="0" fontId="95" fillId="0" borderId="0" applyNumberFormat="0" applyFill="0" applyBorder="0" applyAlignment="0" applyProtection="0"/>
    <xf numFmtId="0" fontId="55" fillId="0" borderId="0"/>
    <xf numFmtId="0" fontId="96" fillId="0" borderId="0"/>
    <xf numFmtId="0" fontId="97" fillId="0" borderId="0"/>
    <xf numFmtId="0" fontId="5" fillId="0" borderId="0">
      <alignment horizontal="center"/>
    </xf>
    <xf numFmtId="0" fontId="163" fillId="0" borderId="0" applyNumberFormat="0" applyFill="0" applyBorder="0" applyAlignment="0" applyProtection="0">
      <alignment vertical="top"/>
      <protection locked="0"/>
    </xf>
    <xf numFmtId="0" fontId="164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59" fillId="0" borderId="0" applyNumberFormat="0" applyFill="0" applyBorder="0" applyAlignment="0" applyProtection="0">
      <alignment vertical="top"/>
      <protection locked="0"/>
    </xf>
    <xf numFmtId="0" fontId="167" fillId="0" borderId="0" applyNumberFormat="0" applyFill="0" applyBorder="0" applyAlignment="0" applyProtection="0"/>
    <xf numFmtId="0" fontId="99" fillId="0" borderId="0" applyBorder="0"/>
    <xf numFmtId="10" fontId="91" fillId="36" borderId="5" applyNumberFormat="0" applyBorder="0" applyAlignment="0" applyProtection="0"/>
    <xf numFmtId="0" fontId="100" fillId="16" borderId="26" applyNumberFormat="0" applyAlignment="0" applyProtection="0"/>
    <xf numFmtId="0" fontId="100" fillId="16" borderId="26" applyNumberFormat="0" applyAlignment="0" applyProtection="0"/>
    <xf numFmtId="0" fontId="100" fillId="16" borderId="26" applyNumberFormat="0" applyAlignment="0" applyProtection="0"/>
    <xf numFmtId="0" fontId="100" fillId="16" borderId="26" applyNumberFormat="0" applyAlignment="0" applyProtection="0"/>
    <xf numFmtId="0" fontId="100" fillId="16" borderId="26" applyNumberFormat="0" applyAlignment="0" applyProtection="0"/>
    <xf numFmtId="0" fontId="100" fillId="16" borderId="26" applyNumberFormat="0" applyAlignment="0" applyProtection="0"/>
    <xf numFmtId="0" fontId="101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189" fontId="83" fillId="0" borderId="0" applyFill="0" applyBorder="0" applyAlignment="0"/>
    <xf numFmtId="186" fontId="83" fillId="0" borderId="0" applyFill="0" applyBorder="0" applyAlignment="0"/>
    <xf numFmtId="189" fontId="83" fillId="0" borderId="0" applyFill="0" applyBorder="0" applyAlignment="0"/>
    <xf numFmtId="190" fontId="83" fillId="0" borderId="0" applyFill="0" applyBorder="0" applyAlignment="0"/>
    <xf numFmtId="186" fontId="83" fillId="0" borderId="0" applyFill="0" applyBorder="0" applyAlignment="0"/>
    <xf numFmtId="0" fontId="102" fillId="0" borderId="33" applyNumberFormat="0" applyFill="0" applyAlignment="0" applyProtection="0"/>
    <xf numFmtId="0" fontId="103" fillId="23" borderId="0"/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162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162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162" fillId="0" borderId="0" applyFont="0" applyFill="0" applyBorder="0" applyAlignment="0" applyProtection="0">
      <alignment vertical="center"/>
    </xf>
    <xf numFmtId="38" fontId="162" fillId="0" borderId="0" applyFont="0" applyFill="0" applyBorder="0" applyAlignment="0" applyProtection="0">
      <alignment vertical="center"/>
    </xf>
    <xf numFmtId="39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37" fontId="5" fillId="0" borderId="0" applyFont="0" applyFill="0" applyBorder="0" applyAlignment="0" applyProtection="0"/>
    <xf numFmtId="178" fontId="24" fillId="0" borderId="0" applyFont="0" applyFill="0" applyBorder="0" applyAlignment="0" applyProtection="0">
      <alignment vertical="center"/>
    </xf>
    <xf numFmtId="178" fontId="24" fillId="0" borderId="0" applyFont="0" applyFill="0" applyBorder="0" applyAlignment="0" applyProtection="0">
      <alignment vertical="center"/>
    </xf>
    <xf numFmtId="178" fontId="162" fillId="0" borderId="0" applyFont="0" applyFill="0" applyBorder="0" applyAlignment="0" applyProtection="0">
      <alignment vertical="center"/>
    </xf>
    <xf numFmtId="178" fontId="24" fillId="0" borderId="0" applyFont="0" applyFill="0" applyBorder="0" applyAlignment="0" applyProtection="0">
      <alignment vertical="center"/>
    </xf>
    <xf numFmtId="178" fontId="162" fillId="0" borderId="0" applyFont="0" applyFill="0" applyBorder="0" applyAlignment="0" applyProtection="0">
      <alignment vertical="center"/>
    </xf>
    <xf numFmtId="178" fontId="24" fillId="0" borderId="0" applyFont="0" applyFill="0" applyBorder="0" applyAlignment="0" applyProtection="0">
      <alignment vertical="center"/>
    </xf>
    <xf numFmtId="178" fontId="162" fillId="0" borderId="0" applyFont="0" applyFill="0" applyBorder="0" applyAlignment="0" applyProtection="0">
      <alignment vertical="center"/>
    </xf>
    <xf numFmtId="178" fontId="162" fillId="0" borderId="0" applyFont="0" applyFill="0" applyBorder="0" applyAlignment="0" applyProtection="0">
      <alignment vertical="center"/>
    </xf>
    <xf numFmtId="0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6" fontId="87" fillId="0" borderId="0" applyFont="0" applyFill="0" applyBorder="0" applyAlignment="0" applyProtection="0"/>
    <xf numFmtId="8" fontId="87" fillId="0" borderId="0" applyFont="0" applyFill="0" applyBorder="0" applyAlignment="0" applyProtection="0"/>
    <xf numFmtId="0" fontId="104" fillId="24" borderId="0" applyNumberFormat="0" applyBorder="0" applyAlignment="0" applyProtection="0"/>
    <xf numFmtId="37" fontId="105" fillId="0" borderId="0"/>
    <xf numFmtId="196" fontId="3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24" fillId="0" borderId="0"/>
    <xf numFmtId="0" fontId="5" fillId="0" borderId="0"/>
    <xf numFmtId="0" fontId="162" fillId="0" borderId="0">
      <alignment vertical="center"/>
    </xf>
    <xf numFmtId="0" fontId="162" fillId="0" borderId="0">
      <alignment vertical="center"/>
    </xf>
    <xf numFmtId="0" fontId="5" fillId="0" borderId="0"/>
    <xf numFmtId="0" fontId="162" fillId="0" borderId="0">
      <alignment vertical="center"/>
    </xf>
    <xf numFmtId="0" fontId="22" fillId="0" borderId="0"/>
    <xf numFmtId="0" fontId="22" fillId="0" borderId="0"/>
    <xf numFmtId="0" fontId="24" fillId="0" borderId="0">
      <alignment vertical="center"/>
    </xf>
    <xf numFmtId="0" fontId="162" fillId="0" borderId="0">
      <alignment vertical="center"/>
    </xf>
    <xf numFmtId="0" fontId="3" fillId="0" borderId="0">
      <alignment vertical="center"/>
    </xf>
    <xf numFmtId="0" fontId="5" fillId="0" borderId="0"/>
    <xf numFmtId="0" fontId="24" fillId="0" borderId="0"/>
    <xf numFmtId="0" fontId="162" fillId="0" borderId="0"/>
    <xf numFmtId="0" fontId="158" fillId="0" borderId="0"/>
    <xf numFmtId="0" fontId="24" fillId="0" borderId="0">
      <alignment vertical="center"/>
    </xf>
    <xf numFmtId="0" fontId="24" fillId="0" borderId="0"/>
    <xf numFmtId="0" fontId="8" fillId="0" borderId="0"/>
    <xf numFmtId="0" fontId="162" fillId="0" borderId="0">
      <alignment vertical="center"/>
    </xf>
    <xf numFmtId="0" fontId="24" fillId="0" borderId="0"/>
    <xf numFmtId="0" fontId="8" fillId="0" borderId="0"/>
    <xf numFmtId="0" fontId="24" fillId="0" borderId="0">
      <alignment vertical="center"/>
    </xf>
    <xf numFmtId="0" fontId="162" fillId="0" borderId="0">
      <alignment vertical="center"/>
    </xf>
    <xf numFmtId="0" fontId="5" fillId="0" borderId="0"/>
    <xf numFmtId="0" fontId="24" fillId="0" borderId="0"/>
    <xf numFmtId="0" fontId="3" fillId="0" borderId="0"/>
    <xf numFmtId="0" fontId="162" fillId="0" borderId="0">
      <alignment vertical="center"/>
    </xf>
    <xf numFmtId="0" fontId="162" fillId="0" borderId="0">
      <alignment vertical="center"/>
    </xf>
    <xf numFmtId="0" fontId="16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/>
    <xf numFmtId="0" fontId="162" fillId="0" borderId="0">
      <alignment vertical="center"/>
    </xf>
    <xf numFmtId="0" fontId="24" fillId="0" borderId="0">
      <alignment vertical="center"/>
    </xf>
    <xf numFmtId="0" fontId="5" fillId="0" borderId="0"/>
    <xf numFmtId="0" fontId="162" fillId="0" borderId="0">
      <alignment vertical="center"/>
    </xf>
    <xf numFmtId="0" fontId="24" fillId="0" borderId="0">
      <alignment vertical="center"/>
    </xf>
    <xf numFmtId="0" fontId="162" fillId="0" borderId="0">
      <alignment vertical="center"/>
    </xf>
    <xf numFmtId="0" fontId="8" fillId="0" borderId="0"/>
    <xf numFmtId="0" fontId="24" fillId="0" borderId="0">
      <alignment vertical="center"/>
    </xf>
    <xf numFmtId="0" fontId="168" fillId="0" borderId="0"/>
    <xf numFmtId="0" fontId="168" fillId="0" borderId="0"/>
    <xf numFmtId="0" fontId="24" fillId="0" borderId="0"/>
    <xf numFmtId="0" fontId="8" fillId="0" borderId="0"/>
    <xf numFmtId="0" fontId="6" fillId="0" borderId="0"/>
    <xf numFmtId="0" fontId="5" fillId="0" borderId="0"/>
    <xf numFmtId="0" fontId="24" fillId="0" borderId="0">
      <alignment vertical="center"/>
    </xf>
    <xf numFmtId="0" fontId="24" fillId="0" borderId="0"/>
    <xf numFmtId="0" fontId="8" fillId="0" borderId="0"/>
    <xf numFmtId="0" fontId="8" fillId="0" borderId="0"/>
    <xf numFmtId="0" fontId="24" fillId="0" borderId="0"/>
    <xf numFmtId="0" fontId="24" fillId="0" borderId="0">
      <alignment vertical="center"/>
    </xf>
    <xf numFmtId="0" fontId="162" fillId="0" borderId="0"/>
    <xf numFmtId="0" fontId="24" fillId="0" borderId="0"/>
    <xf numFmtId="0" fontId="162" fillId="0" borderId="0">
      <alignment vertical="center"/>
    </xf>
    <xf numFmtId="0" fontId="3" fillId="0" borderId="0"/>
    <xf numFmtId="0" fontId="162" fillId="0" borderId="0"/>
    <xf numFmtId="0" fontId="24" fillId="0" borderId="0"/>
    <xf numFmtId="0" fontId="24" fillId="0" borderId="0">
      <alignment vertical="center"/>
    </xf>
    <xf numFmtId="0" fontId="5" fillId="0" borderId="0"/>
    <xf numFmtId="0" fontId="162" fillId="0" borderId="0">
      <alignment vertical="center"/>
    </xf>
    <xf numFmtId="0" fontId="5" fillId="0" borderId="0"/>
    <xf numFmtId="0" fontId="106" fillId="18" borderId="34" applyNumberFormat="0" applyFont="0" applyAlignment="0" applyProtection="0"/>
    <xf numFmtId="40" fontId="107" fillId="0" borderId="0" applyFont="0" applyFill="0" applyBorder="0" applyAlignment="0" applyProtection="0"/>
    <xf numFmtId="38" fontId="107" fillId="0" borderId="0" applyFont="0" applyFill="0" applyBorder="0" applyAlignment="0" applyProtection="0"/>
    <xf numFmtId="0" fontId="108" fillId="0" borderId="0"/>
    <xf numFmtId="0" fontId="109" fillId="0" borderId="0"/>
    <xf numFmtId="0" fontId="160" fillId="0" borderId="0"/>
    <xf numFmtId="0" fontId="108" fillId="0" borderId="0"/>
    <xf numFmtId="0" fontId="108" fillId="0" borderId="0"/>
    <xf numFmtId="0" fontId="5" fillId="0" borderId="0"/>
    <xf numFmtId="0" fontId="110" fillId="0" borderId="0"/>
    <xf numFmtId="0" fontId="111" fillId="23" borderId="35" applyNumberFormat="0" applyAlignment="0" applyProtection="0"/>
    <xf numFmtId="4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4" fontId="58" fillId="0" borderId="0">
      <alignment horizontal="center" wrapText="1"/>
      <protection locked="0"/>
    </xf>
    <xf numFmtId="188" fontId="83" fillId="0" borderId="0" applyFont="0" applyFill="0" applyBorder="0" applyAlignment="0" applyProtection="0"/>
    <xf numFmtId="192" fontId="83" fillId="0" borderId="0" applyFont="0" applyFill="0" applyBorder="0" applyAlignment="0" applyProtection="0"/>
    <xf numFmtId="10" fontId="5" fillId="0" borderId="0" applyFont="0" applyFill="0" applyBorder="0" applyAlignment="0" applyProtection="0"/>
    <xf numFmtId="189" fontId="83" fillId="0" borderId="0" applyFill="0" applyBorder="0" applyAlignment="0"/>
    <xf numFmtId="186" fontId="83" fillId="0" borderId="0" applyFill="0" applyBorder="0" applyAlignment="0"/>
    <xf numFmtId="189" fontId="83" fillId="0" borderId="0" applyFill="0" applyBorder="0" applyAlignment="0"/>
    <xf numFmtId="190" fontId="83" fillId="0" borderId="0" applyFill="0" applyBorder="0" applyAlignment="0"/>
    <xf numFmtId="186" fontId="83" fillId="0" borderId="0" applyFill="0" applyBorder="0" applyAlignment="0"/>
    <xf numFmtId="4" fontId="83" fillId="0" borderId="0">
      <alignment horizontal="right"/>
    </xf>
    <xf numFmtId="0" fontId="87" fillId="0" borderId="0" applyNumberFormat="0" applyFont="0" applyFill="0" applyBorder="0" applyAlignment="0" applyProtection="0">
      <alignment horizontal="left"/>
    </xf>
    <xf numFmtId="0" fontId="112" fillId="0" borderId="36">
      <alignment horizontal="center"/>
    </xf>
    <xf numFmtId="4" fontId="113" fillId="0" borderId="0">
      <alignment horizontal="right"/>
    </xf>
    <xf numFmtId="0" fontId="114" fillId="0" borderId="0">
      <alignment horizontal="left"/>
    </xf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15" fillId="0" borderId="0"/>
    <xf numFmtId="0" fontId="116" fillId="0" borderId="0"/>
    <xf numFmtId="0" fontId="117" fillId="0" borderId="0"/>
    <xf numFmtId="0" fontId="118" fillId="0" borderId="19"/>
    <xf numFmtId="0" fontId="119" fillId="0" borderId="0"/>
    <xf numFmtId="0" fontId="89" fillId="0" borderId="0"/>
    <xf numFmtId="49" fontId="54" fillId="0" borderId="0" applyFill="0" applyBorder="0" applyAlignment="0"/>
    <xf numFmtId="197" fontId="83" fillId="0" borderId="0" applyFill="0" applyBorder="0" applyAlignment="0"/>
    <xf numFmtId="198" fontId="83" fillId="0" borderId="0" applyFill="0" applyBorder="0" applyAlignment="0"/>
    <xf numFmtId="0" fontId="120" fillId="0" borderId="0">
      <alignment horizontal="center"/>
    </xf>
    <xf numFmtId="0" fontId="5" fillId="0" borderId="38" applyNumberFormat="0" applyFont="0" applyFill="0" applyAlignment="0" applyProtection="0"/>
    <xf numFmtId="0" fontId="5" fillId="0" borderId="0"/>
    <xf numFmtId="195" fontId="5" fillId="0" borderId="0"/>
    <xf numFmtId="195" fontId="5" fillId="0" borderId="0"/>
    <xf numFmtId="0" fontId="5" fillId="0" borderId="0">
      <alignment horizontal="center" textRotation="180"/>
    </xf>
    <xf numFmtId="199" fontId="121" fillId="0" borderId="0" applyFont="0" applyFill="0" applyBorder="0" applyAlignment="0" applyProtection="0"/>
    <xf numFmtId="200" fontId="121" fillId="0" borderId="0" applyFont="0" applyFill="0" applyBorder="0" applyAlignment="0" applyProtection="0"/>
    <xf numFmtId="0" fontId="122" fillId="0" borderId="0" applyNumberFormat="0" applyFill="0" applyBorder="0" applyAlignment="0" applyProtection="0"/>
    <xf numFmtId="0" fontId="59" fillId="27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8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3" fillId="0" borderId="0">
      <alignment horizontal="left"/>
    </xf>
    <xf numFmtId="0" fontId="115" fillId="0" borderId="0"/>
    <xf numFmtId="0" fontId="123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62" fillId="33" borderId="27" applyNumberFormat="0" applyAlignment="0" applyProtection="0">
      <alignment vertical="center"/>
    </xf>
    <xf numFmtId="0" fontId="62" fillId="33" borderId="27" applyNumberFormat="0" applyAlignment="0" applyProtection="0">
      <alignment vertical="center"/>
    </xf>
    <xf numFmtId="0" fontId="62" fillId="33" borderId="27" applyNumberFormat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3" fillId="18" borderId="34" applyNumberFormat="0" applyFont="0" applyAlignment="0" applyProtection="0">
      <alignment vertical="center"/>
    </xf>
    <xf numFmtId="0" fontId="23" fillId="18" borderId="34" applyNumberFormat="0" applyFont="0" applyAlignment="0" applyProtection="0">
      <alignment vertical="center"/>
    </xf>
    <xf numFmtId="0" fontId="23" fillId="18" borderId="34" applyNumberFormat="0" applyFont="0" applyAlignment="0" applyProtection="0">
      <alignment vertical="center"/>
    </xf>
    <xf numFmtId="0" fontId="69" fillId="0" borderId="33" applyNumberFormat="0" applyFill="0" applyAlignment="0" applyProtection="0">
      <alignment vertical="center"/>
    </xf>
    <xf numFmtId="0" fontId="69" fillId="0" borderId="33" applyNumberFormat="0" applyFill="0" applyAlignment="0" applyProtection="0">
      <alignment vertical="center"/>
    </xf>
    <xf numFmtId="0" fontId="69" fillId="0" borderId="33" applyNumberFormat="0" applyFill="0" applyAlignment="0" applyProtection="0">
      <alignment vertical="center"/>
    </xf>
    <xf numFmtId="0" fontId="124" fillId="0" borderId="0"/>
    <xf numFmtId="0" fontId="33" fillId="29" borderId="0" applyNumberFormat="0" applyBorder="0" applyAlignment="0" applyProtection="0">
      <alignment vertical="center"/>
    </xf>
    <xf numFmtId="0" fontId="140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140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140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140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140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140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140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140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140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140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140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140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140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140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140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140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140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140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140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140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140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140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140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140" fillId="31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40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40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40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40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40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40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40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40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40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40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40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40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40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40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40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40" fillId="27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40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40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40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40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40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40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40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40" fillId="3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35" fillId="23" borderId="26" applyNumberFormat="0" applyAlignment="0" applyProtection="0">
      <alignment vertical="center"/>
    </xf>
    <xf numFmtId="0" fontId="142" fillId="23" borderId="26" applyNumberFormat="0" applyAlignment="0" applyProtection="0">
      <alignment vertical="center"/>
    </xf>
    <xf numFmtId="0" fontId="35" fillId="23" borderId="26" applyNumberFormat="0" applyAlignment="0" applyProtection="0">
      <alignment vertical="center"/>
    </xf>
    <xf numFmtId="0" fontId="142" fillId="23" borderId="26" applyNumberFormat="0" applyAlignment="0" applyProtection="0">
      <alignment vertical="center"/>
    </xf>
    <xf numFmtId="0" fontId="35" fillId="23" borderId="26" applyNumberFormat="0" applyAlignment="0" applyProtection="0">
      <alignment vertical="center"/>
    </xf>
    <xf numFmtId="0" fontId="142" fillId="23" borderId="26" applyNumberFormat="0" applyAlignment="0" applyProtection="0">
      <alignment vertical="center"/>
    </xf>
    <xf numFmtId="0" fontId="35" fillId="23" borderId="26" applyNumberFormat="0" applyAlignment="0" applyProtection="0">
      <alignment vertical="center"/>
    </xf>
    <xf numFmtId="0" fontId="142" fillId="23" borderId="26" applyNumberFormat="0" applyAlignment="0" applyProtection="0">
      <alignment vertical="center"/>
    </xf>
    <xf numFmtId="0" fontId="35" fillId="23" borderId="26" applyNumberFormat="0" applyAlignment="0" applyProtection="0">
      <alignment vertical="center"/>
    </xf>
    <xf numFmtId="0" fontId="142" fillId="23" borderId="26" applyNumberFormat="0" applyAlignment="0" applyProtection="0">
      <alignment vertical="center"/>
    </xf>
    <xf numFmtId="0" fontId="35" fillId="23" borderId="26" applyNumberFormat="0" applyAlignment="0" applyProtection="0">
      <alignment vertical="center"/>
    </xf>
    <xf numFmtId="0" fontId="142" fillId="23" borderId="26" applyNumberFormat="0" applyAlignment="0" applyProtection="0">
      <alignment vertical="center"/>
    </xf>
    <xf numFmtId="0" fontId="35" fillId="23" borderId="26" applyNumberFormat="0" applyAlignment="0" applyProtection="0">
      <alignment vertical="center"/>
    </xf>
    <xf numFmtId="0" fontId="142" fillId="23" borderId="26" applyNumberFormat="0" applyAlignment="0" applyProtection="0">
      <alignment vertical="center"/>
    </xf>
    <xf numFmtId="0" fontId="35" fillId="23" borderId="26" applyNumberFormat="0" applyAlignment="0" applyProtection="0">
      <alignment vertical="center"/>
    </xf>
    <xf numFmtId="0" fontId="142" fillId="23" borderId="26" applyNumberForma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143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143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143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143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143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143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143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143" fillId="12" borderId="0" applyNumberFormat="0" applyBorder="0" applyAlignment="0" applyProtection="0">
      <alignment vertical="center"/>
    </xf>
    <xf numFmtId="40" fontId="133" fillId="0" borderId="0" applyFont="0" applyFill="0" applyBorder="0" applyAlignment="0" applyProtection="0"/>
    <xf numFmtId="38" fontId="133" fillId="0" borderId="0" applyFont="0" applyFill="0" applyBorder="0" applyAlignment="0" applyProtection="0"/>
    <xf numFmtId="0" fontId="31" fillId="18" borderId="34" applyNumberFormat="0" applyFont="0" applyAlignment="0" applyProtection="0">
      <alignment vertical="center"/>
    </xf>
    <xf numFmtId="0" fontId="31" fillId="18" borderId="34" applyNumberFormat="0" applyFont="0" applyAlignment="0" applyProtection="0">
      <alignment vertical="center"/>
    </xf>
    <xf numFmtId="0" fontId="31" fillId="18" borderId="34" applyNumberFormat="0" applyFont="0" applyAlignment="0" applyProtection="0">
      <alignment vertical="center"/>
    </xf>
    <xf numFmtId="0" fontId="31" fillId="18" borderId="34" applyNumberFormat="0" applyFont="0" applyAlignment="0" applyProtection="0">
      <alignment vertical="center"/>
    </xf>
    <xf numFmtId="0" fontId="31" fillId="18" borderId="34" applyNumberFormat="0" applyFont="0" applyAlignment="0" applyProtection="0">
      <alignment vertical="center"/>
    </xf>
    <xf numFmtId="0" fontId="31" fillId="18" borderId="34" applyNumberFormat="0" applyFont="0" applyAlignment="0" applyProtection="0">
      <alignment vertical="center"/>
    </xf>
    <xf numFmtId="0" fontId="31" fillId="18" borderId="34" applyNumberFormat="0" applyFont="0" applyAlignment="0" applyProtection="0">
      <alignment vertical="center"/>
    </xf>
    <xf numFmtId="0" fontId="31" fillId="18" borderId="34" applyNumberFormat="0" applyFont="0" applyAlignment="0" applyProtection="0">
      <alignment vertical="center"/>
    </xf>
    <xf numFmtId="0" fontId="133" fillId="0" borderId="0" applyFont="0" applyFill="0" applyBorder="0" applyAlignment="0" applyProtection="0"/>
    <xf numFmtId="0" fontId="133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37" fillId="24" borderId="0" applyNumberFormat="0" applyBorder="0" applyAlignment="0" applyProtection="0">
      <alignment vertical="center"/>
    </xf>
    <xf numFmtId="0" fontId="144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144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144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144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144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144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144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144" fillId="24" borderId="0" applyNumberFormat="0" applyBorder="0" applyAlignment="0" applyProtection="0">
      <alignment vertical="center"/>
    </xf>
    <xf numFmtId="0" fontId="136" fillId="0" borderId="0"/>
    <xf numFmtId="0" fontId="38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0" fontId="39" fillId="33" borderId="27" applyNumberFormat="0" applyAlignment="0" applyProtection="0">
      <alignment vertical="center"/>
    </xf>
    <xf numFmtId="0" fontId="146" fillId="33" borderId="27" applyNumberFormat="0" applyAlignment="0" applyProtection="0">
      <alignment vertical="center"/>
    </xf>
    <xf numFmtId="0" fontId="39" fillId="33" borderId="27" applyNumberFormat="0" applyAlignment="0" applyProtection="0">
      <alignment vertical="center"/>
    </xf>
    <xf numFmtId="0" fontId="146" fillId="33" borderId="27" applyNumberFormat="0" applyAlignment="0" applyProtection="0">
      <alignment vertical="center"/>
    </xf>
    <xf numFmtId="0" fontId="39" fillId="33" borderId="27" applyNumberFormat="0" applyAlignment="0" applyProtection="0">
      <alignment vertical="center"/>
    </xf>
    <xf numFmtId="0" fontId="146" fillId="33" borderId="27" applyNumberFormat="0" applyAlignment="0" applyProtection="0">
      <alignment vertical="center"/>
    </xf>
    <xf numFmtId="0" fontId="39" fillId="33" borderId="27" applyNumberFormat="0" applyAlignment="0" applyProtection="0">
      <alignment vertical="center"/>
    </xf>
    <xf numFmtId="0" fontId="146" fillId="33" borderId="27" applyNumberFormat="0" applyAlignment="0" applyProtection="0">
      <alignment vertical="center"/>
    </xf>
    <xf numFmtId="0" fontId="39" fillId="33" borderId="27" applyNumberFormat="0" applyAlignment="0" applyProtection="0">
      <alignment vertical="center"/>
    </xf>
    <xf numFmtId="0" fontId="146" fillId="33" borderId="27" applyNumberFormat="0" applyAlignment="0" applyProtection="0">
      <alignment vertical="center"/>
    </xf>
    <xf numFmtId="0" fontId="39" fillId="33" borderId="27" applyNumberFormat="0" applyAlignment="0" applyProtection="0">
      <alignment vertical="center"/>
    </xf>
    <xf numFmtId="0" fontId="146" fillId="33" borderId="27" applyNumberFormat="0" applyAlignment="0" applyProtection="0">
      <alignment vertical="center"/>
    </xf>
    <xf numFmtId="0" fontId="39" fillId="33" borderId="27" applyNumberFormat="0" applyAlignment="0" applyProtection="0">
      <alignment vertical="center"/>
    </xf>
    <xf numFmtId="0" fontId="146" fillId="33" borderId="27" applyNumberFormat="0" applyAlignment="0" applyProtection="0">
      <alignment vertical="center"/>
    </xf>
    <xf numFmtId="0" fontId="39" fillId="33" borderId="27" applyNumberFormat="0" applyAlignment="0" applyProtection="0">
      <alignment vertical="center"/>
    </xf>
    <xf numFmtId="0" fontId="146" fillId="33" borderId="27" applyNumberFormat="0" applyAlignment="0" applyProtection="0">
      <alignment vertical="center"/>
    </xf>
    <xf numFmtId="176" fontId="53" fillId="0" borderId="0" applyFont="0" applyFill="0" applyBorder="0" applyAlignment="0" applyProtection="0">
      <alignment vertical="center"/>
    </xf>
    <xf numFmtId="176" fontId="147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139" fillId="0" borderId="0" applyFont="0" applyFill="0" applyBorder="0" applyAlignment="0" applyProtection="0">
      <alignment vertical="center"/>
    </xf>
    <xf numFmtId="0" fontId="40" fillId="0" borderId="33" applyNumberFormat="0" applyFill="0" applyAlignment="0" applyProtection="0">
      <alignment vertical="center"/>
    </xf>
    <xf numFmtId="0" fontId="148" fillId="0" borderId="33" applyNumberFormat="0" applyFill="0" applyAlignment="0" applyProtection="0">
      <alignment vertical="center"/>
    </xf>
    <xf numFmtId="0" fontId="40" fillId="0" borderId="33" applyNumberFormat="0" applyFill="0" applyAlignment="0" applyProtection="0">
      <alignment vertical="center"/>
    </xf>
    <xf numFmtId="0" fontId="148" fillId="0" borderId="33" applyNumberFormat="0" applyFill="0" applyAlignment="0" applyProtection="0">
      <alignment vertical="center"/>
    </xf>
    <xf numFmtId="0" fontId="40" fillId="0" borderId="33" applyNumberFormat="0" applyFill="0" applyAlignment="0" applyProtection="0">
      <alignment vertical="center"/>
    </xf>
    <xf numFmtId="0" fontId="148" fillId="0" borderId="33" applyNumberFormat="0" applyFill="0" applyAlignment="0" applyProtection="0">
      <alignment vertical="center"/>
    </xf>
    <xf numFmtId="0" fontId="40" fillId="0" borderId="33" applyNumberFormat="0" applyFill="0" applyAlignment="0" applyProtection="0">
      <alignment vertical="center"/>
    </xf>
    <xf numFmtId="0" fontId="148" fillId="0" borderId="33" applyNumberFormat="0" applyFill="0" applyAlignment="0" applyProtection="0">
      <alignment vertical="center"/>
    </xf>
    <xf numFmtId="0" fontId="40" fillId="0" borderId="33" applyNumberFormat="0" applyFill="0" applyAlignment="0" applyProtection="0">
      <alignment vertical="center"/>
    </xf>
    <xf numFmtId="0" fontId="148" fillId="0" borderId="33" applyNumberFormat="0" applyFill="0" applyAlignment="0" applyProtection="0">
      <alignment vertical="center"/>
    </xf>
    <xf numFmtId="0" fontId="40" fillId="0" borderId="33" applyNumberFormat="0" applyFill="0" applyAlignment="0" applyProtection="0">
      <alignment vertical="center"/>
    </xf>
    <xf numFmtId="0" fontId="148" fillId="0" borderId="33" applyNumberFormat="0" applyFill="0" applyAlignment="0" applyProtection="0">
      <alignment vertical="center"/>
    </xf>
    <xf numFmtId="0" fontId="40" fillId="0" borderId="33" applyNumberFormat="0" applyFill="0" applyAlignment="0" applyProtection="0">
      <alignment vertical="center"/>
    </xf>
    <xf numFmtId="0" fontId="148" fillId="0" borderId="33" applyNumberFormat="0" applyFill="0" applyAlignment="0" applyProtection="0">
      <alignment vertical="center"/>
    </xf>
    <xf numFmtId="0" fontId="40" fillId="0" borderId="33" applyNumberFormat="0" applyFill="0" applyAlignment="0" applyProtection="0">
      <alignment vertical="center"/>
    </xf>
    <xf numFmtId="0" fontId="148" fillId="0" borderId="33" applyNumberFormat="0" applyFill="0" applyAlignment="0" applyProtection="0">
      <alignment vertical="center"/>
    </xf>
    <xf numFmtId="0" fontId="41" fillId="0" borderId="37" applyNumberFormat="0" applyFill="0" applyAlignment="0" applyProtection="0">
      <alignment vertical="center"/>
    </xf>
    <xf numFmtId="0" fontId="149" fillId="0" borderId="37" applyNumberFormat="0" applyFill="0" applyAlignment="0" applyProtection="0">
      <alignment vertical="center"/>
    </xf>
    <xf numFmtId="0" fontId="41" fillId="0" borderId="37" applyNumberFormat="0" applyFill="0" applyAlignment="0" applyProtection="0">
      <alignment vertical="center"/>
    </xf>
    <xf numFmtId="0" fontId="149" fillId="0" borderId="37" applyNumberFormat="0" applyFill="0" applyAlignment="0" applyProtection="0">
      <alignment vertical="center"/>
    </xf>
    <xf numFmtId="0" fontId="41" fillId="0" borderId="37" applyNumberFormat="0" applyFill="0" applyAlignment="0" applyProtection="0">
      <alignment vertical="center"/>
    </xf>
    <xf numFmtId="0" fontId="149" fillId="0" borderId="37" applyNumberFormat="0" applyFill="0" applyAlignment="0" applyProtection="0">
      <alignment vertical="center"/>
    </xf>
    <xf numFmtId="0" fontId="41" fillId="0" borderId="37" applyNumberFormat="0" applyFill="0" applyAlignment="0" applyProtection="0">
      <alignment vertical="center"/>
    </xf>
    <xf numFmtId="0" fontId="149" fillId="0" borderId="37" applyNumberFormat="0" applyFill="0" applyAlignment="0" applyProtection="0">
      <alignment vertical="center"/>
    </xf>
    <xf numFmtId="0" fontId="41" fillId="0" borderId="37" applyNumberFormat="0" applyFill="0" applyAlignment="0" applyProtection="0">
      <alignment vertical="center"/>
    </xf>
    <xf numFmtId="0" fontId="149" fillId="0" borderId="37" applyNumberFormat="0" applyFill="0" applyAlignment="0" applyProtection="0">
      <alignment vertical="center"/>
    </xf>
    <xf numFmtId="0" fontId="41" fillId="0" borderId="37" applyNumberFormat="0" applyFill="0" applyAlignment="0" applyProtection="0">
      <alignment vertical="center"/>
    </xf>
    <xf numFmtId="0" fontId="149" fillId="0" borderId="37" applyNumberFormat="0" applyFill="0" applyAlignment="0" applyProtection="0">
      <alignment vertical="center"/>
    </xf>
    <xf numFmtId="0" fontId="41" fillId="0" borderId="37" applyNumberFormat="0" applyFill="0" applyAlignment="0" applyProtection="0">
      <alignment vertical="center"/>
    </xf>
    <xf numFmtId="0" fontId="149" fillId="0" borderId="37" applyNumberFormat="0" applyFill="0" applyAlignment="0" applyProtection="0">
      <alignment vertical="center"/>
    </xf>
    <xf numFmtId="0" fontId="41" fillId="0" borderId="37" applyNumberFormat="0" applyFill="0" applyAlignment="0" applyProtection="0">
      <alignment vertical="center"/>
    </xf>
    <xf numFmtId="0" fontId="149" fillId="0" borderId="37" applyNumberFormat="0" applyFill="0" applyAlignment="0" applyProtection="0">
      <alignment vertical="center"/>
    </xf>
    <xf numFmtId="0" fontId="42" fillId="16" borderId="26" applyNumberFormat="0" applyAlignment="0" applyProtection="0">
      <alignment vertical="center"/>
    </xf>
    <xf numFmtId="0" fontId="150" fillId="16" borderId="26" applyNumberFormat="0" applyAlignment="0" applyProtection="0">
      <alignment vertical="center"/>
    </xf>
    <xf numFmtId="0" fontId="42" fillId="16" borderId="26" applyNumberFormat="0" applyAlignment="0" applyProtection="0">
      <alignment vertical="center"/>
    </xf>
    <xf numFmtId="0" fontId="150" fillId="16" borderId="26" applyNumberFormat="0" applyAlignment="0" applyProtection="0">
      <alignment vertical="center"/>
    </xf>
    <xf numFmtId="0" fontId="42" fillId="16" borderId="26" applyNumberFormat="0" applyAlignment="0" applyProtection="0">
      <alignment vertical="center"/>
    </xf>
    <xf numFmtId="0" fontId="150" fillId="16" borderId="26" applyNumberFormat="0" applyAlignment="0" applyProtection="0">
      <alignment vertical="center"/>
    </xf>
    <xf numFmtId="0" fontId="42" fillId="16" borderId="26" applyNumberFormat="0" applyAlignment="0" applyProtection="0">
      <alignment vertical="center"/>
    </xf>
    <xf numFmtId="0" fontId="150" fillId="16" borderId="26" applyNumberFormat="0" applyAlignment="0" applyProtection="0">
      <alignment vertical="center"/>
    </xf>
    <xf numFmtId="0" fontId="42" fillId="16" borderId="26" applyNumberFormat="0" applyAlignment="0" applyProtection="0">
      <alignment vertical="center"/>
    </xf>
    <xf numFmtId="0" fontId="150" fillId="16" borderId="26" applyNumberFormat="0" applyAlignment="0" applyProtection="0">
      <alignment vertical="center"/>
    </xf>
    <xf numFmtId="0" fontId="42" fillId="16" borderId="26" applyNumberFormat="0" applyAlignment="0" applyProtection="0">
      <alignment vertical="center"/>
    </xf>
    <xf numFmtId="0" fontId="150" fillId="16" borderId="26" applyNumberFormat="0" applyAlignment="0" applyProtection="0">
      <alignment vertical="center"/>
    </xf>
    <xf numFmtId="0" fontId="42" fillId="16" borderId="26" applyNumberFormat="0" applyAlignment="0" applyProtection="0">
      <alignment vertical="center"/>
    </xf>
    <xf numFmtId="0" fontId="150" fillId="16" borderId="26" applyNumberFormat="0" applyAlignment="0" applyProtection="0">
      <alignment vertical="center"/>
    </xf>
    <xf numFmtId="0" fontId="42" fillId="16" borderId="26" applyNumberFormat="0" applyAlignment="0" applyProtection="0">
      <alignment vertical="center"/>
    </xf>
    <xf numFmtId="0" fontId="150" fillId="16" borderId="26" applyNumberFormat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151" fillId="0" borderId="30" applyNumberFormat="0" applyFill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151" fillId="0" borderId="30" applyNumberFormat="0" applyFill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151" fillId="0" borderId="30" applyNumberFormat="0" applyFill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151" fillId="0" borderId="30" applyNumberFormat="0" applyFill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151" fillId="0" borderId="30" applyNumberFormat="0" applyFill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151" fillId="0" borderId="30" applyNumberFormat="0" applyFill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151" fillId="0" borderId="30" applyNumberFormat="0" applyFill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151" fillId="0" borderId="30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45" fillId="0" borderId="31" applyNumberFormat="0" applyFill="0" applyAlignment="0" applyProtection="0">
      <alignment vertical="center"/>
    </xf>
    <xf numFmtId="0" fontId="153" fillId="0" borderId="31" applyNumberFormat="0" applyFill="0" applyAlignment="0" applyProtection="0">
      <alignment vertical="center"/>
    </xf>
    <xf numFmtId="0" fontId="45" fillId="0" borderId="31" applyNumberFormat="0" applyFill="0" applyAlignment="0" applyProtection="0">
      <alignment vertical="center"/>
    </xf>
    <xf numFmtId="0" fontId="153" fillId="0" borderId="31" applyNumberFormat="0" applyFill="0" applyAlignment="0" applyProtection="0">
      <alignment vertical="center"/>
    </xf>
    <xf numFmtId="0" fontId="45" fillId="0" borderId="31" applyNumberFormat="0" applyFill="0" applyAlignment="0" applyProtection="0">
      <alignment vertical="center"/>
    </xf>
    <xf numFmtId="0" fontId="153" fillId="0" borderId="31" applyNumberFormat="0" applyFill="0" applyAlignment="0" applyProtection="0">
      <alignment vertical="center"/>
    </xf>
    <xf numFmtId="0" fontId="45" fillId="0" borderId="31" applyNumberFormat="0" applyFill="0" applyAlignment="0" applyProtection="0">
      <alignment vertical="center"/>
    </xf>
    <xf numFmtId="0" fontId="153" fillId="0" borderId="31" applyNumberFormat="0" applyFill="0" applyAlignment="0" applyProtection="0">
      <alignment vertical="center"/>
    </xf>
    <xf numFmtId="0" fontId="45" fillId="0" borderId="31" applyNumberFormat="0" applyFill="0" applyAlignment="0" applyProtection="0">
      <alignment vertical="center"/>
    </xf>
    <xf numFmtId="0" fontId="153" fillId="0" borderId="31" applyNumberFormat="0" applyFill="0" applyAlignment="0" applyProtection="0">
      <alignment vertical="center"/>
    </xf>
    <xf numFmtId="0" fontId="45" fillId="0" borderId="31" applyNumberFormat="0" applyFill="0" applyAlignment="0" applyProtection="0">
      <alignment vertical="center"/>
    </xf>
    <xf numFmtId="0" fontId="153" fillId="0" borderId="31" applyNumberFormat="0" applyFill="0" applyAlignment="0" applyProtection="0">
      <alignment vertical="center"/>
    </xf>
    <xf numFmtId="0" fontId="45" fillId="0" borderId="31" applyNumberFormat="0" applyFill="0" applyAlignment="0" applyProtection="0">
      <alignment vertical="center"/>
    </xf>
    <xf numFmtId="0" fontId="153" fillId="0" borderId="31" applyNumberFormat="0" applyFill="0" applyAlignment="0" applyProtection="0">
      <alignment vertical="center"/>
    </xf>
    <xf numFmtId="0" fontId="45" fillId="0" borderId="31" applyNumberFormat="0" applyFill="0" applyAlignment="0" applyProtection="0">
      <alignment vertical="center"/>
    </xf>
    <xf numFmtId="0" fontId="153" fillId="0" borderId="31" applyNumberFormat="0" applyFill="0" applyAlignment="0" applyProtection="0">
      <alignment vertical="center"/>
    </xf>
    <xf numFmtId="0" fontId="46" fillId="0" borderId="32" applyNumberFormat="0" applyFill="0" applyAlignment="0" applyProtection="0">
      <alignment vertical="center"/>
    </xf>
    <xf numFmtId="0" fontId="154" fillId="0" borderId="32" applyNumberFormat="0" applyFill="0" applyAlignment="0" applyProtection="0">
      <alignment vertical="center"/>
    </xf>
    <xf numFmtId="0" fontId="46" fillId="0" borderId="32" applyNumberFormat="0" applyFill="0" applyAlignment="0" applyProtection="0">
      <alignment vertical="center"/>
    </xf>
    <xf numFmtId="0" fontId="154" fillId="0" borderId="32" applyNumberFormat="0" applyFill="0" applyAlignment="0" applyProtection="0">
      <alignment vertical="center"/>
    </xf>
    <xf numFmtId="0" fontId="46" fillId="0" borderId="32" applyNumberFormat="0" applyFill="0" applyAlignment="0" applyProtection="0">
      <alignment vertical="center"/>
    </xf>
    <xf numFmtId="0" fontId="154" fillId="0" borderId="32" applyNumberFormat="0" applyFill="0" applyAlignment="0" applyProtection="0">
      <alignment vertical="center"/>
    </xf>
    <xf numFmtId="0" fontId="46" fillId="0" borderId="32" applyNumberFormat="0" applyFill="0" applyAlignment="0" applyProtection="0">
      <alignment vertical="center"/>
    </xf>
    <xf numFmtId="0" fontId="154" fillId="0" borderId="32" applyNumberFormat="0" applyFill="0" applyAlignment="0" applyProtection="0">
      <alignment vertical="center"/>
    </xf>
    <xf numFmtId="0" fontId="46" fillId="0" borderId="32" applyNumberFormat="0" applyFill="0" applyAlignment="0" applyProtection="0">
      <alignment vertical="center"/>
    </xf>
    <xf numFmtId="0" fontId="154" fillId="0" borderId="32" applyNumberFormat="0" applyFill="0" applyAlignment="0" applyProtection="0">
      <alignment vertical="center"/>
    </xf>
    <xf numFmtId="0" fontId="46" fillId="0" borderId="32" applyNumberFormat="0" applyFill="0" applyAlignment="0" applyProtection="0">
      <alignment vertical="center"/>
    </xf>
    <xf numFmtId="0" fontId="154" fillId="0" borderId="32" applyNumberFormat="0" applyFill="0" applyAlignment="0" applyProtection="0">
      <alignment vertical="center"/>
    </xf>
    <xf numFmtId="0" fontId="46" fillId="0" borderId="32" applyNumberFormat="0" applyFill="0" applyAlignment="0" applyProtection="0">
      <alignment vertical="center"/>
    </xf>
    <xf numFmtId="0" fontId="154" fillId="0" borderId="32" applyNumberFormat="0" applyFill="0" applyAlignment="0" applyProtection="0">
      <alignment vertical="center"/>
    </xf>
    <xf numFmtId="0" fontId="46" fillId="0" borderId="32" applyNumberFormat="0" applyFill="0" applyAlignment="0" applyProtection="0">
      <alignment vertical="center"/>
    </xf>
    <xf numFmtId="0" fontId="154" fillId="0" borderId="32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55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55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55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55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55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55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55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55" fillId="13" borderId="0" applyNumberFormat="0" applyBorder="0" applyAlignment="0" applyProtection="0">
      <alignment vertical="center"/>
    </xf>
    <xf numFmtId="0" fontId="48" fillId="23" borderId="35" applyNumberFormat="0" applyAlignment="0" applyProtection="0">
      <alignment vertical="center"/>
    </xf>
    <xf numFmtId="0" fontId="156" fillId="23" borderId="35" applyNumberFormat="0" applyAlignment="0" applyProtection="0">
      <alignment vertical="center"/>
    </xf>
    <xf numFmtId="0" fontId="48" fillId="23" borderId="35" applyNumberFormat="0" applyAlignment="0" applyProtection="0">
      <alignment vertical="center"/>
    </xf>
    <xf numFmtId="0" fontId="156" fillId="23" borderId="35" applyNumberFormat="0" applyAlignment="0" applyProtection="0">
      <alignment vertical="center"/>
    </xf>
    <xf numFmtId="0" fontId="48" fillId="23" borderId="35" applyNumberFormat="0" applyAlignment="0" applyProtection="0">
      <alignment vertical="center"/>
    </xf>
    <xf numFmtId="0" fontId="156" fillId="23" borderId="35" applyNumberFormat="0" applyAlignment="0" applyProtection="0">
      <alignment vertical="center"/>
    </xf>
    <xf numFmtId="0" fontId="48" fillId="23" borderId="35" applyNumberFormat="0" applyAlignment="0" applyProtection="0">
      <alignment vertical="center"/>
    </xf>
    <xf numFmtId="0" fontId="156" fillId="23" borderId="35" applyNumberFormat="0" applyAlignment="0" applyProtection="0">
      <alignment vertical="center"/>
    </xf>
    <xf numFmtId="0" fontId="48" fillId="23" borderId="35" applyNumberFormat="0" applyAlignment="0" applyProtection="0">
      <alignment vertical="center"/>
    </xf>
    <xf numFmtId="0" fontId="156" fillId="23" borderId="35" applyNumberFormat="0" applyAlignment="0" applyProtection="0">
      <alignment vertical="center"/>
    </xf>
    <xf numFmtId="0" fontId="48" fillId="23" borderId="35" applyNumberFormat="0" applyAlignment="0" applyProtection="0">
      <alignment vertical="center"/>
    </xf>
    <xf numFmtId="0" fontId="156" fillId="23" borderId="35" applyNumberFormat="0" applyAlignment="0" applyProtection="0">
      <alignment vertical="center"/>
    </xf>
    <xf numFmtId="0" fontId="48" fillId="23" borderId="35" applyNumberFormat="0" applyAlignment="0" applyProtection="0">
      <alignment vertical="center"/>
    </xf>
    <xf numFmtId="0" fontId="156" fillId="23" borderId="35" applyNumberFormat="0" applyAlignment="0" applyProtection="0">
      <alignment vertical="center"/>
    </xf>
    <xf numFmtId="0" fontId="48" fillId="23" borderId="35" applyNumberFormat="0" applyAlignment="0" applyProtection="0">
      <alignment vertical="center"/>
    </xf>
    <xf numFmtId="0" fontId="156" fillId="23" borderId="35" applyNumberFormat="0" applyAlignment="0" applyProtection="0">
      <alignment vertical="center"/>
    </xf>
    <xf numFmtId="182" fontId="86" fillId="0" borderId="0" applyFont="0" applyFill="0" applyBorder="0" applyAlignment="0" applyProtection="0"/>
    <xf numFmtId="183" fontId="86" fillId="0" borderId="0" applyFont="0" applyFill="0" applyBorder="0" applyAlignment="0" applyProtection="0"/>
    <xf numFmtId="178" fontId="137" fillId="0" borderId="0" applyFont="0" applyFill="0" applyBorder="0" applyAlignment="0" applyProtection="0"/>
    <xf numFmtId="177" fontId="137" fillId="0" borderId="0" applyFont="0" applyFill="0" applyBorder="0" applyAlignment="0" applyProtection="0"/>
    <xf numFmtId="0" fontId="169" fillId="0" borderId="0">
      <alignment vertical="center"/>
    </xf>
    <xf numFmtId="179" fontId="50" fillId="0" borderId="0">
      <alignment vertical="center"/>
    </xf>
    <xf numFmtId="0" fontId="170" fillId="0" borderId="0">
      <alignment vertical="center"/>
    </xf>
    <xf numFmtId="0" fontId="31" fillId="0" borderId="0">
      <alignment vertical="center"/>
    </xf>
    <xf numFmtId="0" fontId="51" fillId="0" borderId="0"/>
    <xf numFmtId="0" fontId="157" fillId="0" borderId="0">
      <alignment vertical="center"/>
    </xf>
    <xf numFmtId="0" fontId="31" fillId="0" borderId="0">
      <alignment vertical="center"/>
    </xf>
    <xf numFmtId="0" fontId="161" fillId="0" borderId="0">
      <alignment vertical="center"/>
    </xf>
    <xf numFmtId="0" fontId="157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8" fillId="0" borderId="0"/>
    <xf numFmtId="0" fontId="3" fillId="0" borderId="0"/>
    <xf numFmtId="0" fontId="68" fillId="16" borderId="26" applyNumberFormat="0" applyAlignment="0" applyProtection="0">
      <alignment vertical="center"/>
    </xf>
    <xf numFmtId="0" fontId="68" fillId="16" borderId="26" applyNumberFormat="0" applyAlignment="0" applyProtection="0">
      <alignment vertical="center"/>
    </xf>
    <xf numFmtId="0" fontId="68" fillId="16" borderId="26" applyNumberFormat="0" applyAlignment="0" applyProtection="0">
      <alignment vertical="center"/>
    </xf>
    <xf numFmtId="0" fontId="71" fillId="17" borderId="35" applyNumberFormat="0" applyAlignment="0" applyProtection="0">
      <alignment vertical="center"/>
    </xf>
    <xf numFmtId="0" fontId="71" fillId="23" borderId="35" applyNumberFormat="0" applyAlignment="0" applyProtection="0">
      <alignment vertical="center"/>
    </xf>
    <xf numFmtId="0" fontId="71" fillId="23" borderId="35" applyNumberFormat="0" applyAlignment="0" applyProtection="0">
      <alignment vertical="center"/>
    </xf>
    <xf numFmtId="0" fontId="132" fillId="0" borderId="0"/>
    <xf numFmtId="0" fontId="5" fillId="0" borderId="0"/>
    <xf numFmtId="0" fontId="125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37" fontId="131" fillId="0" borderId="21" applyBorder="0"/>
    <xf numFmtId="1" fontId="56" fillId="0" borderId="0"/>
    <xf numFmtId="38" fontId="109" fillId="0" borderId="0" applyFont="0" applyFill="0" applyBorder="0" applyAlignment="0" applyProtection="0"/>
    <xf numFmtId="38" fontId="160" fillId="0" borderId="0" applyFont="0" applyFill="0" applyBorder="0" applyAlignment="0" applyProtection="0"/>
    <xf numFmtId="38" fontId="109" fillId="0" borderId="0" applyFont="0" applyFill="0" applyBorder="0" applyAlignment="0" applyProtection="0"/>
    <xf numFmtId="38" fontId="160" fillId="0" borderId="0" applyFont="0" applyFill="0" applyBorder="0" applyAlignment="0" applyProtection="0"/>
    <xf numFmtId="38" fontId="109" fillId="0" borderId="0" applyFont="0" applyFill="0" applyBorder="0" applyAlignment="0" applyProtection="0"/>
    <xf numFmtId="38" fontId="160" fillId="0" borderId="0" applyFont="0" applyFill="0" applyBorder="0" applyAlignment="0" applyProtection="0"/>
    <xf numFmtId="38" fontId="109" fillId="0" borderId="0" applyFont="0" applyFill="0" applyBorder="0" applyAlignment="0" applyProtection="0"/>
    <xf numFmtId="38" fontId="160" fillId="0" borderId="0" applyFont="0" applyFill="0" applyBorder="0" applyAlignment="0" applyProtection="0"/>
    <xf numFmtId="38" fontId="109" fillId="0" borderId="0" applyFont="0" applyFill="0" applyBorder="0" applyAlignment="0" applyProtection="0"/>
    <xf numFmtId="38" fontId="160" fillId="0" borderId="0" applyFont="0" applyFill="0" applyBorder="0" applyAlignment="0" applyProtection="0"/>
    <xf numFmtId="38" fontId="109" fillId="0" borderId="0" applyFont="0" applyFill="0" applyBorder="0" applyAlignment="0" applyProtection="0"/>
    <xf numFmtId="38" fontId="160" fillId="0" borderId="0" applyFont="0" applyFill="0" applyBorder="0" applyAlignment="0" applyProtection="0"/>
    <xf numFmtId="38" fontId="109" fillId="0" borderId="0" applyFont="0" applyFill="0" applyBorder="0" applyAlignment="0" applyProtection="0"/>
    <xf numFmtId="38" fontId="160" fillId="0" borderId="0" applyFont="0" applyFill="0" applyBorder="0" applyAlignment="0" applyProtection="0"/>
    <xf numFmtId="38" fontId="109" fillId="0" borderId="0" applyFont="0" applyFill="0" applyBorder="0" applyAlignment="0" applyProtection="0"/>
    <xf numFmtId="38" fontId="160" fillId="0" borderId="0" applyFont="0" applyFill="0" applyBorder="0" applyAlignment="0" applyProtection="0"/>
    <xf numFmtId="38" fontId="109" fillId="0" borderId="0" applyFont="0" applyFill="0" applyBorder="0" applyAlignment="0" applyProtection="0"/>
    <xf numFmtId="38" fontId="160" fillId="0" borderId="0" applyFont="0" applyFill="0" applyBorder="0" applyAlignment="0" applyProtection="0"/>
    <xf numFmtId="38" fontId="109" fillId="0" borderId="0" applyFont="0" applyFill="0" applyBorder="0" applyAlignment="0" applyProtection="0"/>
    <xf numFmtId="38" fontId="160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2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38" fontId="109" fillId="0" borderId="0" applyFont="0" applyFill="0" applyBorder="0" applyAlignment="0" applyProtection="0"/>
    <xf numFmtId="38" fontId="160" fillId="0" borderId="0" applyFont="0" applyFill="0" applyBorder="0" applyAlignment="0" applyProtection="0"/>
    <xf numFmtId="38" fontId="109" fillId="0" borderId="0" applyFont="0" applyFill="0" applyBorder="0" applyAlignment="0" applyProtection="0"/>
    <xf numFmtId="38" fontId="160" fillId="0" borderId="0" applyFont="0" applyFill="0" applyBorder="0" applyAlignment="0" applyProtection="0"/>
    <xf numFmtId="38" fontId="109" fillId="0" borderId="0" applyFont="0" applyFill="0" applyBorder="0" applyAlignment="0" applyProtection="0"/>
    <xf numFmtId="38" fontId="160" fillId="0" borderId="0" applyFont="0" applyFill="0" applyBorder="0" applyAlignment="0" applyProtection="0"/>
    <xf numFmtId="38" fontId="109" fillId="0" borderId="0" applyFont="0" applyFill="0" applyBorder="0" applyAlignment="0" applyProtection="0"/>
    <xf numFmtId="38" fontId="160" fillId="0" borderId="0" applyFont="0" applyFill="0" applyBorder="0" applyAlignment="0" applyProtection="0"/>
    <xf numFmtId="38" fontId="109" fillId="0" borderId="0" applyFont="0" applyFill="0" applyBorder="0" applyAlignment="0" applyProtection="0"/>
    <xf numFmtId="38" fontId="160" fillId="0" borderId="0" applyFont="0" applyFill="0" applyBorder="0" applyAlignment="0" applyProtection="0"/>
    <xf numFmtId="38" fontId="109" fillId="0" borderId="0" applyFont="0" applyFill="0" applyBorder="0" applyAlignment="0" applyProtection="0"/>
    <xf numFmtId="38" fontId="160" fillId="0" borderId="0" applyFont="0" applyFill="0" applyBorder="0" applyAlignment="0" applyProtection="0"/>
    <xf numFmtId="38" fontId="109" fillId="0" borderId="0" applyFont="0" applyFill="0" applyBorder="0" applyAlignment="0" applyProtection="0"/>
    <xf numFmtId="38" fontId="160" fillId="0" borderId="0" applyFont="0" applyFill="0" applyBorder="0" applyAlignment="0" applyProtection="0"/>
    <xf numFmtId="38" fontId="109" fillId="0" borderId="0" applyFont="0" applyFill="0" applyBorder="0" applyAlignment="0" applyProtection="0"/>
    <xf numFmtId="38" fontId="160" fillId="0" borderId="0" applyFont="0" applyFill="0" applyBorder="0" applyAlignment="0" applyProtection="0"/>
    <xf numFmtId="38" fontId="109" fillId="0" borderId="0" applyFont="0" applyFill="0" applyBorder="0" applyAlignment="0" applyProtection="0"/>
    <xf numFmtId="38" fontId="160" fillId="0" borderId="0" applyFont="0" applyFill="0" applyBorder="0" applyAlignment="0" applyProtection="0"/>
    <xf numFmtId="38" fontId="109" fillId="0" borderId="0" applyFont="0" applyFill="0" applyBorder="0" applyAlignment="0" applyProtection="0"/>
    <xf numFmtId="38" fontId="160" fillId="0" borderId="0" applyFont="0" applyFill="0" applyBorder="0" applyAlignment="0" applyProtection="0"/>
    <xf numFmtId="38" fontId="23" fillId="0" borderId="0" applyFont="0" applyFill="0" applyBorder="0" applyAlignment="0" applyProtection="0">
      <alignment vertical="center"/>
    </xf>
    <xf numFmtId="38" fontId="109" fillId="0" borderId="0" applyFont="0" applyFill="0" applyBorder="0" applyAlignment="0" applyProtection="0"/>
    <xf numFmtId="38" fontId="160" fillId="0" borderId="0" applyFont="0" applyFill="0" applyBorder="0" applyAlignment="0" applyProtection="0"/>
    <xf numFmtId="38" fontId="109" fillId="0" borderId="0" applyFont="0" applyFill="0" applyBorder="0" applyAlignment="0" applyProtection="0"/>
    <xf numFmtId="38" fontId="160" fillId="0" borderId="0" applyFont="0" applyFill="0" applyBorder="0" applyAlignment="0" applyProtection="0"/>
    <xf numFmtId="38" fontId="109" fillId="0" borderId="0" applyFont="0" applyFill="0" applyBorder="0" applyAlignment="0" applyProtection="0"/>
    <xf numFmtId="38" fontId="160" fillId="0" borderId="0" applyFont="0" applyFill="0" applyBorder="0" applyAlignment="0" applyProtection="0"/>
    <xf numFmtId="38" fontId="109" fillId="0" borderId="0" applyFont="0" applyFill="0" applyBorder="0" applyAlignment="0" applyProtection="0"/>
    <xf numFmtId="38" fontId="23" fillId="0" borderId="0" applyFont="0" applyFill="0" applyBorder="0" applyAlignment="0" applyProtection="0">
      <alignment vertical="center"/>
    </xf>
    <xf numFmtId="38" fontId="127" fillId="0" borderId="0" applyFont="0" applyFill="0" applyBorder="0" applyAlignment="0" applyProtection="0"/>
    <xf numFmtId="38" fontId="3" fillId="0" borderId="0" applyFont="0" applyFill="0" applyBorder="0" applyAlignment="0" applyProtection="0">
      <alignment vertical="center"/>
    </xf>
    <xf numFmtId="38" fontId="109" fillId="0" borderId="0" applyFont="0" applyFill="0" applyBorder="0" applyAlignment="0" applyProtection="0"/>
    <xf numFmtId="38" fontId="160" fillId="0" borderId="0" applyFont="0" applyFill="0" applyBorder="0" applyAlignment="0" applyProtection="0"/>
    <xf numFmtId="38" fontId="109" fillId="0" borderId="0" applyFont="0" applyFill="0" applyBorder="0" applyAlignment="0" applyProtection="0"/>
    <xf numFmtId="38" fontId="160" fillId="0" borderId="0" applyFont="0" applyFill="0" applyBorder="0" applyAlignment="0" applyProtection="0"/>
    <xf numFmtId="38" fontId="109" fillId="0" borderId="0" applyFont="0" applyFill="0" applyBorder="0" applyAlignment="0" applyProtection="0"/>
    <xf numFmtId="38" fontId="160" fillId="0" borderId="0" applyFont="0" applyFill="0" applyBorder="0" applyAlignment="0" applyProtection="0"/>
    <xf numFmtId="201" fontId="23" fillId="0" borderId="0" applyFont="0" applyFill="0" applyBorder="0" applyAlignment="0" applyProtection="0"/>
    <xf numFmtId="202" fontId="23" fillId="0" borderId="0" applyFont="0" applyFill="0" applyBorder="0" applyAlignment="0" applyProtection="0"/>
    <xf numFmtId="0" fontId="109" fillId="0" borderId="0"/>
    <xf numFmtId="0" fontId="160" fillId="0" borderId="0"/>
    <xf numFmtId="0" fontId="127" fillId="0" borderId="0"/>
    <xf numFmtId="0" fontId="109" fillId="0" borderId="0"/>
    <xf numFmtId="0" fontId="160" fillId="0" borderId="0"/>
    <xf numFmtId="0" fontId="109" fillId="0" borderId="0"/>
    <xf numFmtId="0" fontId="160" fillId="0" borderId="0"/>
    <xf numFmtId="0" fontId="109" fillId="0" borderId="0"/>
    <xf numFmtId="0" fontId="160" fillId="0" borderId="0"/>
    <xf numFmtId="0" fontId="109" fillId="0" borderId="0"/>
    <xf numFmtId="0" fontId="160" fillId="0" borderId="0"/>
    <xf numFmtId="0" fontId="109" fillId="0" borderId="0"/>
    <xf numFmtId="0" fontId="160" fillId="0" borderId="0"/>
    <xf numFmtId="0" fontId="109" fillId="0" borderId="0"/>
    <xf numFmtId="0" fontId="160" fillId="0" borderId="0"/>
    <xf numFmtId="0" fontId="109" fillId="0" borderId="0"/>
    <xf numFmtId="0" fontId="160" fillId="0" borderId="0"/>
    <xf numFmtId="0" fontId="109" fillId="0" borderId="0"/>
    <xf numFmtId="0" fontId="160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" fillId="0" borderId="0"/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109" fillId="0" borderId="0"/>
    <xf numFmtId="0" fontId="160" fillId="0" borderId="0"/>
    <xf numFmtId="0" fontId="109" fillId="0" borderId="0"/>
    <xf numFmtId="0" fontId="24" fillId="0" borderId="0">
      <alignment vertical="center"/>
    </xf>
    <xf numFmtId="0" fontId="162" fillId="0" borderId="0">
      <alignment vertical="center"/>
    </xf>
    <xf numFmtId="0" fontId="160" fillId="0" borderId="0"/>
    <xf numFmtId="0" fontId="109" fillId="0" borderId="0"/>
    <xf numFmtId="0" fontId="160" fillId="0" borderId="0"/>
    <xf numFmtId="0" fontId="109" fillId="0" borderId="0"/>
    <xf numFmtId="0" fontId="160" fillId="0" borderId="0"/>
    <xf numFmtId="0" fontId="109" fillId="0" borderId="0"/>
    <xf numFmtId="0" fontId="160" fillId="0" borderId="0"/>
    <xf numFmtId="0" fontId="109" fillId="0" borderId="0"/>
    <xf numFmtId="0" fontId="160" fillId="0" borderId="0"/>
    <xf numFmtId="0" fontId="109" fillId="0" borderId="0"/>
    <xf numFmtId="0" fontId="160" fillId="0" borderId="0"/>
    <xf numFmtId="0" fontId="109" fillId="0" borderId="0"/>
    <xf numFmtId="0" fontId="160" fillId="0" borderId="0"/>
    <xf numFmtId="0" fontId="109" fillId="0" borderId="0"/>
    <xf numFmtId="0" fontId="160" fillId="0" borderId="0"/>
    <xf numFmtId="0" fontId="109" fillId="0" borderId="0"/>
    <xf numFmtId="0" fontId="160" fillId="0" borderId="0"/>
    <xf numFmtId="0" fontId="3" fillId="0" borderId="0"/>
    <xf numFmtId="0" fontId="23" fillId="0" borderId="0">
      <alignment vertical="center"/>
    </xf>
    <xf numFmtId="0" fontId="3" fillId="0" borderId="0"/>
    <xf numFmtId="0" fontId="109" fillId="0" borderId="0"/>
    <xf numFmtId="0" fontId="160" fillId="0" borderId="0"/>
    <xf numFmtId="0" fontId="109" fillId="0" borderId="0"/>
    <xf numFmtId="0" fontId="160" fillId="0" borderId="0"/>
    <xf numFmtId="0" fontId="109" fillId="0" borderId="0"/>
    <xf numFmtId="0" fontId="160" fillId="0" borderId="0"/>
    <xf numFmtId="0" fontId="109" fillId="0" borderId="0"/>
    <xf numFmtId="0" fontId="160" fillId="0" borderId="0"/>
    <xf numFmtId="0" fontId="109" fillId="0" borderId="0"/>
    <xf numFmtId="0" fontId="160" fillId="0" borderId="0"/>
    <xf numFmtId="0" fontId="109" fillId="0" borderId="0"/>
    <xf numFmtId="0" fontId="160" fillId="0" borderId="0"/>
    <xf numFmtId="0" fontId="3" fillId="0" borderId="0"/>
    <xf numFmtId="0" fontId="109" fillId="0" borderId="0"/>
    <xf numFmtId="0" fontId="160" fillId="0" borderId="0"/>
    <xf numFmtId="0" fontId="109" fillId="0" borderId="0"/>
    <xf numFmtId="0" fontId="160" fillId="0" borderId="0"/>
    <xf numFmtId="0" fontId="109" fillId="0" borderId="0"/>
    <xf numFmtId="0" fontId="160" fillId="0" borderId="0"/>
    <xf numFmtId="0" fontId="24" fillId="0" borderId="0">
      <alignment vertical="center"/>
    </xf>
    <xf numFmtId="0" fontId="162" fillId="0" borderId="0">
      <alignment vertical="center"/>
    </xf>
    <xf numFmtId="0" fontId="3" fillId="0" borderId="0"/>
    <xf numFmtId="0" fontId="109" fillId="0" borderId="0"/>
    <xf numFmtId="0" fontId="16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5" fillId="0" borderId="0"/>
    <xf numFmtId="0" fontId="134" fillId="0" borderId="0"/>
    <xf numFmtId="0" fontId="56" fillId="0" borderId="0"/>
    <xf numFmtId="0" fontId="126" fillId="0" borderId="4" applyNumberFormat="0" applyFill="0">
      <alignment horizontal="center"/>
    </xf>
    <xf numFmtId="203" fontId="3" fillId="0" borderId="0" applyFont="0" applyFill="0" applyBorder="0" applyAlignment="0" applyProtection="0"/>
    <xf numFmtId="204" fontId="3" fillId="0" borderId="0" applyFont="0" applyFill="0" applyBorder="0" applyAlignment="0" applyProtection="0"/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128" fillId="0" borderId="39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129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130" fillId="0" borderId="4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1" fillId="17" borderId="26" applyNumberFormat="0" applyAlignment="0" applyProtection="0">
      <alignment vertical="center"/>
    </xf>
    <xf numFmtId="0" fontId="61" fillId="23" borderId="26" applyNumberFormat="0" applyAlignment="0" applyProtection="0">
      <alignment vertical="center"/>
    </xf>
    <xf numFmtId="0" fontId="61" fillId="23" borderId="26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78" fontId="3" fillId="0" borderId="0" applyFont="0" applyFill="0" applyBorder="0" applyAlignment="0" applyProtection="0"/>
    <xf numFmtId="177" fontId="23" fillId="0" borderId="0" applyFont="0" applyFill="0" applyBorder="0" applyAlignment="0" applyProtection="0">
      <alignment vertical="center"/>
    </xf>
    <xf numFmtId="177" fontId="134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205" fontId="109" fillId="0" borderId="0" applyFont="0" applyFill="0" applyBorder="0" applyAlignment="0" applyProtection="0"/>
    <xf numFmtId="205" fontId="160" fillId="0" borderId="0" applyFont="0" applyFill="0" applyBorder="0" applyAlignment="0" applyProtection="0"/>
    <xf numFmtId="177" fontId="3" fillId="0" borderId="0" applyFont="0" applyFill="0" applyBorder="0" applyAlignment="0" applyProtection="0">
      <alignment vertical="center"/>
    </xf>
    <xf numFmtId="0" fontId="73" fillId="0" borderId="41" applyNumberFormat="0" applyFill="0" applyAlignment="0" applyProtection="0">
      <alignment vertical="center"/>
    </xf>
    <xf numFmtId="0" fontId="73" fillId="0" borderId="37" applyNumberFormat="0" applyFill="0" applyAlignment="0" applyProtection="0">
      <alignment vertical="center"/>
    </xf>
    <xf numFmtId="0" fontId="73" fillId="0" borderId="37" applyNumberFormat="0" applyFill="0" applyAlignment="0" applyProtection="0">
      <alignment vertical="center"/>
    </xf>
    <xf numFmtId="40" fontId="3" fillId="0" borderId="0" applyFont="0" applyFill="0" applyBorder="0" applyAlignment="0" applyProtection="0"/>
    <xf numFmtId="0" fontId="111" fillId="23" borderId="42" applyNumberFormat="0" applyAlignment="0" applyProtection="0"/>
    <xf numFmtId="0" fontId="41" fillId="0" borderId="43" applyNumberFormat="0" applyFill="0" applyAlignment="0" applyProtection="0">
      <alignment vertical="center"/>
    </xf>
    <xf numFmtId="0" fontId="149" fillId="0" borderId="43" applyNumberFormat="0" applyFill="0" applyAlignment="0" applyProtection="0">
      <alignment vertical="center"/>
    </xf>
    <xf numFmtId="0" fontId="41" fillId="0" borderId="43" applyNumberFormat="0" applyFill="0" applyAlignment="0" applyProtection="0">
      <alignment vertical="center"/>
    </xf>
    <xf numFmtId="0" fontId="149" fillId="0" borderId="43" applyNumberFormat="0" applyFill="0" applyAlignment="0" applyProtection="0">
      <alignment vertical="center"/>
    </xf>
    <xf numFmtId="0" fontId="41" fillId="0" borderId="43" applyNumberFormat="0" applyFill="0" applyAlignment="0" applyProtection="0">
      <alignment vertical="center"/>
    </xf>
    <xf numFmtId="0" fontId="149" fillId="0" borderId="43" applyNumberFormat="0" applyFill="0" applyAlignment="0" applyProtection="0">
      <alignment vertical="center"/>
    </xf>
    <xf numFmtId="0" fontId="41" fillId="0" borderId="43" applyNumberFormat="0" applyFill="0" applyAlignment="0" applyProtection="0">
      <alignment vertical="center"/>
    </xf>
    <xf numFmtId="0" fontId="149" fillId="0" borderId="43" applyNumberFormat="0" applyFill="0" applyAlignment="0" applyProtection="0">
      <alignment vertical="center"/>
    </xf>
    <xf numFmtId="0" fontId="41" fillId="0" borderId="43" applyNumberFormat="0" applyFill="0" applyAlignment="0" applyProtection="0">
      <alignment vertical="center"/>
    </xf>
    <xf numFmtId="0" fontId="149" fillId="0" borderId="43" applyNumberFormat="0" applyFill="0" applyAlignment="0" applyProtection="0">
      <alignment vertical="center"/>
    </xf>
    <xf numFmtId="0" fontId="41" fillId="0" borderId="43" applyNumberFormat="0" applyFill="0" applyAlignment="0" applyProtection="0">
      <alignment vertical="center"/>
    </xf>
    <xf numFmtId="0" fontId="149" fillId="0" borderId="43" applyNumberFormat="0" applyFill="0" applyAlignment="0" applyProtection="0">
      <alignment vertical="center"/>
    </xf>
    <xf numFmtId="0" fontId="41" fillId="0" borderId="43" applyNumberFormat="0" applyFill="0" applyAlignment="0" applyProtection="0">
      <alignment vertical="center"/>
    </xf>
    <xf numFmtId="0" fontId="149" fillId="0" borderId="43" applyNumberFormat="0" applyFill="0" applyAlignment="0" applyProtection="0">
      <alignment vertical="center"/>
    </xf>
    <xf numFmtId="0" fontId="41" fillId="0" borderId="43" applyNumberFormat="0" applyFill="0" applyAlignment="0" applyProtection="0">
      <alignment vertical="center"/>
    </xf>
    <xf numFmtId="0" fontId="149" fillId="0" borderId="43" applyNumberFormat="0" applyFill="0" applyAlignment="0" applyProtection="0">
      <alignment vertical="center"/>
    </xf>
    <xf numFmtId="0" fontId="48" fillId="23" borderId="42" applyNumberFormat="0" applyAlignment="0" applyProtection="0">
      <alignment vertical="center"/>
    </xf>
    <xf numFmtId="0" fontId="156" fillId="23" borderId="42" applyNumberFormat="0" applyAlignment="0" applyProtection="0">
      <alignment vertical="center"/>
    </xf>
    <xf numFmtId="0" fontId="48" fillId="23" borderId="42" applyNumberFormat="0" applyAlignment="0" applyProtection="0">
      <alignment vertical="center"/>
    </xf>
    <xf numFmtId="0" fontId="156" fillId="23" borderId="42" applyNumberFormat="0" applyAlignment="0" applyProtection="0">
      <alignment vertical="center"/>
    </xf>
    <xf numFmtId="0" fontId="48" fillId="23" borderId="42" applyNumberFormat="0" applyAlignment="0" applyProtection="0">
      <alignment vertical="center"/>
    </xf>
    <xf numFmtId="0" fontId="156" fillId="23" borderId="42" applyNumberFormat="0" applyAlignment="0" applyProtection="0">
      <alignment vertical="center"/>
    </xf>
    <xf numFmtId="0" fontId="48" fillId="23" borderId="42" applyNumberFormat="0" applyAlignment="0" applyProtection="0">
      <alignment vertical="center"/>
    </xf>
    <xf numFmtId="0" fontId="156" fillId="23" borderId="42" applyNumberFormat="0" applyAlignment="0" applyProtection="0">
      <alignment vertical="center"/>
    </xf>
    <xf numFmtId="0" fontId="48" fillId="23" borderId="42" applyNumberFormat="0" applyAlignment="0" applyProtection="0">
      <alignment vertical="center"/>
    </xf>
    <xf numFmtId="0" fontId="156" fillId="23" borderId="42" applyNumberFormat="0" applyAlignment="0" applyProtection="0">
      <alignment vertical="center"/>
    </xf>
    <xf numFmtId="0" fontId="48" fillId="23" borderId="42" applyNumberFormat="0" applyAlignment="0" applyProtection="0">
      <alignment vertical="center"/>
    </xf>
    <xf numFmtId="0" fontId="156" fillId="23" borderId="42" applyNumberFormat="0" applyAlignment="0" applyProtection="0">
      <alignment vertical="center"/>
    </xf>
    <xf numFmtId="0" fontId="48" fillId="23" borderId="42" applyNumberFormat="0" applyAlignment="0" applyProtection="0">
      <alignment vertical="center"/>
    </xf>
    <xf numFmtId="0" fontId="156" fillId="23" borderId="42" applyNumberFormat="0" applyAlignment="0" applyProtection="0">
      <alignment vertical="center"/>
    </xf>
    <xf numFmtId="0" fontId="48" fillId="23" borderId="42" applyNumberFormat="0" applyAlignment="0" applyProtection="0">
      <alignment vertical="center"/>
    </xf>
    <xf numFmtId="0" fontId="156" fillId="23" borderId="42" applyNumberFormat="0" applyAlignment="0" applyProtection="0">
      <alignment vertical="center"/>
    </xf>
    <xf numFmtId="0" fontId="71" fillId="17" borderId="42" applyNumberFormat="0" applyAlignment="0" applyProtection="0">
      <alignment vertical="center"/>
    </xf>
    <xf numFmtId="0" fontId="71" fillId="23" borderId="42" applyNumberFormat="0" applyAlignment="0" applyProtection="0">
      <alignment vertical="center"/>
    </xf>
    <xf numFmtId="0" fontId="71" fillId="23" borderId="42" applyNumberFormat="0" applyAlignment="0" applyProtection="0">
      <alignment vertical="center"/>
    </xf>
    <xf numFmtId="0" fontId="73" fillId="0" borderId="44" applyNumberFormat="0" applyFill="0" applyAlignment="0" applyProtection="0">
      <alignment vertical="center"/>
    </xf>
    <xf numFmtId="0" fontId="73" fillId="0" borderId="43" applyNumberFormat="0" applyFill="0" applyAlignment="0" applyProtection="0">
      <alignment vertical="center"/>
    </xf>
    <xf numFmtId="0" fontId="73" fillId="0" borderId="43" applyNumberFormat="0" applyFill="0" applyAlignment="0" applyProtection="0">
      <alignment vertical="center"/>
    </xf>
  </cellStyleXfs>
  <cellXfs count="1101">
    <xf numFmtId="164" fontId="0" fillId="0" borderId="0" xfId="0"/>
    <xf numFmtId="1" fontId="0" fillId="0" borderId="0" xfId="0" applyNumberFormat="1"/>
    <xf numFmtId="164" fontId="2" fillId="0" borderId="0" xfId="0" applyFont="1" applyAlignment="1">
      <alignment vertical="center"/>
    </xf>
    <xf numFmtId="164" fontId="0" fillId="0" borderId="4" xfId="0" applyFill="1" applyBorder="1"/>
    <xf numFmtId="164" fontId="0" fillId="0" borderId="5" xfId="0" applyBorder="1"/>
    <xf numFmtId="164" fontId="0" fillId="0" borderId="5" xfId="0" applyFill="1" applyBorder="1"/>
    <xf numFmtId="164" fontId="0" fillId="0" borderId="4" xfId="0" applyFill="1" applyBorder="1" applyAlignment="1">
      <alignment horizontal="center"/>
    </xf>
    <xf numFmtId="164" fontId="0" fillId="0" borderId="0" xfId="0" applyAlignment="1">
      <alignment horizontal="center"/>
    </xf>
    <xf numFmtId="1" fontId="2" fillId="0" borderId="0" xfId="0" applyNumberFormat="1" applyFont="1" applyAlignment="1">
      <alignment vertical="center"/>
    </xf>
    <xf numFmtId="164" fontId="0" fillId="0" borderId="0" xfId="0" applyAlignment="1">
      <alignment horizontal="center" vertical="center"/>
    </xf>
    <xf numFmtId="164" fontId="0" fillId="0" borderId="5" xfId="0" applyFill="1" applyBorder="1" applyAlignment="1">
      <alignment horizontal="center"/>
    </xf>
    <xf numFmtId="164" fontId="0" fillId="0" borderId="7" xfId="0" applyFill="1" applyBorder="1" applyAlignment="1">
      <alignment horizontal="center" vertical="center"/>
    </xf>
    <xf numFmtId="164" fontId="0" fillId="0" borderId="6" xfId="0" applyFill="1" applyBorder="1" applyAlignment="1">
      <alignment horizontal="center" vertical="center"/>
    </xf>
    <xf numFmtId="164" fontId="0" fillId="0" borderId="4" xfId="0" applyFill="1" applyBorder="1" applyAlignment="1">
      <alignment horizontal="center" vertical="center"/>
    </xf>
    <xf numFmtId="164" fontId="0" fillId="0" borderId="5" xfId="0" applyFill="1" applyBorder="1" applyAlignment="1">
      <alignment horizontal="center" vertical="center"/>
    </xf>
    <xf numFmtId="164" fontId="0" fillId="0" borderId="7" xfId="0" applyBorder="1" applyAlignment="1">
      <alignment horizontal="center" vertical="center"/>
    </xf>
    <xf numFmtId="164" fontId="0" fillId="0" borderId="5" xfId="0" applyBorder="1" applyAlignment="1">
      <alignment horizontal="center" vertical="center"/>
    </xf>
    <xf numFmtId="164" fontId="0" fillId="0" borderId="6" xfId="0" applyFill="1" applyBorder="1"/>
    <xf numFmtId="164" fontId="0" fillId="0" borderId="6" xfId="0" applyBorder="1" applyAlignment="1">
      <alignment horizontal="center"/>
    </xf>
    <xf numFmtId="164" fontId="0" fillId="0" borderId="7" xfId="0" applyBorder="1"/>
    <xf numFmtId="164" fontId="0" fillId="0" borderId="7" xfId="0" applyFill="1" applyBorder="1"/>
    <xf numFmtId="164" fontId="0" fillId="0" borderId="6" xfId="0" applyBorder="1"/>
    <xf numFmtId="164" fontId="0" fillId="0" borderId="4" xfId="0" applyBorder="1"/>
    <xf numFmtId="164" fontId="0" fillId="0" borderId="7" xfId="0" applyFill="1" applyBorder="1" applyAlignment="1">
      <alignment horizontal="center"/>
    </xf>
    <xf numFmtId="164" fontId="0" fillId="0" borderId="6" xfId="0" applyFill="1" applyBorder="1" applyAlignment="1">
      <alignment horizontal="center"/>
    </xf>
    <xf numFmtId="164" fontId="7" fillId="0" borderId="7" xfId="1" applyFont="1" applyFill="1" applyBorder="1" applyAlignment="1">
      <alignment horizontal="left" vertical="center" wrapText="1"/>
    </xf>
    <xf numFmtId="17" fontId="1" fillId="8" borderId="5" xfId="0" applyNumberFormat="1" applyFont="1" applyFill="1" applyBorder="1" applyAlignment="1">
      <alignment horizontal="center" vertical="center"/>
    </xf>
    <xf numFmtId="164" fontId="0" fillId="0" borderId="5" xfId="0" applyBorder="1" applyAlignment="1">
      <alignment horizontal="center" vertical="center" wrapText="1"/>
    </xf>
    <xf numFmtId="37" fontId="0" fillId="0" borderId="5" xfId="0" applyNumberFormat="1" applyBorder="1" applyAlignment="1">
      <alignment horizontal="center" vertical="center"/>
    </xf>
    <xf numFmtId="164" fontId="0" fillId="6" borderId="7" xfId="0" applyFill="1" applyBorder="1"/>
    <xf numFmtId="164" fontId="0" fillId="6" borderId="6" xfId="0" applyFill="1" applyBorder="1"/>
    <xf numFmtId="164" fontId="0" fillId="6" borderId="4" xfId="0" applyFill="1" applyBorder="1"/>
    <xf numFmtId="37" fontId="10" fillId="5" borderId="1" xfId="3" applyNumberFormat="1" applyFont="1" applyFill="1" applyBorder="1" applyAlignment="1">
      <alignment horizontal="center" vertical="center" wrapText="1"/>
    </xf>
    <xf numFmtId="164" fontId="7" fillId="0" borderId="6" xfId="1" applyFont="1" applyFill="1" applyBorder="1" applyAlignment="1">
      <alignment horizontal="left" vertical="center" wrapText="1"/>
    </xf>
    <xf numFmtId="164" fontId="7" fillId="0" borderId="6" xfId="1" applyFont="1" applyBorder="1" applyAlignment="1">
      <alignment vertical="center" wrapText="1"/>
    </xf>
    <xf numFmtId="164" fontId="0" fillId="6" borderId="5" xfId="0" applyFill="1" applyBorder="1"/>
    <xf numFmtId="14" fontId="0" fillId="0" borderId="7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65" fontId="6" fillId="0" borderId="7" xfId="2" applyNumberFormat="1" applyFont="1" applyBorder="1" applyAlignment="1">
      <alignment vertical="center"/>
    </xf>
    <xf numFmtId="165" fontId="6" fillId="0" borderId="6" xfId="2" applyNumberFormat="1" applyFont="1" applyBorder="1" applyAlignment="1">
      <alignment vertical="center"/>
    </xf>
    <xf numFmtId="165" fontId="6" fillId="0" borderId="4" xfId="2" applyNumberFormat="1" applyFont="1" applyBorder="1" applyAlignment="1">
      <alignment vertical="center"/>
    </xf>
    <xf numFmtId="17" fontId="2" fillId="0" borderId="0" xfId="0" applyNumberFormat="1" applyFont="1" applyFill="1" applyAlignment="1">
      <alignment horizontal="center" vertical="center"/>
    </xf>
    <xf numFmtId="14" fontId="0" fillId="0" borderId="7" xfId="0" quotePrefix="1" applyNumberFormat="1" applyBorder="1" applyAlignment="1">
      <alignment horizontal="center" vertical="center"/>
    </xf>
    <xf numFmtId="14" fontId="0" fillId="0" borderId="6" xfId="0" quotePrefix="1" applyNumberFormat="1" applyBorder="1" applyAlignment="1">
      <alignment horizontal="center" vertical="center"/>
    </xf>
    <xf numFmtId="14" fontId="0" fillId="0" borderId="4" xfId="0" quotePrefix="1" applyNumberFormat="1" applyBorder="1" applyAlignment="1">
      <alignment horizontal="center" vertical="center"/>
    </xf>
    <xf numFmtId="164" fontId="7" fillId="0" borderId="6" xfId="1" quotePrefix="1" applyFont="1" applyFill="1" applyBorder="1" applyAlignment="1">
      <alignment horizontal="center" vertical="center" wrapText="1"/>
    </xf>
    <xf numFmtId="164" fontId="7" fillId="0" borderId="7" xfId="1" quotePrefix="1" applyFont="1" applyFill="1" applyBorder="1" applyAlignment="1">
      <alignment horizontal="center" vertical="center" wrapText="1"/>
    </xf>
    <xf numFmtId="165" fontId="6" fillId="0" borderId="6" xfId="2" quotePrefix="1" applyNumberFormat="1" applyFont="1" applyBorder="1" applyAlignment="1">
      <alignment vertical="center"/>
    </xf>
    <xf numFmtId="164" fontId="7" fillId="0" borderId="4" xfId="1" quotePrefix="1" applyFont="1" applyFill="1" applyBorder="1" applyAlignment="1">
      <alignment horizontal="center" vertical="center" wrapText="1"/>
    </xf>
    <xf numFmtId="1" fontId="0" fillId="0" borderId="7" xfId="0" quotePrefix="1" applyNumberFormat="1" applyBorder="1"/>
    <xf numFmtId="1" fontId="0" fillId="0" borderId="6" xfId="0" quotePrefix="1" applyNumberFormat="1" applyBorder="1"/>
    <xf numFmtId="1" fontId="0" fillId="0" borderId="4" xfId="0" quotePrefix="1" applyNumberFormat="1" applyBorder="1"/>
    <xf numFmtId="165" fontId="6" fillId="0" borderId="4" xfId="2" quotePrefix="1" applyNumberFormat="1" applyFont="1" applyBorder="1" applyAlignment="1">
      <alignment vertical="center"/>
    </xf>
    <xf numFmtId="165" fontId="6" fillId="0" borderId="7" xfId="2" quotePrefix="1" applyNumberFormat="1" applyFont="1" applyBorder="1" applyAlignment="1">
      <alignment vertical="center"/>
    </xf>
    <xf numFmtId="165" fontId="6" fillId="0" borderId="15" xfId="2" applyNumberFormat="1" applyFont="1" applyBorder="1" applyAlignment="1">
      <alignment vertical="center"/>
    </xf>
    <xf numFmtId="168" fontId="7" fillId="0" borderId="6" xfId="1" applyNumberFormat="1" applyFont="1" applyFill="1" applyBorder="1" applyAlignment="1">
      <alignment horizontal="center" vertical="center" wrapText="1"/>
    </xf>
    <xf numFmtId="168" fontId="7" fillId="0" borderId="7" xfId="1" applyNumberFormat="1" applyFont="1" applyFill="1" applyBorder="1" applyAlignment="1">
      <alignment horizontal="center" vertical="center" wrapText="1"/>
    </xf>
    <xf numFmtId="168" fontId="7" fillId="0" borderId="4" xfId="1" applyNumberFormat="1" applyFont="1" applyFill="1" applyBorder="1" applyAlignment="1">
      <alignment horizontal="center" vertical="center" wrapText="1"/>
    </xf>
    <xf numFmtId="37" fontId="10" fillId="4" borderId="2" xfId="3" applyNumberFormat="1" applyFont="1" applyFill="1" applyBorder="1" applyAlignment="1">
      <alignment horizontal="center" vertical="center" wrapText="1"/>
    </xf>
    <xf numFmtId="164" fontId="9" fillId="2" borderId="2" xfId="0" applyFont="1" applyFill="1" applyBorder="1" applyAlignment="1">
      <alignment horizontal="center" vertical="center"/>
    </xf>
    <xf numFmtId="164" fontId="0" fillId="0" borderId="7" xfId="0" quotePrefix="1" applyBorder="1" applyAlignment="1">
      <alignment horizontal="center" vertical="center"/>
    </xf>
    <xf numFmtId="164" fontId="12" fillId="0" borderId="7" xfId="0" applyFont="1" applyBorder="1" applyAlignment="1">
      <alignment horizontal="left" vertical="center"/>
    </xf>
    <xf numFmtId="164" fontId="0" fillId="0" borderId="6" xfId="0" quotePrefix="1" applyBorder="1" applyAlignment="1">
      <alignment horizontal="center" vertical="center"/>
    </xf>
    <xf numFmtId="164" fontId="12" fillId="0" borderId="6" xfId="0" applyFont="1" applyBorder="1" applyAlignment="1">
      <alignment horizontal="left" vertical="center"/>
    </xf>
    <xf numFmtId="164" fontId="0" fillId="0" borderId="4" xfId="0" quotePrefix="1" applyBorder="1" applyAlignment="1">
      <alignment horizontal="center" vertical="center"/>
    </xf>
    <xf numFmtId="164" fontId="0" fillId="0" borderId="5" xfId="0" quotePrefix="1" applyBorder="1" applyAlignment="1">
      <alignment horizontal="center" vertical="center"/>
    </xf>
    <xf numFmtId="1" fontId="0" fillId="0" borderId="4" xfId="0" quotePrefix="1" applyNumberFormat="1" applyBorder="1" applyAlignment="1">
      <alignment horizontal="center" vertical="center"/>
    </xf>
    <xf numFmtId="1" fontId="0" fillId="0" borderId="7" xfId="0" quotePrefix="1" applyNumberFormat="1" applyBorder="1" applyAlignment="1">
      <alignment horizontal="center" vertical="center"/>
    </xf>
    <xf numFmtId="1" fontId="0" fillId="0" borderId="6" xfId="0" quotePrefix="1" applyNumberFormat="1" applyBorder="1" applyAlignment="1">
      <alignment horizontal="center" vertical="center"/>
    </xf>
    <xf numFmtId="1" fontId="0" fillId="0" borderId="4" xfId="0" quotePrefix="1" applyNumberFormat="1" applyBorder="1" applyAlignment="1">
      <alignment horizontal="center"/>
    </xf>
    <xf numFmtId="1" fontId="0" fillId="0" borderId="7" xfId="0" quotePrefix="1" applyNumberFormat="1" applyBorder="1" applyAlignment="1">
      <alignment horizontal="center"/>
    </xf>
    <xf numFmtId="1" fontId="0" fillId="0" borderId="6" xfId="0" quotePrefix="1" applyNumberFormat="1" applyBorder="1" applyAlignment="1">
      <alignment horizontal="center"/>
    </xf>
    <xf numFmtId="164" fontId="9" fillId="2" borderId="2" xfId="0" applyFont="1" applyFill="1" applyBorder="1" applyAlignment="1">
      <alignment horizontal="center" vertical="center" wrapText="1"/>
    </xf>
    <xf numFmtId="164" fontId="0" fillId="0" borderId="6" xfId="0" applyBorder="1" applyAlignment="1">
      <alignment horizontal="center" vertical="center"/>
    </xf>
    <xf numFmtId="164" fontId="0" fillId="0" borderId="4" xfId="0" applyBorder="1" applyAlignment="1">
      <alignment horizontal="center" vertical="center"/>
    </xf>
    <xf numFmtId="165" fontId="6" fillId="0" borderId="6" xfId="2" quotePrefix="1" applyNumberFormat="1" applyFont="1" applyBorder="1" applyAlignment="1">
      <alignment horizontal="left" vertical="center"/>
    </xf>
    <xf numFmtId="165" fontId="6" fillId="0" borderId="4" xfId="2" applyNumberFormat="1" applyFont="1" applyBorder="1" applyAlignment="1"/>
    <xf numFmtId="164" fontId="13" fillId="0" borderId="5" xfId="0" applyFont="1" applyBorder="1" applyAlignment="1">
      <alignment vertical="center"/>
    </xf>
    <xf numFmtId="164" fontId="7" fillId="0" borderId="5" xfId="1" quotePrefix="1" applyFont="1" applyFill="1" applyBorder="1" applyAlignment="1">
      <alignment horizontal="center" vertical="center" wrapText="1"/>
    </xf>
    <xf numFmtId="14" fontId="0" fillId="0" borderId="5" xfId="0" quotePrefix="1" applyNumberFormat="1" applyBorder="1" applyAlignment="1">
      <alignment horizontal="center" vertical="center"/>
    </xf>
    <xf numFmtId="1" fontId="0" fillId="0" borderId="5" xfId="0" quotePrefix="1" applyNumberFormat="1" applyBorder="1" applyAlignment="1">
      <alignment horizontal="center"/>
    </xf>
    <xf numFmtId="165" fontId="6" fillId="0" borderId="15" xfId="2" applyNumberFormat="1" applyFont="1" applyBorder="1" applyAlignment="1">
      <alignment vertical="center" wrapText="1"/>
    </xf>
    <xf numFmtId="164" fontId="0" fillId="0" borderId="5" xfId="0" quotePrefix="1" applyBorder="1"/>
    <xf numFmtId="164" fontId="0" fillId="0" borderId="0" xfId="0" quotePrefix="1"/>
    <xf numFmtId="164" fontId="0" fillId="0" borderId="7" xfId="0" quotePrefix="1" applyBorder="1"/>
    <xf numFmtId="164" fontId="0" fillId="0" borderId="6" xfId="0" quotePrefix="1" applyBorder="1"/>
    <xf numFmtId="165" fontId="6" fillId="0" borderId="6" xfId="2" applyNumberFormat="1" applyFont="1" applyBorder="1" applyAlignment="1">
      <alignment vertical="center" wrapText="1"/>
    </xf>
    <xf numFmtId="164" fontId="0" fillId="0" borderId="4" xfId="0" quotePrefix="1" applyBorder="1"/>
    <xf numFmtId="164" fontId="1" fillId="2" borderId="1" xfId="0" applyFont="1" applyFill="1" applyBorder="1" applyAlignment="1">
      <alignment horizontal="center" vertical="center"/>
    </xf>
    <xf numFmtId="164" fontId="1" fillId="2" borderId="2" xfId="0" applyFont="1" applyFill="1" applyBorder="1" applyAlignment="1">
      <alignment horizontal="center" vertical="center"/>
    </xf>
    <xf numFmtId="164" fontId="1" fillId="2" borderId="12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164" fontId="15" fillId="0" borderId="5" xfId="0" applyFont="1" applyBorder="1" applyAlignment="1">
      <alignment vertical="center"/>
    </xf>
    <xf numFmtId="0" fontId="15" fillId="0" borderId="5" xfId="0" applyNumberFormat="1" applyFont="1" applyBorder="1" applyAlignment="1">
      <alignment vertical="center"/>
    </xf>
    <xf numFmtId="164" fontId="16" fillId="0" borderId="5" xfId="0" applyFont="1" applyBorder="1" applyAlignment="1">
      <alignment vertical="center"/>
    </xf>
    <xf numFmtId="0" fontId="16" fillId="0" borderId="5" xfId="0" applyNumberFormat="1" applyFont="1" applyBorder="1" applyAlignment="1">
      <alignment vertical="center"/>
    </xf>
    <xf numFmtId="37" fontId="10" fillId="5" borderId="1" xfId="3" applyNumberFormat="1" applyFont="1" applyFill="1" applyBorder="1" applyAlignment="1">
      <alignment vertical="center" wrapText="1"/>
    </xf>
    <xf numFmtId="43" fontId="10" fillId="5" borderId="1" xfId="3" applyFont="1" applyFill="1" applyBorder="1" applyAlignment="1">
      <alignment vertical="center" wrapText="1"/>
    </xf>
    <xf numFmtId="167" fontId="10" fillId="4" borderId="1" xfId="3" applyNumberFormat="1" applyFont="1" applyFill="1" applyBorder="1" applyAlignment="1">
      <alignment vertical="center"/>
    </xf>
    <xf numFmtId="37" fontId="10" fillId="4" borderId="1" xfId="3" applyNumberFormat="1" applyFont="1" applyFill="1" applyBorder="1" applyAlignment="1">
      <alignment vertical="center"/>
    </xf>
    <xf numFmtId="43" fontId="11" fillId="5" borderId="1" xfId="3" applyFont="1" applyFill="1" applyBorder="1" applyAlignment="1">
      <alignment vertical="center" wrapText="1"/>
    </xf>
    <xf numFmtId="43" fontId="11" fillId="4" borderId="1" xfId="3" applyFont="1" applyFill="1" applyBorder="1" applyAlignment="1">
      <alignment vertical="center"/>
    </xf>
    <xf numFmtId="43" fontId="10" fillId="5" borderId="1" xfId="3" applyFont="1" applyFill="1" applyBorder="1" applyAlignment="1">
      <alignment horizontal="center" vertical="center" wrapText="1"/>
    </xf>
    <xf numFmtId="166" fontId="10" fillId="5" borderId="1" xfId="3" applyNumberFormat="1" applyFont="1" applyFill="1" applyBorder="1" applyAlignment="1">
      <alignment vertical="center" wrapText="1"/>
    </xf>
    <xf numFmtId="37" fontId="10" fillId="4" borderId="1" xfId="3" applyNumberFormat="1" applyFont="1" applyFill="1" applyBorder="1" applyAlignment="1">
      <alignment horizontal="center" vertical="center"/>
    </xf>
    <xf numFmtId="167" fontId="11" fillId="4" borderId="1" xfId="3" applyNumberFormat="1" applyFont="1" applyFill="1" applyBorder="1" applyAlignment="1">
      <alignment vertical="center"/>
    </xf>
    <xf numFmtId="39" fontId="11" fillId="4" borderId="1" xfId="3" applyNumberFormat="1" applyFont="1" applyFill="1" applyBorder="1" applyAlignment="1">
      <alignment vertical="center"/>
    </xf>
    <xf numFmtId="43" fontId="0" fillId="0" borderId="5" xfId="3" applyFont="1" applyBorder="1" applyAlignment="1">
      <alignment horizontal="center" vertical="center"/>
    </xf>
    <xf numFmtId="43" fontId="10" fillId="4" borderId="1" xfId="3" applyFont="1" applyFill="1" applyBorder="1" applyAlignment="1">
      <alignment vertical="center"/>
    </xf>
    <xf numFmtId="17" fontId="4" fillId="0" borderId="5" xfId="0" applyNumberFormat="1" applyFont="1" applyFill="1" applyBorder="1" applyAlignment="1">
      <alignment horizontal="center" vertical="center"/>
    </xf>
    <xf numFmtId="43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 vertical="center"/>
    </xf>
    <xf numFmtId="166" fontId="4" fillId="0" borderId="5" xfId="0" applyNumberFormat="1" applyFont="1" applyFill="1" applyBorder="1" applyAlignment="1">
      <alignment horizontal="center" vertical="center"/>
    </xf>
    <xf numFmtId="164" fontId="18" fillId="6" borderId="1" xfId="0" applyFont="1" applyFill="1" applyBorder="1" applyAlignment="1">
      <alignment horizontal="center" vertical="center"/>
    </xf>
    <xf numFmtId="164" fontId="17" fillId="3" borderId="1" xfId="0" applyFont="1" applyFill="1" applyBorder="1" applyAlignment="1">
      <alignment horizontal="center" vertical="center"/>
    </xf>
    <xf numFmtId="164" fontId="18" fillId="7" borderId="1" xfId="0" applyFont="1" applyFill="1" applyBorder="1" applyAlignment="1">
      <alignment horizontal="center" vertical="center"/>
    </xf>
    <xf numFmtId="37" fontId="19" fillId="5" borderId="1" xfId="3" applyNumberFormat="1" applyFont="1" applyFill="1" applyBorder="1" applyAlignment="1">
      <alignment horizontal="center" vertical="center" wrapText="1"/>
    </xf>
    <xf numFmtId="2" fontId="0" fillId="0" borderId="0" xfId="0" applyNumberFormat="1"/>
    <xf numFmtId="39" fontId="10" fillId="4" borderId="1" xfId="3" applyNumberFormat="1" applyFont="1" applyFill="1" applyBorder="1" applyAlignment="1">
      <alignment vertical="center"/>
    </xf>
    <xf numFmtId="37" fontId="19" fillId="4" borderId="2" xfId="3" applyNumberFormat="1" applyFont="1" applyFill="1" applyBorder="1" applyAlignment="1">
      <alignment horizontal="center" vertical="center" wrapText="1"/>
    </xf>
    <xf numFmtId="166" fontId="11" fillId="5" borderId="1" xfId="3" applyNumberFormat="1" applyFont="1" applyFill="1" applyBorder="1" applyAlignment="1">
      <alignment vertical="center" wrapText="1"/>
    </xf>
    <xf numFmtId="166" fontId="11" fillId="4" borderId="1" xfId="3" applyNumberFormat="1" applyFont="1" applyFill="1" applyBorder="1" applyAlignment="1">
      <alignment vertical="center"/>
    </xf>
    <xf numFmtId="166" fontId="10" fillId="4" borderId="1" xfId="3" applyNumberFormat="1" applyFont="1" applyFill="1" applyBorder="1" applyAlignment="1">
      <alignment vertical="center"/>
    </xf>
    <xf numFmtId="37" fontId="11" fillId="4" borderId="1" xfId="3" applyNumberFormat="1" applyFont="1" applyFill="1" applyBorder="1" applyAlignment="1">
      <alignment vertical="center"/>
    </xf>
    <xf numFmtId="166" fontId="4" fillId="0" borderId="5" xfId="3" applyNumberFormat="1" applyFont="1" applyFill="1" applyBorder="1" applyAlignment="1">
      <alignment horizontal="center" vertical="center"/>
    </xf>
    <xf numFmtId="166" fontId="0" fillId="0" borderId="5" xfId="3" applyNumberFormat="1" applyFont="1" applyBorder="1" applyAlignment="1">
      <alignment horizontal="center" vertical="center"/>
    </xf>
    <xf numFmtId="43" fontId="10" fillId="5" borderId="1" xfId="3" applyNumberFormat="1" applyFont="1" applyFill="1" applyBorder="1" applyAlignment="1">
      <alignment vertical="center" wrapText="1"/>
    </xf>
    <xf numFmtId="170" fontId="10" fillId="4" borderId="1" xfId="3" applyNumberFormat="1" applyFont="1" applyFill="1" applyBorder="1" applyAlignment="1">
      <alignment vertical="center"/>
    </xf>
    <xf numFmtId="171" fontId="10" fillId="4" borderId="1" xfId="3" applyNumberFormat="1" applyFont="1" applyFill="1" applyBorder="1" applyAlignment="1">
      <alignment vertical="center"/>
    </xf>
    <xf numFmtId="166" fontId="0" fillId="0" borderId="5" xfId="3" applyNumberFormat="1" applyFont="1" applyBorder="1" applyAlignment="1">
      <alignment horizontal="center" vertical="center" wrapText="1"/>
    </xf>
    <xf numFmtId="164" fontId="0" fillId="9" borderId="0" xfId="0" applyFill="1"/>
    <xf numFmtId="166" fontId="4" fillId="9" borderId="5" xfId="3" applyNumberFormat="1" applyFont="1" applyFill="1" applyBorder="1" applyAlignment="1">
      <alignment horizontal="center" vertical="center"/>
    </xf>
    <xf numFmtId="166" fontId="4" fillId="9" borderId="5" xfId="0" applyNumberFormat="1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0" fontId="8" fillId="0" borderId="0" xfId="7"/>
    <xf numFmtId="0" fontId="8" fillId="0" borderId="5" xfId="7" applyBorder="1" applyAlignment="1">
      <alignment horizontal="center" vertical="center"/>
    </xf>
    <xf numFmtId="37" fontId="0" fillId="0" borderId="5" xfId="3" applyNumberFormat="1" applyFont="1" applyFill="1" applyBorder="1" applyAlignment="1">
      <alignment horizontal="left" vertical="center" wrapText="1"/>
    </xf>
    <xf numFmtId="166" fontId="0" fillId="0" borderId="5" xfId="3" applyNumberFormat="1" applyFont="1" applyBorder="1"/>
    <xf numFmtId="37" fontId="0" fillId="3" borderId="5" xfId="3" applyNumberFormat="1" applyFont="1" applyFill="1" applyBorder="1" applyAlignment="1">
      <alignment horizontal="left" vertical="center" wrapText="1"/>
    </xf>
    <xf numFmtId="166" fontId="0" fillId="3" borderId="5" xfId="3" applyNumberFormat="1" applyFont="1" applyFill="1" applyBorder="1"/>
    <xf numFmtId="0" fontId="8" fillId="3" borderId="0" xfId="7" applyFill="1"/>
    <xf numFmtId="0" fontId="8" fillId="0" borderId="5" xfId="7" applyBorder="1" applyAlignment="1">
      <alignment horizontal="left" vertical="center" wrapText="1"/>
    </xf>
    <xf numFmtId="37" fontId="0" fillId="0" borderId="6" xfId="3" applyNumberFormat="1" applyFont="1" applyFill="1" applyBorder="1" applyAlignment="1">
      <alignment horizontal="left" vertical="center" wrapText="1"/>
    </xf>
    <xf numFmtId="166" fontId="8" fillId="0" borderId="0" xfId="7" applyNumberFormat="1"/>
    <xf numFmtId="0" fontId="0" fillId="0" borderId="0" xfId="7" applyFont="1"/>
    <xf numFmtId="173" fontId="0" fillId="0" borderId="0" xfId="7" applyNumberFormat="1" applyFont="1"/>
    <xf numFmtId="164" fontId="9" fillId="6" borderId="2" xfId="0" applyFont="1" applyFill="1" applyBorder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0" fillId="0" borderId="0" xfId="0" applyNumberFormat="1"/>
    <xf numFmtId="0" fontId="9" fillId="6" borderId="2" xfId="0" applyNumberFormat="1" applyFont="1" applyFill="1" applyBorder="1" applyAlignment="1">
      <alignment horizontal="center" vertical="center"/>
    </xf>
    <xf numFmtId="164" fontId="9" fillId="2" borderId="2" xfId="0" applyFont="1" applyFill="1" applyBorder="1" applyAlignment="1">
      <alignment vertical="center" wrapText="1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164" fontId="9" fillId="2" borderId="12" xfId="0" applyFont="1" applyFill="1" applyBorder="1" applyAlignment="1">
      <alignment vertical="center" wrapText="1"/>
    </xf>
    <xf numFmtId="43" fontId="25" fillId="0" borderId="5" xfId="0" applyNumberFormat="1" applyFont="1" applyFill="1" applyBorder="1"/>
    <xf numFmtId="166" fontId="2" fillId="0" borderId="0" xfId="3" applyNumberFormat="1" applyFont="1" applyAlignment="1">
      <alignment horizontal="center" vertical="center"/>
    </xf>
    <xf numFmtId="166" fontId="9" fillId="6" borderId="2" xfId="3" applyNumberFormat="1" applyFont="1" applyFill="1" applyBorder="1" applyAlignment="1">
      <alignment horizontal="center" vertical="center"/>
    </xf>
    <xf numFmtId="166" fontId="0" fillId="0" borderId="0" xfId="3" applyNumberFormat="1" applyFont="1" applyAlignment="1">
      <alignment horizontal="center" vertical="center"/>
    </xf>
    <xf numFmtId="166" fontId="0" fillId="0" borderId="4" xfId="3" applyNumberFormat="1" applyFont="1" applyBorder="1" applyAlignment="1">
      <alignment vertical="center"/>
    </xf>
    <xf numFmtId="0" fontId="6" fillId="0" borderId="7" xfId="2" quotePrefix="1" applyNumberFormat="1" applyFont="1" applyBorder="1" applyAlignment="1">
      <alignment horizontal="center" vertical="center"/>
    </xf>
    <xf numFmtId="43" fontId="25" fillId="0" borderId="7" xfId="0" applyNumberFormat="1" applyFont="1" applyFill="1" applyBorder="1"/>
    <xf numFmtId="0" fontId="6" fillId="0" borderId="6" xfId="2" quotePrefix="1" applyNumberFormat="1" applyFont="1" applyBorder="1" applyAlignment="1">
      <alignment horizontal="center" vertical="center"/>
    </xf>
    <xf numFmtId="43" fontId="25" fillId="0" borderId="6" xfId="0" applyNumberFormat="1" applyFont="1" applyFill="1" applyBorder="1"/>
    <xf numFmtId="165" fontId="6" fillId="0" borderId="4" xfId="2" applyNumberFormat="1" applyFont="1" applyBorder="1" applyAlignment="1">
      <alignment vertical="center" wrapText="1"/>
    </xf>
    <xf numFmtId="0" fontId="6" fillId="0" borderId="4" xfId="2" quotePrefix="1" applyNumberFormat="1" applyFont="1" applyBorder="1" applyAlignment="1">
      <alignment horizontal="center" vertical="center"/>
    </xf>
    <xf numFmtId="43" fontId="25" fillId="0" borderId="4" xfId="0" applyNumberFormat="1" applyFont="1" applyFill="1" applyBorder="1"/>
    <xf numFmtId="164" fontId="26" fillId="0" borderId="7" xfId="0" applyFont="1" applyBorder="1" applyAlignment="1">
      <alignment horizontal="left" vertical="center"/>
    </xf>
    <xf numFmtId="165" fontId="6" fillId="0" borderId="7" xfId="2" applyNumberFormat="1" applyFont="1" applyBorder="1" applyAlignment="1">
      <alignment vertical="center" wrapText="1"/>
    </xf>
    <xf numFmtId="166" fontId="0" fillId="0" borderId="7" xfId="3" applyNumberFormat="1" applyFont="1" applyBorder="1" applyAlignment="1">
      <alignment vertical="center"/>
    </xf>
    <xf numFmtId="166" fontId="0" fillId="0" borderId="6" xfId="3" applyNumberFormat="1" applyFont="1" applyBorder="1" applyAlignment="1">
      <alignment vertical="center"/>
    </xf>
    <xf numFmtId="0" fontId="0" fillId="0" borderId="7" xfId="0" applyNumberFormat="1" applyBorder="1"/>
    <xf numFmtId="1" fontId="0" fillId="0" borderId="7" xfId="0" applyNumberFormat="1" applyBorder="1"/>
    <xf numFmtId="0" fontId="0" fillId="0" borderId="6" xfId="0" applyNumberFormat="1" applyBorder="1"/>
    <xf numFmtId="1" fontId="0" fillId="0" borderId="6" xfId="0" applyNumberFormat="1" applyBorder="1"/>
    <xf numFmtId="0" fontId="0" fillId="0" borderId="4" xfId="0" applyNumberFormat="1" applyBorder="1"/>
    <xf numFmtId="1" fontId="0" fillId="0" borderId="4" xfId="0" applyNumberFormat="1" applyBorder="1"/>
    <xf numFmtId="164" fontId="0" fillId="0" borderId="4" xfId="0" applyBorder="1" applyAlignment="1">
      <alignment horizontal="center"/>
    </xf>
    <xf numFmtId="1" fontId="0" fillId="0" borderId="7" xfId="0" applyNumberFormat="1" applyFill="1" applyBorder="1" applyAlignment="1">
      <alignment vertical="center"/>
    </xf>
    <xf numFmtId="164" fontId="0" fillId="0" borderId="7" xfId="0" quotePrefix="1" applyFill="1" applyBorder="1" applyAlignment="1">
      <alignment vertical="center"/>
    </xf>
    <xf numFmtId="0" fontId="6" fillId="0" borderId="7" xfId="2" quotePrefix="1" applyNumberFormat="1" applyFont="1" applyFill="1" applyBorder="1" applyAlignment="1">
      <alignment horizontal="center" vertical="center"/>
    </xf>
    <xf numFmtId="164" fontId="25" fillId="0" borderId="7" xfId="0" applyFont="1" applyFill="1" applyBorder="1" applyAlignment="1">
      <alignment horizontal="center"/>
    </xf>
    <xf numFmtId="1" fontId="0" fillId="0" borderId="6" xfId="0" applyNumberFormat="1" applyFill="1" applyBorder="1" applyAlignment="1">
      <alignment vertical="center"/>
    </xf>
    <xf numFmtId="164" fontId="0" fillId="0" borderId="6" xfId="0" quotePrefix="1" applyFill="1" applyBorder="1" applyAlignment="1">
      <alignment vertical="center"/>
    </xf>
    <xf numFmtId="0" fontId="6" fillId="0" borderId="6" xfId="2" quotePrefix="1" applyNumberFormat="1" applyFont="1" applyFill="1" applyBorder="1" applyAlignment="1">
      <alignment horizontal="center" vertical="center"/>
    </xf>
    <xf numFmtId="164" fontId="25" fillId="0" borderId="6" xfId="0" applyFont="1" applyFill="1" applyBorder="1" applyAlignment="1">
      <alignment horizontal="center"/>
    </xf>
    <xf numFmtId="164" fontId="26" fillId="0" borderId="6" xfId="0" applyFont="1" applyFill="1" applyBorder="1" applyAlignment="1">
      <alignment horizontal="left" vertical="center"/>
    </xf>
    <xf numFmtId="1" fontId="0" fillId="0" borderId="4" xfId="0" applyNumberFormat="1" applyFill="1" applyBorder="1" applyAlignment="1">
      <alignment vertical="center"/>
    </xf>
    <xf numFmtId="164" fontId="0" fillId="0" borderId="4" xfId="0" quotePrefix="1" applyFill="1" applyBorder="1" applyAlignment="1">
      <alignment vertical="center"/>
    </xf>
    <xf numFmtId="164" fontId="26" fillId="0" borderId="4" xfId="0" applyFont="1" applyFill="1" applyBorder="1" applyAlignment="1">
      <alignment horizontal="left" vertical="center"/>
    </xf>
    <xf numFmtId="0" fontId="6" fillId="0" borderId="4" xfId="2" quotePrefix="1" applyNumberFormat="1" applyFont="1" applyFill="1" applyBorder="1" applyAlignment="1">
      <alignment horizontal="center" vertical="center"/>
    </xf>
    <xf numFmtId="164" fontId="25" fillId="0" borderId="4" xfId="0" applyFont="1" applyFill="1" applyBorder="1" applyAlignment="1">
      <alignment horizontal="center"/>
    </xf>
    <xf numFmtId="164" fontId="26" fillId="0" borderId="7" xfId="0" applyFont="1" applyFill="1" applyBorder="1" applyAlignment="1">
      <alignment horizontal="left" vertical="center"/>
    </xf>
    <xf numFmtId="172" fontId="0" fillId="0" borderId="7" xfId="3" applyNumberFormat="1" applyFont="1" applyFill="1" applyBorder="1" applyAlignment="1">
      <alignment vertical="center"/>
    </xf>
    <xf numFmtId="172" fontId="0" fillId="0" borderId="6" xfId="3" applyNumberFormat="1" applyFont="1" applyFill="1" applyBorder="1" applyAlignment="1">
      <alignment vertical="center"/>
    </xf>
    <xf numFmtId="165" fontId="6" fillId="0" borderId="6" xfId="2" applyNumberFormat="1" applyFont="1" applyFill="1" applyBorder="1" applyAlignment="1">
      <alignment vertical="center" wrapText="1"/>
    </xf>
    <xf numFmtId="165" fontId="6" fillId="0" borderId="4" xfId="2" applyNumberFormat="1" applyFont="1" applyFill="1" applyBorder="1" applyAlignment="1">
      <alignment vertical="center" wrapText="1"/>
    </xf>
    <xf numFmtId="172" fontId="0" fillId="0" borderId="4" xfId="3" applyNumberFormat="1" applyFont="1" applyFill="1" applyBorder="1" applyAlignment="1">
      <alignment vertical="center"/>
    </xf>
    <xf numFmtId="1" fontId="0" fillId="0" borderId="5" xfId="0" applyNumberFormat="1" applyFill="1" applyBorder="1" applyAlignment="1">
      <alignment vertical="center"/>
    </xf>
    <xf numFmtId="164" fontId="25" fillId="0" borderId="5" xfId="0" applyFont="1" applyFill="1" applyBorder="1" applyAlignment="1">
      <alignment horizontal="center"/>
    </xf>
    <xf numFmtId="172" fontId="0" fillId="0" borderId="5" xfId="3" applyNumberFormat="1" applyFont="1" applyFill="1" applyBorder="1" applyAlignment="1">
      <alignment vertical="center"/>
    </xf>
    <xf numFmtId="165" fontId="6" fillId="0" borderId="7" xfId="2" applyNumberFormat="1" applyFont="1" applyFill="1" applyBorder="1" applyAlignment="1">
      <alignment vertical="center" wrapText="1"/>
    </xf>
    <xf numFmtId="1" fontId="0" fillId="0" borderId="5" xfId="0" applyNumberFormat="1" applyFill="1" applyBorder="1" applyAlignment="1">
      <alignment horizontal="center" vertical="center"/>
    </xf>
    <xf numFmtId="1" fontId="0" fillId="0" borderId="6" xfId="0" applyNumberFormat="1" applyFill="1" applyBorder="1"/>
    <xf numFmtId="0" fontId="0" fillId="0" borderId="6" xfId="0" applyNumberFormat="1" applyFill="1" applyBorder="1"/>
    <xf numFmtId="1" fontId="0" fillId="0" borderId="4" xfId="0" applyNumberFormat="1" applyFill="1" applyBorder="1"/>
    <xf numFmtId="0" fontId="0" fillId="0" borderId="4" xfId="0" applyNumberFormat="1" applyFill="1" applyBorder="1"/>
    <xf numFmtId="164" fontId="0" fillId="0" borderId="6" xfId="0" applyFill="1" applyBorder="1" applyAlignment="1"/>
    <xf numFmtId="164" fontId="0" fillId="0" borderId="6" xfId="0" applyFill="1" applyBorder="1" applyAlignment="1">
      <alignment vertical="center"/>
    </xf>
    <xf numFmtId="14" fontId="28" fillId="0" borderId="6" xfId="0" applyNumberFormat="1" applyFont="1" applyFill="1" applyBorder="1" applyAlignment="1" applyProtection="1">
      <alignment horizontal="center" vertical="center" readingOrder="1"/>
    </xf>
    <xf numFmtId="164" fontId="0" fillId="0" borderId="4" xfId="0" applyFill="1" applyBorder="1" applyAlignment="1"/>
    <xf numFmtId="164" fontId="0" fillId="0" borderId="4" xfId="0" applyFill="1" applyBorder="1" applyAlignment="1">
      <alignment vertical="center"/>
    </xf>
    <xf numFmtId="14" fontId="28" fillId="0" borderId="4" xfId="0" applyNumberFormat="1" applyFont="1" applyFill="1" applyBorder="1" applyAlignment="1" applyProtection="1">
      <alignment horizontal="center" vertical="center" readingOrder="1"/>
    </xf>
    <xf numFmtId="1" fontId="0" fillId="0" borderId="5" xfId="0" applyNumberFormat="1" applyFill="1" applyBorder="1"/>
    <xf numFmtId="0" fontId="0" fillId="0" borderId="5" xfId="0" applyNumberFormat="1" applyFill="1" applyBorder="1"/>
    <xf numFmtId="164" fontId="0" fillId="0" borderId="5" xfId="0" applyFill="1" applyBorder="1" applyAlignment="1"/>
    <xf numFmtId="164" fontId="0" fillId="0" borderId="5" xfId="0" applyFill="1" applyBorder="1" applyAlignment="1">
      <alignment vertical="center"/>
    </xf>
    <xf numFmtId="49" fontId="28" fillId="0" borderId="5" xfId="0" applyNumberFormat="1" applyFont="1" applyFill="1" applyBorder="1" applyAlignment="1" applyProtection="1">
      <alignment horizontal="center" vertical="center" readingOrder="1"/>
    </xf>
    <xf numFmtId="14" fontId="28" fillId="0" borderId="5" xfId="0" applyNumberFormat="1" applyFont="1" applyFill="1" applyBorder="1" applyAlignment="1" applyProtection="1">
      <alignment horizontal="center" vertical="center" readingOrder="1"/>
    </xf>
    <xf numFmtId="43" fontId="0" fillId="0" borderId="5" xfId="3" applyFont="1" applyFill="1" applyBorder="1" applyAlignment="1">
      <alignment horizontal="center" vertical="center"/>
    </xf>
    <xf numFmtId="166" fontId="0" fillId="0" borderId="6" xfId="3" applyNumberFormat="1" applyFont="1" applyFill="1" applyBorder="1" applyAlignment="1">
      <alignment vertical="center"/>
    </xf>
    <xf numFmtId="166" fontId="0" fillId="0" borderId="4" xfId="3" applyNumberFormat="1" applyFont="1" applyFill="1" applyBorder="1" applyAlignment="1">
      <alignment vertical="center"/>
    </xf>
    <xf numFmtId="164" fontId="0" fillId="0" borderId="0" xfId="0" applyFill="1" applyBorder="1"/>
    <xf numFmtId="0" fontId="0" fillId="0" borderId="0" xfId="0" applyNumberFormat="1" applyFill="1" applyBorder="1"/>
    <xf numFmtId="164" fontId="0" fillId="0" borderId="0" xfId="0" applyFill="1" applyBorder="1" applyAlignment="1">
      <alignment horizontal="center"/>
    </xf>
    <xf numFmtId="1" fontId="0" fillId="0" borderId="0" xfId="0" applyNumberFormat="1" applyFill="1" applyBorder="1"/>
    <xf numFmtId="164" fontId="0" fillId="0" borderId="0" xfId="0" applyBorder="1"/>
    <xf numFmtId="49" fontId="28" fillId="0" borderId="0" xfId="0" applyNumberFormat="1" applyFont="1" applyFill="1" applyBorder="1" applyAlignment="1" applyProtection="1">
      <alignment horizontal="center" vertical="center" readingOrder="1"/>
    </xf>
    <xf numFmtId="14" fontId="28" fillId="0" borderId="0" xfId="0" applyNumberFormat="1" applyFont="1" applyFill="1" applyBorder="1" applyAlignment="1" applyProtection="1">
      <alignment horizontal="center" vertical="center" readingOrder="1"/>
    </xf>
    <xf numFmtId="43" fontId="2" fillId="0" borderId="0" xfId="0" applyNumberFormat="1" applyFont="1" applyAlignment="1">
      <alignment horizontal="center" vertical="center"/>
    </xf>
    <xf numFmtId="43" fontId="9" fillId="2" borderId="2" xfId="0" applyNumberFormat="1" applyFont="1" applyFill="1" applyBorder="1" applyAlignment="1">
      <alignment horizontal="center" vertical="center" wrapText="1"/>
    </xf>
    <xf numFmtId="43" fontId="10" fillId="5" borderId="1" xfId="3" applyNumberFormat="1" applyFont="1" applyFill="1" applyBorder="1" applyAlignment="1">
      <alignment horizontal="center" vertical="center" wrapText="1"/>
    </xf>
    <xf numFmtId="43" fontId="10" fillId="4" borderId="2" xfId="3" applyNumberFormat="1" applyFont="1" applyFill="1" applyBorder="1" applyAlignment="1">
      <alignment horizontal="center" vertical="center" wrapText="1"/>
    </xf>
    <xf numFmtId="43" fontId="0" fillId="0" borderId="0" xfId="3" applyNumberFormat="1" applyFont="1" applyAlignment="1">
      <alignment horizontal="center"/>
    </xf>
    <xf numFmtId="43" fontId="0" fillId="0" borderId="0" xfId="0" applyNumberFormat="1" applyAlignment="1">
      <alignment horizontal="center"/>
    </xf>
    <xf numFmtId="175" fontId="25" fillId="0" borderId="0" xfId="0" applyNumberFormat="1" applyFont="1"/>
    <xf numFmtId="43" fontId="0" fillId="0" borderId="4" xfId="3" applyNumberFormat="1" applyFont="1" applyFill="1" applyBorder="1" applyAlignment="1">
      <alignment vertical="center"/>
    </xf>
    <xf numFmtId="43" fontId="0" fillId="0" borderId="6" xfId="3" applyNumberFormat="1" applyFont="1" applyFill="1" applyBorder="1" applyAlignment="1">
      <alignment vertical="center"/>
    </xf>
    <xf numFmtId="43" fontId="0" fillId="0" borderId="7" xfId="3" applyNumberFormat="1" applyFont="1" applyFill="1" applyBorder="1" applyAlignment="1">
      <alignment vertical="center"/>
    </xf>
    <xf numFmtId="166" fontId="0" fillId="0" borderId="7" xfId="3" applyNumberFormat="1" applyFont="1" applyFill="1" applyBorder="1" applyAlignment="1">
      <alignment vertical="center"/>
    </xf>
    <xf numFmtId="174" fontId="0" fillId="0" borderId="7" xfId="0" applyNumberFormat="1" applyFill="1" applyBorder="1" applyAlignment="1">
      <alignment horizontal="left"/>
    </xf>
    <xf numFmtId="174" fontId="0" fillId="0" borderId="6" xfId="0" applyNumberFormat="1" applyFill="1" applyBorder="1" applyAlignment="1">
      <alignment horizontal="left"/>
    </xf>
    <xf numFmtId="1" fontId="6" fillId="0" borderId="6" xfId="2" quotePrefix="1" applyNumberFormat="1" applyFont="1" applyBorder="1" applyAlignment="1">
      <alignment vertical="center" wrapText="1"/>
    </xf>
    <xf numFmtId="174" fontId="0" fillId="0" borderId="4" xfId="0" applyNumberFormat="1" applyFill="1" applyBorder="1" applyAlignment="1">
      <alignment horizontal="left"/>
    </xf>
    <xf numFmtId="1" fontId="6" fillId="0" borderId="7" xfId="2" quotePrefix="1" applyNumberFormat="1" applyFont="1" applyBorder="1" applyAlignment="1">
      <alignment vertical="center" wrapText="1"/>
    </xf>
    <xf numFmtId="1" fontId="6" fillId="0" borderId="4" xfId="2" quotePrefix="1" applyNumberFormat="1" applyFont="1" applyBorder="1" applyAlignment="1">
      <alignment vertical="center" wrapText="1"/>
    </xf>
    <xf numFmtId="1" fontId="0" fillId="0" borderId="7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23" xfId="0" applyNumberForma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1" xfId="0" applyNumberFormat="1" applyFill="1" applyBorder="1" applyAlignment="1">
      <alignment horizontal="center" vertical="center"/>
    </xf>
    <xf numFmtId="164" fontId="30" fillId="0" borderId="0" xfId="0" applyFont="1"/>
    <xf numFmtId="164" fontId="2" fillId="0" borderId="0" xfId="0" applyFont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64" fontId="9" fillId="2" borderId="2" xfId="0" applyFont="1" applyFill="1" applyBorder="1" applyAlignment="1">
      <alignment horizontal="center" vertical="center"/>
    </xf>
    <xf numFmtId="164" fontId="9" fillId="2" borderId="2" xfId="0" applyFont="1" applyFill="1" applyBorder="1" applyAlignment="1">
      <alignment horizontal="center" vertical="center" wrapText="1"/>
    </xf>
    <xf numFmtId="164" fontId="0" fillId="0" borderId="7" xfId="0" applyFill="1" applyBorder="1" applyAlignment="1">
      <alignment horizontal="center" vertical="center"/>
    </xf>
    <xf numFmtId="164" fontId="0" fillId="0" borderId="4" xfId="0" applyFill="1" applyBorder="1" applyAlignment="1">
      <alignment horizontal="center" vertical="center"/>
    </xf>
    <xf numFmtId="172" fontId="0" fillId="0" borderId="17" xfId="3" applyNumberFormat="1" applyFont="1" applyFill="1" applyBorder="1" applyAlignment="1">
      <alignment vertical="center"/>
    </xf>
    <xf numFmtId="172" fontId="0" fillId="0" borderId="18" xfId="3" applyNumberFormat="1" applyFont="1" applyFill="1" applyBorder="1" applyAlignment="1">
      <alignment vertical="center"/>
    </xf>
    <xf numFmtId="172" fontId="30" fillId="0" borderId="6" xfId="3" quotePrefix="1" applyNumberFormat="1" applyFont="1" applyFill="1" applyBorder="1" applyAlignment="1">
      <alignment vertical="center"/>
    </xf>
    <xf numFmtId="172" fontId="30" fillId="0" borderId="6" xfId="3" applyNumberFormat="1" applyFont="1" applyFill="1" applyBorder="1" applyAlignment="1">
      <alignment vertical="center"/>
    </xf>
    <xf numFmtId="0" fontId="0" fillId="0" borderId="0" xfId="0" applyNumberFormat="1" applyAlignment="1"/>
    <xf numFmtId="0" fontId="9" fillId="6" borderId="2" xfId="0" applyNumberFormat="1" applyFont="1" applyFill="1" applyBorder="1" applyAlignment="1">
      <alignment vertical="center"/>
    </xf>
    <xf numFmtId="43" fontId="6" fillId="0" borderId="7" xfId="5" applyFont="1" applyBorder="1" applyAlignment="1">
      <alignment vertical="center"/>
    </xf>
    <xf numFmtId="43" fontId="6" fillId="0" borderId="6" xfId="5" applyFont="1" applyBorder="1" applyAlignment="1">
      <alignment vertical="center"/>
    </xf>
    <xf numFmtId="43" fontId="27" fillId="0" borderId="6" xfId="5" applyFont="1" applyFill="1" applyBorder="1" applyAlignment="1">
      <alignment vertical="center"/>
    </xf>
    <xf numFmtId="43" fontId="27" fillId="0" borderId="4" xfId="5" applyFont="1" applyFill="1" applyBorder="1" applyAlignment="1">
      <alignment vertical="center"/>
    </xf>
    <xf numFmtId="164" fontId="0" fillId="9" borderId="7" xfId="0" applyFill="1" applyBorder="1"/>
    <xf numFmtId="164" fontId="0" fillId="9" borderId="6" xfId="0" applyFill="1" applyBorder="1"/>
    <xf numFmtId="0" fontId="6" fillId="0" borderId="6" xfId="2" quotePrefix="1" applyNumberFormat="1" applyFont="1" applyFill="1" applyBorder="1" applyAlignment="1">
      <alignment vertical="center"/>
    </xf>
    <xf numFmtId="0" fontId="0" fillId="0" borderId="6" xfId="0" applyNumberFormat="1" applyFill="1" applyBorder="1" applyAlignment="1"/>
    <xf numFmtId="164" fontId="0" fillId="9" borderId="4" xfId="0" applyFill="1" applyBorder="1"/>
    <xf numFmtId="0" fontId="0" fillId="0" borderId="4" xfId="0" applyNumberFormat="1" applyFill="1" applyBorder="1" applyAlignment="1"/>
    <xf numFmtId="1" fontId="0" fillId="0" borderId="7" xfId="0" applyNumberFormat="1" applyFill="1" applyBorder="1"/>
    <xf numFmtId="0" fontId="0" fillId="0" borderId="7" xfId="0" applyNumberFormat="1" applyFill="1" applyBorder="1"/>
    <xf numFmtId="0" fontId="0" fillId="0" borderId="7" xfId="0" applyNumberFormat="1" applyFill="1" applyBorder="1" applyAlignment="1"/>
    <xf numFmtId="1" fontId="0" fillId="0" borderId="7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64" fontId="0" fillId="0" borderId="7" xfId="0" applyBorder="1" applyAlignment="1">
      <alignment horizontal="center" vertical="center"/>
    </xf>
    <xf numFmtId="164" fontId="0" fillId="0" borderId="6" xfId="0" applyBorder="1" applyAlignment="1">
      <alignment horizontal="center" vertical="center"/>
    </xf>
    <xf numFmtId="164" fontId="0" fillId="0" borderId="4" xfId="0" applyBorder="1" applyAlignment="1">
      <alignment horizontal="center" vertical="center"/>
    </xf>
    <xf numFmtId="164" fontId="0" fillId="0" borderId="7" xfId="0" applyBorder="1" applyAlignment="1">
      <alignment horizontal="center"/>
    </xf>
    <xf numFmtId="164" fontId="0" fillId="0" borderId="6" xfId="0" applyBorder="1" applyAlignment="1">
      <alignment horizontal="center"/>
    </xf>
    <xf numFmtId="164" fontId="0" fillId="9" borderId="5" xfId="0" applyFill="1" applyBorder="1" applyAlignment="1"/>
    <xf numFmtId="0" fontId="0" fillId="0" borderId="5" xfId="0" applyNumberFormat="1" applyFill="1" applyBorder="1" applyAlignment="1"/>
    <xf numFmtId="43" fontId="0" fillId="0" borderId="5" xfId="3" applyNumberFormat="1" applyFont="1" applyFill="1" applyBorder="1" applyAlignment="1">
      <alignment horizontal="center"/>
    </xf>
    <xf numFmtId="164" fontId="0" fillId="0" borderId="7" xfId="0" applyBorder="1" applyAlignment="1">
      <alignment horizontal="center"/>
    </xf>
    <xf numFmtId="164" fontId="0" fillId="0" borderId="6" xfId="0" applyBorder="1" applyAlignment="1">
      <alignment horizontal="center"/>
    </xf>
    <xf numFmtId="164" fontId="0" fillId="9" borderId="6" xfId="0" applyFill="1" applyBorder="1" applyAlignment="1"/>
    <xf numFmtId="164" fontId="0" fillId="0" borderId="7" xfId="0" applyFill="1" applyBorder="1" applyAlignment="1"/>
    <xf numFmtId="164" fontId="0" fillId="9" borderId="7" xfId="0" applyFill="1" applyBorder="1" applyAlignment="1"/>
    <xf numFmtId="49" fontId="28" fillId="0" borderId="24" xfId="0" applyNumberFormat="1" applyFont="1" applyFill="1" applyBorder="1" applyAlignment="1" applyProtection="1">
      <alignment horizontal="center" vertical="center" readingOrder="1"/>
    </xf>
    <xf numFmtId="164" fontId="0" fillId="0" borderId="24" xfId="0" applyFill="1" applyBorder="1"/>
    <xf numFmtId="1" fontId="0" fillId="0" borderId="24" xfId="0" applyNumberFormat="1" applyFill="1" applyBorder="1"/>
    <xf numFmtId="14" fontId="28" fillId="0" borderId="24" xfId="0" applyNumberFormat="1" applyFont="1" applyFill="1" applyBorder="1" applyAlignment="1" applyProtection="1">
      <alignment horizontal="center" vertical="center" readingOrder="1"/>
    </xf>
    <xf numFmtId="164" fontId="0" fillId="0" borderId="24" xfId="0" applyFill="1" applyBorder="1" applyAlignment="1">
      <alignment horizontal="center"/>
    </xf>
    <xf numFmtId="164" fontId="0" fillId="0" borderId="17" xfId="0" applyFill="1" applyBorder="1" applyAlignment="1">
      <alignment horizontal="center"/>
    </xf>
    <xf numFmtId="164" fontId="0" fillId="0" borderId="18" xfId="0" applyFill="1" applyBorder="1" applyAlignment="1">
      <alignment horizontal="center"/>
    </xf>
    <xf numFmtId="0" fontId="0" fillId="0" borderId="0" xfId="0" applyNumberFormat="1" applyBorder="1"/>
    <xf numFmtId="1" fontId="0" fillId="0" borderId="0" xfId="0" applyNumberFormat="1" applyBorder="1"/>
    <xf numFmtId="164" fontId="0" fillId="0" borderId="0" xfId="0" applyBorder="1" applyAlignment="1">
      <alignment horizontal="center"/>
    </xf>
    <xf numFmtId="164" fontId="0" fillId="0" borderId="18" xfId="0" applyBorder="1" applyAlignment="1">
      <alignment horizontal="center"/>
    </xf>
    <xf numFmtId="164" fontId="0" fillId="9" borderId="4" xfId="0" applyFill="1" applyBorder="1" applyAlignment="1"/>
    <xf numFmtId="49" fontId="28" fillId="0" borderId="25" xfId="0" applyNumberFormat="1" applyFont="1" applyFill="1" applyBorder="1" applyAlignment="1" applyProtection="1">
      <alignment horizontal="center" vertical="center" readingOrder="1"/>
    </xf>
    <xf numFmtId="164" fontId="0" fillId="0" borderId="25" xfId="0" applyBorder="1"/>
    <xf numFmtId="1" fontId="0" fillId="0" borderId="25" xfId="0" applyNumberFormat="1" applyFill="1" applyBorder="1"/>
    <xf numFmtId="0" fontId="0" fillId="0" borderId="25" xfId="0" applyNumberFormat="1" applyBorder="1"/>
    <xf numFmtId="14" fontId="28" fillId="0" borderId="25" xfId="0" applyNumberFormat="1" applyFont="1" applyFill="1" applyBorder="1" applyAlignment="1" applyProtection="1">
      <alignment horizontal="center" vertical="center" readingOrder="1"/>
    </xf>
    <xf numFmtId="1" fontId="0" fillId="0" borderId="25" xfId="0" applyNumberFormat="1" applyBorder="1"/>
    <xf numFmtId="164" fontId="0" fillId="0" borderId="25" xfId="0" applyBorder="1" applyAlignment="1">
      <alignment horizontal="center"/>
    </xf>
    <xf numFmtId="164" fontId="0" fillId="0" borderId="22" xfId="0" applyBorder="1" applyAlignment="1">
      <alignment horizontal="center"/>
    </xf>
    <xf numFmtId="0" fontId="0" fillId="0" borderId="7" xfId="0" applyNumberFormat="1" applyBorder="1" applyAlignment="1"/>
    <xf numFmtId="14" fontId="28" fillId="0" borderId="7" xfId="0" applyNumberFormat="1" applyFont="1" applyFill="1" applyBorder="1" applyAlignment="1" applyProtection="1">
      <alignment horizontal="center" vertical="center" readingOrder="1"/>
    </xf>
    <xf numFmtId="0" fontId="0" fillId="0" borderId="6" xfId="0" applyNumberFormat="1" applyBorder="1" applyAlignment="1"/>
    <xf numFmtId="0" fontId="0" fillId="0" borderId="4" xfId="0" applyNumberFormat="1" applyBorder="1" applyAlignment="1"/>
    <xf numFmtId="1" fontId="0" fillId="0" borderId="23" xfId="0" applyNumberFormat="1" applyBorder="1" applyAlignment="1">
      <alignment horizontal="center" vertical="center"/>
    </xf>
    <xf numFmtId="164" fontId="0" fillId="0" borderId="24" xfId="0" applyBorder="1" applyAlignment="1">
      <alignment horizontal="center" vertical="center"/>
    </xf>
    <xf numFmtId="164" fontId="0" fillId="0" borderId="24" xfId="0" applyBorder="1"/>
    <xf numFmtId="0" fontId="0" fillId="0" borderId="24" xfId="0" applyNumberFormat="1" applyBorder="1"/>
    <xf numFmtId="1" fontId="0" fillId="0" borderId="20" xfId="0" applyNumberFormat="1" applyBorder="1" applyAlignment="1">
      <alignment horizontal="center" vertical="center"/>
    </xf>
    <xf numFmtId="164" fontId="0" fillId="0" borderId="0" xfId="0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64" fontId="0" fillId="0" borderId="25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64" fontId="0" fillId="0" borderId="7" xfId="0" applyBorder="1" applyAlignment="1">
      <alignment horizontal="center" vertical="center"/>
    </xf>
    <xf numFmtId="164" fontId="0" fillId="0" borderId="6" xfId="0" applyBorder="1" applyAlignment="1">
      <alignment horizontal="center" vertical="center"/>
    </xf>
    <xf numFmtId="164" fontId="0" fillId="0" borderId="4" xfId="0" applyBorder="1" applyAlignment="1">
      <alignment horizontal="center" vertical="center"/>
    </xf>
    <xf numFmtId="164" fontId="0" fillId="0" borderId="7" xfId="0" applyBorder="1" applyAlignment="1">
      <alignment horizontal="center"/>
    </xf>
    <xf numFmtId="164" fontId="0" fillId="0" borderId="6" xfId="0" applyBorder="1" applyAlignment="1">
      <alignment horizontal="center"/>
    </xf>
    <xf numFmtId="1" fontId="0" fillId="0" borderId="7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64" fontId="0" fillId="0" borderId="7" xfId="0" applyBorder="1" applyAlignment="1">
      <alignment horizontal="center"/>
    </xf>
    <xf numFmtId="164" fontId="0" fillId="0" borderId="6" xfId="0" applyBorder="1" applyAlignment="1">
      <alignment horizontal="center"/>
    </xf>
    <xf numFmtId="172" fontId="0" fillId="0" borderId="22" xfId="3" applyNumberFormat="1" applyFont="1" applyFill="1" applyBorder="1" applyAlignment="1">
      <alignment vertical="center"/>
    </xf>
    <xf numFmtId="1" fontId="0" fillId="0" borderId="24" xfId="0" applyNumberFormat="1" applyBorder="1"/>
    <xf numFmtId="0" fontId="0" fillId="0" borderId="23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164" fontId="0" fillId="0" borderId="24" xfId="0" applyFill="1" applyBorder="1" applyAlignment="1"/>
    <xf numFmtId="174" fontId="2" fillId="0" borderId="0" xfId="0" applyNumberFormat="1" applyFont="1" applyFill="1" applyAlignment="1">
      <alignment horizontal="center" vertical="center"/>
    </xf>
    <xf numFmtId="174" fontId="0" fillId="0" borderId="0" xfId="0" applyNumberFormat="1" applyAlignment="1">
      <alignment horizontal="center" vertical="center"/>
    </xf>
    <xf numFmtId="174" fontId="0" fillId="0" borderId="7" xfId="0" applyNumberFormat="1" applyBorder="1" applyAlignment="1">
      <alignment horizontal="center" vertical="center"/>
    </xf>
    <xf numFmtId="174" fontId="0" fillId="0" borderId="6" xfId="0" applyNumberFormat="1" applyBorder="1" applyAlignment="1">
      <alignment horizontal="center" vertical="center"/>
    </xf>
    <xf numFmtId="174" fontId="0" fillId="0" borderId="4" xfId="0" applyNumberFormat="1" applyBorder="1" applyAlignment="1">
      <alignment horizontal="center" vertical="center"/>
    </xf>
    <xf numFmtId="174" fontId="0" fillId="0" borderId="24" xfId="0" applyNumberFormat="1" applyBorder="1" applyAlignment="1">
      <alignment horizontal="center" vertical="center"/>
    </xf>
    <xf numFmtId="174" fontId="0" fillId="0" borderId="0" xfId="0" applyNumberFormat="1" applyBorder="1" applyAlignment="1">
      <alignment horizontal="center" vertical="center"/>
    </xf>
    <xf numFmtId="174" fontId="0" fillId="0" borderId="25" xfId="0" applyNumberFormat="1" applyBorder="1" applyAlignment="1">
      <alignment horizontal="center" vertical="center"/>
    </xf>
    <xf numFmtId="174" fontId="0" fillId="0" borderId="7" xfId="0" applyNumberFormat="1" applyFill="1" applyBorder="1" applyAlignment="1">
      <alignment horizontal="center"/>
    </xf>
    <xf numFmtId="174" fontId="0" fillId="0" borderId="6" xfId="0" applyNumberFormat="1" applyFill="1" applyBorder="1" applyAlignment="1">
      <alignment horizontal="center"/>
    </xf>
    <xf numFmtId="174" fontId="0" fillId="0" borderId="4" xfId="0" applyNumberFormat="1" applyFill="1" applyBorder="1" applyAlignment="1">
      <alignment horizontal="center"/>
    </xf>
    <xf numFmtId="174" fontId="0" fillId="0" borderId="5" xfId="0" applyNumberFormat="1" applyFill="1" applyBorder="1" applyAlignment="1">
      <alignment horizontal="center" vertical="center"/>
    </xf>
    <xf numFmtId="174" fontId="0" fillId="0" borderId="5" xfId="0" applyNumberFormat="1" applyFill="1" applyBorder="1" applyAlignment="1">
      <alignment horizontal="center"/>
    </xf>
    <xf numFmtId="164" fontId="2" fillId="0" borderId="0" xfId="0" applyFont="1" applyAlignment="1">
      <alignment horizontal="center" vertical="center"/>
    </xf>
    <xf numFmtId="172" fontId="0" fillId="0" borderId="6" xfId="3" applyNumberFormat="1" applyFont="1" applyFill="1" applyBorder="1" applyAlignment="1">
      <alignment horizontal="center" vertical="center"/>
    </xf>
    <xf numFmtId="172" fontId="0" fillId="0" borderId="4" xfId="3" applyNumberFormat="1" applyFont="1" applyFill="1" applyBorder="1" applyAlignment="1">
      <alignment horizontal="center" vertical="center"/>
    </xf>
    <xf numFmtId="164" fontId="9" fillId="6" borderId="9" xfId="0" applyFont="1" applyFill="1" applyBorder="1" applyAlignment="1">
      <alignment horizontal="center" vertical="center"/>
    </xf>
    <xf numFmtId="164" fontId="9" fillId="6" borderId="11" xfId="0" applyFont="1" applyFill="1" applyBorder="1" applyAlignment="1">
      <alignment horizontal="center" vertical="center"/>
    </xf>
    <xf numFmtId="164" fontId="9" fillId="6" borderId="10" xfId="0" applyFont="1" applyFill="1" applyBorder="1" applyAlignment="1">
      <alignment horizontal="center" vertical="center"/>
    </xf>
    <xf numFmtId="164" fontId="0" fillId="0" borderId="6" xfId="0" applyFill="1" applyBorder="1" applyAlignment="1">
      <alignment horizontal="center" vertical="center"/>
    </xf>
    <xf numFmtId="164" fontId="0" fillId="0" borderId="7" xfId="0" applyBorder="1" applyAlignment="1">
      <alignment horizontal="center" vertical="center"/>
    </xf>
    <xf numFmtId="164" fontId="0" fillId="0" borderId="6" xfId="0" applyBorder="1" applyAlignment="1">
      <alignment horizontal="center" vertical="center"/>
    </xf>
    <xf numFmtId="164" fontId="0" fillId="0" borderId="4" xfId="0" applyBorder="1" applyAlignment="1">
      <alignment horizontal="center" vertical="center"/>
    </xf>
    <xf numFmtId="43" fontId="0" fillId="0" borderId="7" xfId="3" applyFont="1" applyFill="1" applyBorder="1" applyAlignment="1">
      <alignment vertical="center"/>
    </xf>
    <xf numFmtId="43" fontId="0" fillId="0" borderId="4" xfId="3" applyFont="1" applyFill="1" applyBorder="1" applyAlignment="1">
      <alignment vertical="center"/>
    </xf>
    <xf numFmtId="166" fontId="0" fillId="0" borderId="23" xfId="3" applyNumberFormat="1" applyFont="1" applyBorder="1" applyAlignment="1">
      <alignment vertical="center"/>
    </xf>
    <xf numFmtId="166" fontId="0" fillId="0" borderId="20" xfId="3" applyNumberFormat="1" applyFont="1" applyBorder="1" applyAlignment="1">
      <alignment vertical="center"/>
    </xf>
    <xf numFmtId="166" fontId="0" fillId="0" borderId="21" xfId="3" applyNumberFormat="1" applyFont="1" applyBorder="1" applyAlignment="1">
      <alignment vertical="center"/>
    </xf>
    <xf numFmtId="172" fontId="0" fillId="0" borderId="23" xfId="3" applyNumberFormat="1" applyFont="1" applyBorder="1" applyAlignment="1">
      <alignment vertical="center"/>
    </xf>
    <xf numFmtId="172" fontId="0" fillId="0" borderId="20" xfId="3" applyNumberFormat="1" applyFont="1" applyBorder="1" applyAlignment="1">
      <alignment vertical="center"/>
    </xf>
    <xf numFmtId="172" fontId="0" fillId="0" borderId="21" xfId="3" applyNumberFormat="1" applyFont="1" applyBorder="1" applyAlignment="1">
      <alignment vertical="center"/>
    </xf>
    <xf numFmtId="43" fontId="0" fillId="0" borderId="23" xfId="3" applyNumberFormat="1" applyFont="1" applyBorder="1" applyAlignment="1">
      <alignment vertical="center"/>
    </xf>
    <xf numFmtId="43" fontId="0" fillId="0" borderId="21" xfId="3" applyNumberFormat="1" applyFont="1" applyBorder="1" applyAlignment="1">
      <alignment vertical="center"/>
    </xf>
    <xf numFmtId="165" fontId="6" fillId="0" borderId="7" xfId="2" applyNumberFormat="1" applyFont="1" applyBorder="1" applyAlignment="1">
      <alignment horizontal="center" vertical="center"/>
    </xf>
    <xf numFmtId="2" fontId="6" fillId="0" borderId="7" xfId="2" applyNumberFormat="1" applyFont="1" applyBorder="1" applyAlignment="1">
      <alignment horizontal="center" vertical="center"/>
    </xf>
    <xf numFmtId="165" fontId="6" fillId="0" borderId="6" xfId="2" applyNumberFormat="1" applyFont="1" applyBorder="1" applyAlignment="1">
      <alignment horizontal="center" vertical="center"/>
    </xf>
    <xf numFmtId="2" fontId="6" fillId="0" borderId="6" xfId="2" applyNumberFormat="1" applyFont="1" applyBorder="1" applyAlignment="1">
      <alignment horizontal="center" vertical="center"/>
    </xf>
    <xf numFmtId="165" fontId="6" fillId="0" borderId="4" xfId="2" applyNumberFormat="1" applyFont="1" applyBorder="1" applyAlignment="1">
      <alignment horizontal="center" vertical="center"/>
    </xf>
    <xf numFmtId="2" fontId="6" fillId="0" borderId="4" xfId="2" applyNumberFormat="1" applyFont="1" applyBorder="1" applyAlignment="1">
      <alignment horizontal="center" vertical="center"/>
    </xf>
    <xf numFmtId="43" fontId="6" fillId="0" borderId="4" xfId="5" applyFont="1" applyBorder="1" applyAlignment="1">
      <alignment vertical="center"/>
    </xf>
    <xf numFmtId="1" fontId="171" fillId="0" borderId="5" xfId="2" quotePrefix="1" applyNumberFormat="1" applyFont="1" applyBorder="1" applyAlignment="1">
      <alignment vertical="center" wrapText="1"/>
    </xf>
    <xf numFmtId="165" fontId="171" fillId="0" borderId="5" xfId="2" applyNumberFormat="1" applyFont="1" applyBorder="1" applyAlignment="1">
      <alignment vertical="center" wrapText="1"/>
    </xf>
    <xf numFmtId="174" fontId="0" fillId="0" borderId="5" xfId="0" applyNumberFormat="1" applyFill="1" applyBorder="1" applyAlignment="1">
      <alignment horizontal="left"/>
    </xf>
    <xf numFmtId="0" fontId="171" fillId="0" borderId="45" xfId="2" quotePrefix="1" applyNumberFormat="1" applyFont="1" applyBorder="1" applyAlignment="1">
      <alignment horizontal="center" vertical="center"/>
    </xf>
    <xf numFmtId="165" fontId="171" fillId="0" borderId="5" xfId="2" applyNumberFormat="1" applyFont="1" applyBorder="1" applyAlignment="1">
      <alignment horizontal="center" vertical="center"/>
    </xf>
    <xf numFmtId="2" fontId="171" fillId="0" borderId="5" xfId="2" applyNumberFormat="1" applyFont="1" applyBorder="1" applyAlignment="1">
      <alignment horizontal="center" vertical="center"/>
    </xf>
    <xf numFmtId="164" fontId="0" fillId="0" borderId="20" xfId="0" applyFill="1" applyBorder="1"/>
    <xf numFmtId="164" fontId="0" fillId="0" borderId="18" xfId="0" applyFill="1" applyBorder="1"/>
    <xf numFmtId="164" fontId="0" fillId="9" borderId="5" xfId="0" applyFill="1" applyBorder="1"/>
    <xf numFmtId="43" fontId="0" fillId="0" borderId="5" xfId="3" applyNumberFormat="1" applyFont="1" applyFill="1" applyBorder="1" applyAlignment="1">
      <alignment vertical="center"/>
    </xf>
    <xf numFmtId="0" fontId="6" fillId="0" borderId="7" xfId="2" quotePrefix="1" applyNumberFormat="1" applyFont="1" applyFill="1" applyBorder="1" applyAlignment="1">
      <alignment vertical="center"/>
    </xf>
    <xf numFmtId="0" fontId="6" fillId="0" borderId="4" xfId="2" quotePrefix="1" applyNumberFormat="1" applyFont="1" applyFill="1" applyBorder="1" applyAlignment="1">
      <alignment vertical="center"/>
    </xf>
    <xf numFmtId="164" fontId="171" fillId="0" borderId="5" xfId="0" applyFont="1" applyBorder="1" applyAlignment="1">
      <alignment vertical="center"/>
    </xf>
    <xf numFmtId="164" fontId="0" fillId="0" borderId="5" xfId="0" quotePrefix="1" applyFill="1" applyBorder="1" applyAlignment="1">
      <alignment vertical="center"/>
    </xf>
    <xf numFmtId="37" fontId="10" fillId="4" borderId="2" xfId="3" applyNumberFormat="1" applyFont="1" applyFill="1" applyBorder="1" applyAlignment="1">
      <alignment vertical="center" wrapText="1"/>
    </xf>
    <xf numFmtId="164" fontId="0" fillId="0" borderId="0" xfId="0" applyAlignment="1">
      <alignment vertical="center"/>
    </xf>
    <xf numFmtId="49" fontId="28" fillId="0" borderId="7" xfId="0" applyNumberFormat="1" applyFont="1" applyFill="1" applyBorder="1" applyAlignment="1" applyProtection="1">
      <alignment horizontal="center" vertical="center" readingOrder="1"/>
    </xf>
    <xf numFmtId="49" fontId="28" fillId="0" borderId="4" xfId="0" applyNumberFormat="1" applyFont="1" applyFill="1" applyBorder="1" applyAlignment="1" applyProtection="1">
      <alignment horizontal="center" vertical="center" readingOrder="1"/>
    </xf>
    <xf numFmtId="49" fontId="28" fillId="0" borderId="6" xfId="0" applyNumberFormat="1" applyFont="1" applyFill="1" applyBorder="1" applyAlignment="1" applyProtection="1">
      <alignment horizontal="center" vertical="center" readingOrder="1"/>
    </xf>
    <xf numFmtId="43" fontId="0" fillId="0" borderId="4" xfId="3" applyFont="1" applyFill="1" applyBorder="1" applyAlignment="1">
      <alignment horizontal="center"/>
    </xf>
    <xf numFmtId="164" fontId="2" fillId="0" borderId="0" xfId="0" applyFont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64" fontId="9" fillId="2" borderId="2" xfId="0" applyFont="1" applyFill="1" applyBorder="1" applyAlignment="1">
      <alignment horizontal="center" vertical="center"/>
    </xf>
    <xf numFmtId="164" fontId="9" fillId="2" borderId="2" xfId="0" applyFont="1" applyFill="1" applyBorder="1" applyAlignment="1">
      <alignment horizontal="center" vertical="center" wrapText="1"/>
    </xf>
    <xf numFmtId="172" fontId="0" fillId="0" borderId="6" xfId="3" applyNumberFormat="1" applyFont="1" applyFill="1" applyBorder="1" applyAlignment="1">
      <alignment horizontal="center" vertical="center"/>
    </xf>
    <xf numFmtId="172" fontId="0" fillId="0" borderId="4" xfId="3" applyNumberFormat="1" applyFont="1" applyFill="1" applyBorder="1" applyAlignment="1">
      <alignment horizontal="center" vertical="center"/>
    </xf>
    <xf numFmtId="172" fontId="0" fillId="0" borderId="7" xfId="3" applyNumberFormat="1" applyFont="1" applyFill="1" applyBorder="1" applyAlignment="1">
      <alignment horizontal="center" vertical="center"/>
    </xf>
    <xf numFmtId="172" fontId="0" fillId="0" borderId="6" xfId="3" applyNumberFormat="1" applyFont="1" applyFill="1" applyBorder="1" applyAlignment="1">
      <alignment horizontal="center" vertical="center"/>
    </xf>
    <xf numFmtId="43" fontId="0" fillId="0" borderId="6" xfId="3" applyFont="1" applyBorder="1" applyAlignment="1">
      <alignment vertical="center"/>
    </xf>
    <xf numFmtId="43" fontId="0" fillId="0" borderId="5" xfId="3" applyFont="1" applyBorder="1" applyAlignment="1">
      <alignment vertical="center"/>
    </xf>
    <xf numFmtId="43" fontId="25" fillId="0" borderId="7" xfId="0" applyNumberFormat="1" applyFont="1" applyFill="1" applyBorder="1" applyAlignment="1">
      <alignment vertical="center"/>
    </xf>
    <xf numFmtId="43" fontId="25" fillId="0" borderId="4" xfId="0" applyNumberFormat="1" applyFont="1" applyFill="1" applyBorder="1" applyAlignment="1">
      <alignment vertical="center"/>
    </xf>
    <xf numFmtId="43" fontId="25" fillId="0" borderId="6" xfId="0" applyNumberFormat="1" applyFont="1" applyFill="1" applyBorder="1" applyAlignment="1">
      <alignment vertical="center"/>
    </xf>
    <xf numFmtId="43" fontId="0" fillId="0" borderId="7" xfId="0" applyNumberFormat="1" applyBorder="1" applyAlignment="1"/>
    <xf numFmtId="43" fontId="0" fillId="0" borderId="6" xfId="0" applyNumberFormat="1" applyBorder="1" applyAlignment="1"/>
    <xf numFmtId="43" fontId="0" fillId="0" borderId="4" xfId="0" applyNumberFormat="1" applyBorder="1" applyAlignment="1"/>
    <xf numFmtId="1" fontId="6" fillId="0" borderId="5" xfId="2" quotePrefix="1" applyNumberFormat="1" applyFont="1" applyBorder="1" applyAlignment="1">
      <alignment vertical="center" wrapText="1"/>
    </xf>
    <xf numFmtId="165" fontId="6" fillId="0" borderId="5" xfId="2" applyNumberFormat="1" applyFont="1" applyBorder="1" applyAlignment="1">
      <alignment vertical="center" wrapText="1"/>
    </xf>
    <xf numFmtId="0" fontId="6" fillId="0" borderId="5" xfId="2" quotePrefix="1" applyNumberFormat="1" applyFont="1" applyBorder="1" applyAlignment="1">
      <alignment horizontal="center" vertical="center"/>
    </xf>
    <xf numFmtId="165" fontId="6" fillId="0" borderId="5" xfId="2" applyNumberFormat="1" applyFont="1" applyBorder="1" applyAlignment="1">
      <alignment horizontal="center" vertical="center"/>
    </xf>
    <xf numFmtId="2" fontId="6" fillId="0" borderId="5" xfId="2" applyNumberFormat="1" applyFont="1" applyBorder="1" applyAlignment="1">
      <alignment horizontal="center" vertical="center"/>
    </xf>
    <xf numFmtId="172" fontId="0" fillId="0" borderId="45" xfId="3" applyNumberFormat="1" applyFont="1" applyFill="1" applyBorder="1" applyAlignment="1">
      <alignment vertical="center"/>
    </xf>
    <xf numFmtId="165" fontId="173" fillId="0" borderId="5" xfId="2" applyNumberFormat="1" applyFont="1" applyBorder="1" applyAlignment="1">
      <alignment vertical="center" wrapText="1"/>
    </xf>
    <xf numFmtId="164" fontId="173" fillId="0" borderId="5" xfId="0" applyFont="1" applyBorder="1" applyAlignment="1">
      <alignment vertical="center"/>
    </xf>
    <xf numFmtId="0" fontId="173" fillId="0" borderId="45" xfId="2" quotePrefix="1" applyNumberFormat="1" applyFont="1" applyBorder="1" applyAlignment="1">
      <alignment horizontal="center" vertical="center"/>
    </xf>
    <xf numFmtId="165" fontId="173" fillId="0" borderId="5" xfId="2" applyNumberFormat="1" applyFont="1" applyBorder="1" applyAlignment="1">
      <alignment horizontal="center" vertical="center"/>
    </xf>
    <xf numFmtId="2" fontId="173" fillId="0" borderId="5" xfId="2" applyNumberFormat="1" applyFont="1" applyBorder="1" applyAlignment="1">
      <alignment horizontal="center" vertical="center"/>
    </xf>
    <xf numFmtId="172" fontId="0" fillId="0" borderId="5" xfId="3" applyNumberFormat="1" applyFont="1" applyFill="1" applyBorder="1" applyAlignment="1">
      <alignment horizontal="center" vertical="center"/>
    </xf>
    <xf numFmtId="165" fontId="173" fillId="0" borderId="7" xfId="2" applyNumberFormat="1" applyFont="1" applyBorder="1" applyAlignment="1">
      <alignment vertical="center" wrapText="1"/>
    </xf>
    <xf numFmtId="164" fontId="173" fillId="0" borderId="7" xfId="0" applyFont="1" applyBorder="1" applyAlignment="1">
      <alignment vertical="center"/>
    </xf>
    <xf numFmtId="0" fontId="173" fillId="0" borderId="17" xfId="2" quotePrefix="1" applyNumberFormat="1" applyFont="1" applyBorder="1" applyAlignment="1">
      <alignment horizontal="center" vertical="center"/>
    </xf>
    <xf numFmtId="165" fontId="173" fillId="0" borderId="7" xfId="2" applyNumberFormat="1" applyFont="1" applyBorder="1" applyAlignment="1">
      <alignment horizontal="center" vertical="center"/>
    </xf>
    <xf numFmtId="2" fontId="173" fillId="0" borderId="7" xfId="2" applyNumberFormat="1" applyFont="1" applyBorder="1" applyAlignment="1">
      <alignment horizontal="center" vertical="center"/>
    </xf>
    <xf numFmtId="164" fontId="0" fillId="0" borderId="23" xfId="0" applyFill="1" applyBorder="1"/>
    <xf numFmtId="164" fontId="0" fillId="0" borderId="17" xfId="0" applyFill="1" applyBorder="1"/>
    <xf numFmtId="164" fontId="0" fillId="0" borderId="21" xfId="0" applyFill="1" applyBorder="1"/>
    <xf numFmtId="164" fontId="0" fillId="0" borderId="22" xfId="0" applyFill="1" applyBorder="1"/>
    <xf numFmtId="43" fontId="0" fillId="0" borderId="6" xfId="3" applyFont="1" applyFill="1" applyBorder="1" applyAlignment="1">
      <alignment vertical="center"/>
    </xf>
    <xf numFmtId="164" fontId="2" fillId="0" borderId="0" xfId="0" applyFont="1" applyAlignment="1">
      <alignment horizontal="center" vertical="center"/>
    </xf>
    <xf numFmtId="164" fontId="9" fillId="2" borderId="2" xfId="0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64" fontId="9" fillId="2" borderId="2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vertical="center" wrapText="1"/>
    </xf>
    <xf numFmtId="43" fontId="9" fillId="2" borderId="2" xfId="0" applyNumberFormat="1" applyFont="1" applyFill="1" applyBorder="1" applyAlignment="1">
      <alignment vertical="center"/>
    </xf>
    <xf numFmtId="172" fontId="0" fillId="0" borderId="4" xfId="3" applyNumberFormat="1" applyFont="1" applyFill="1" applyBorder="1" applyAlignment="1">
      <alignment horizontal="center" vertical="center"/>
    </xf>
    <xf numFmtId="164" fontId="7" fillId="9" borderId="7" xfId="1" applyFont="1" applyFill="1" applyBorder="1" applyAlignment="1">
      <alignment horizontal="left" vertical="center" wrapText="1"/>
    </xf>
    <xf numFmtId="164" fontId="173" fillId="0" borderId="7" xfId="0" applyFont="1" applyBorder="1" applyAlignment="1">
      <alignment horizontal="center" vertical="center"/>
    </xf>
    <xf numFmtId="43" fontId="174" fillId="0" borderId="7" xfId="5" applyFont="1" applyBorder="1" applyAlignment="1">
      <alignment horizontal="center" vertical="center"/>
    </xf>
    <xf numFmtId="43" fontId="0" fillId="0" borderId="7" xfId="3" applyFont="1" applyBorder="1" applyAlignment="1">
      <alignment vertical="center"/>
    </xf>
    <xf numFmtId="1" fontId="30" fillId="0" borderId="7" xfId="0" applyNumberFormat="1" applyFont="1" applyBorder="1" applyAlignment="1">
      <alignment horizontal="center" vertical="center"/>
    </xf>
    <xf numFmtId="164" fontId="30" fillId="0" borderId="7" xfId="0" applyFont="1" applyFill="1" applyBorder="1" applyAlignment="1"/>
    <xf numFmtId="174" fontId="30" fillId="0" borderId="7" xfId="0" applyNumberFormat="1" applyFont="1" applyBorder="1" applyAlignment="1">
      <alignment horizontal="center" vertical="center"/>
    </xf>
    <xf numFmtId="164" fontId="30" fillId="9" borderId="7" xfId="0" applyFont="1" applyFill="1" applyBorder="1" applyAlignment="1"/>
    <xf numFmtId="164" fontId="30" fillId="0" borderId="7" xfId="0" applyFont="1" applyBorder="1" applyAlignment="1">
      <alignment horizontal="center" vertical="center"/>
    </xf>
    <xf numFmtId="164" fontId="30" fillId="0" borderId="7" xfId="0" applyFont="1" applyBorder="1"/>
    <xf numFmtId="1" fontId="30" fillId="0" borderId="7" xfId="0" applyNumberFormat="1" applyFont="1" applyFill="1" applyBorder="1"/>
    <xf numFmtId="0" fontId="30" fillId="0" borderId="23" xfId="0" applyNumberFormat="1" applyFont="1" applyBorder="1"/>
    <xf numFmtId="0" fontId="30" fillId="0" borderId="7" xfId="0" applyNumberFormat="1" applyFont="1" applyBorder="1" applyAlignment="1"/>
    <xf numFmtId="164" fontId="175" fillId="0" borderId="7" xfId="0" applyFont="1" applyFill="1" applyBorder="1" applyAlignment="1">
      <alignment horizontal="center"/>
    </xf>
    <xf numFmtId="43" fontId="175" fillId="0" borderId="7" xfId="0" applyNumberFormat="1" applyFont="1" applyFill="1" applyBorder="1"/>
    <xf numFmtId="14" fontId="176" fillId="0" borderId="7" xfId="0" applyNumberFormat="1" applyFont="1" applyFill="1" applyBorder="1" applyAlignment="1" applyProtection="1">
      <alignment horizontal="center" vertical="center" readingOrder="1"/>
    </xf>
    <xf numFmtId="172" fontId="30" fillId="0" borderId="46" xfId="3" applyNumberFormat="1" applyFont="1" applyFill="1" applyBorder="1" applyAlignment="1">
      <alignment vertical="center"/>
    </xf>
    <xf numFmtId="1" fontId="30" fillId="0" borderId="7" xfId="0" applyNumberFormat="1" applyFont="1" applyBorder="1"/>
    <xf numFmtId="172" fontId="30" fillId="0" borderId="7" xfId="3" applyNumberFormat="1" applyFont="1" applyFill="1" applyBorder="1" applyAlignment="1">
      <alignment vertical="center"/>
    </xf>
    <xf numFmtId="164" fontId="30" fillId="0" borderId="7" xfId="0" applyFont="1" applyBorder="1" applyAlignment="1">
      <alignment horizontal="center"/>
    </xf>
    <xf numFmtId="172" fontId="30" fillId="0" borderId="7" xfId="3" applyNumberFormat="1" applyFont="1" applyFill="1" applyBorder="1" applyAlignment="1">
      <alignment horizontal="center" vertical="center"/>
    </xf>
    <xf numFmtId="1" fontId="30" fillId="0" borderId="6" xfId="0" applyNumberFormat="1" applyFont="1" applyBorder="1" applyAlignment="1">
      <alignment horizontal="center" vertical="center"/>
    </xf>
    <xf numFmtId="164" fontId="30" fillId="0" borderId="6" xfId="0" applyFont="1" applyFill="1" applyBorder="1" applyAlignment="1"/>
    <xf numFmtId="174" fontId="30" fillId="0" borderId="6" xfId="0" applyNumberFormat="1" applyFont="1" applyBorder="1" applyAlignment="1">
      <alignment horizontal="center" vertical="center"/>
    </xf>
    <xf numFmtId="164" fontId="30" fillId="9" borderId="6" xfId="0" applyFont="1" applyFill="1" applyBorder="1" applyAlignment="1"/>
    <xf numFmtId="164" fontId="30" fillId="0" borderId="6" xfId="0" applyFont="1" applyBorder="1" applyAlignment="1">
      <alignment horizontal="center" vertical="center"/>
    </xf>
    <xf numFmtId="164" fontId="30" fillId="0" borderId="6" xfId="0" applyFont="1" applyBorder="1"/>
    <xf numFmtId="1" fontId="30" fillId="0" borderId="6" xfId="0" applyNumberFormat="1" applyFont="1" applyFill="1" applyBorder="1"/>
    <xf numFmtId="0" fontId="30" fillId="0" borderId="20" xfId="0" applyNumberFormat="1" applyFont="1" applyBorder="1"/>
    <xf numFmtId="0" fontId="30" fillId="0" borderId="6" xfId="0" applyNumberFormat="1" applyFont="1" applyBorder="1" applyAlignment="1"/>
    <xf numFmtId="164" fontId="175" fillId="0" borderId="6" xfId="0" applyFont="1" applyFill="1" applyBorder="1" applyAlignment="1">
      <alignment horizontal="center"/>
    </xf>
    <xf numFmtId="43" fontId="175" fillId="0" borderId="6" xfId="0" applyNumberFormat="1" applyFont="1" applyFill="1" applyBorder="1"/>
    <xf numFmtId="14" fontId="176" fillId="0" borderId="6" xfId="0" applyNumberFormat="1" applyFont="1" applyFill="1" applyBorder="1" applyAlignment="1" applyProtection="1">
      <alignment horizontal="center" vertical="center" readingOrder="1"/>
    </xf>
    <xf numFmtId="172" fontId="30" fillId="0" borderId="18" xfId="3" applyNumberFormat="1" applyFont="1" applyFill="1" applyBorder="1" applyAlignment="1">
      <alignment vertical="center"/>
    </xf>
    <xf numFmtId="1" fontId="30" fillId="0" borderId="6" xfId="0" applyNumberFormat="1" applyFont="1" applyBorder="1"/>
    <xf numFmtId="164" fontId="30" fillId="0" borderId="6" xfId="0" applyFont="1" applyBorder="1" applyAlignment="1">
      <alignment horizontal="center"/>
    </xf>
    <xf numFmtId="172" fontId="30" fillId="0" borderId="6" xfId="3" applyNumberFormat="1" applyFont="1" applyFill="1" applyBorder="1" applyAlignment="1">
      <alignment horizontal="center" vertical="center"/>
    </xf>
    <xf numFmtId="1" fontId="30" fillId="0" borderId="4" xfId="0" applyNumberFormat="1" applyFont="1" applyBorder="1" applyAlignment="1">
      <alignment horizontal="center" vertical="center"/>
    </xf>
    <xf numFmtId="164" fontId="30" fillId="0" borderId="4" xfId="0" applyFont="1" applyFill="1" applyBorder="1" applyAlignment="1"/>
    <xf numFmtId="174" fontId="30" fillId="0" borderId="4" xfId="0" applyNumberFormat="1" applyFont="1" applyBorder="1" applyAlignment="1">
      <alignment horizontal="center" vertical="center"/>
    </xf>
    <xf numFmtId="164" fontId="30" fillId="9" borderId="4" xfId="0" applyFont="1" applyFill="1" applyBorder="1" applyAlignment="1"/>
    <xf numFmtId="164" fontId="30" fillId="0" borderId="4" xfId="0" applyFont="1" applyBorder="1" applyAlignment="1">
      <alignment horizontal="center" vertical="center"/>
    </xf>
    <xf numFmtId="164" fontId="30" fillId="0" borderId="4" xfId="0" applyFont="1" applyBorder="1"/>
    <xf numFmtId="1" fontId="30" fillId="0" borderId="4" xfId="0" applyNumberFormat="1" applyFont="1" applyFill="1" applyBorder="1"/>
    <xf numFmtId="0" fontId="30" fillId="0" borderId="21" xfId="0" applyNumberFormat="1" applyFont="1" applyBorder="1"/>
    <xf numFmtId="0" fontId="30" fillId="0" borderId="4" xfId="0" applyNumberFormat="1" applyFont="1" applyBorder="1" applyAlignment="1"/>
    <xf numFmtId="164" fontId="175" fillId="0" borderId="4" xfId="0" applyFont="1" applyFill="1" applyBorder="1" applyAlignment="1">
      <alignment horizontal="center"/>
    </xf>
    <xf numFmtId="43" fontId="175" fillId="0" borderId="4" xfId="0" applyNumberFormat="1" applyFont="1" applyFill="1" applyBorder="1"/>
    <xf numFmtId="14" fontId="176" fillId="0" borderId="4" xfId="0" applyNumberFormat="1" applyFont="1" applyFill="1" applyBorder="1" applyAlignment="1" applyProtection="1">
      <alignment horizontal="center" vertical="center" readingOrder="1"/>
    </xf>
    <xf numFmtId="172" fontId="30" fillId="0" borderId="22" xfId="3" applyNumberFormat="1" applyFont="1" applyFill="1" applyBorder="1" applyAlignment="1">
      <alignment vertical="center"/>
    </xf>
    <xf numFmtId="1" fontId="30" fillId="0" borderId="4" xfId="0" applyNumberFormat="1" applyFont="1" applyBorder="1"/>
    <xf numFmtId="172" fontId="30" fillId="0" borderId="4" xfId="3" applyNumberFormat="1" applyFont="1" applyFill="1" applyBorder="1" applyAlignment="1">
      <alignment vertical="center"/>
    </xf>
    <xf numFmtId="164" fontId="30" fillId="0" borderId="4" xfId="0" applyFont="1" applyBorder="1" applyAlignment="1">
      <alignment horizontal="center"/>
    </xf>
    <xf numFmtId="172" fontId="30" fillId="0" borderId="4" xfId="3" applyNumberFormat="1" applyFont="1" applyFill="1" applyBorder="1" applyAlignment="1">
      <alignment horizontal="center" vertical="center"/>
    </xf>
    <xf numFmtId="164" fontId="2" fillId="0" borderId="0" xfId="0" applyFont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64" fontId="9" fillId="2" borderId="2" xfId="0" applyFont="1" applyFill="1" applyBorder="1" applyAlignment="1">
      <alignment horizontal="center" vertical="center"/>
    </xf>
    <xf numFmtId="164" fontId="9" fillId="2" borderId="2" xfId="0" applyFont="1" applyFill="1" applyBorder="1" applyAlignment="1">
      <alignment horizontal="center" vertical="center" wrapText="1"/>
    </xf>
    <xf numFmtId="172" fontId="0" fillId="0" borderId="7" xfId="3" applyNumberFormat="1" applyFont="1" applyFill="1" applyBorder="1" applyAlignment="1">
      <alignment horizontal="center" vertical="center"/>
    </xf>
    <xf numFmtId="172" fontId="0" fillId="0" borderId="6" xfId="3" applyNumberFormat="1" applyFont="1" applyFill="1" applyBorder="1" applyAlignment="1">
      <alignment horizontal="center" vertical="center"/>
    </xf>
    <xf numFmtId="172" fontId="0" fillId="0" borderId="4" xfId="3" applyNumberFormat="1" applyFont="1" applyFill="1" applyBorder="1" applyAlignment="1">
      <alignment horizontal="center" vertical="center"/>
    </xf>
    <xf numFmtId="164" fontId="173" fillId="0" borderId="5" xfId="0" applyFont="1" applyBorder="1" applyAlignment="1">
      <alignment horizontal="center" vertical="center"/>
    </xf>
    <xf numFmtId="43" fontId="174" fillId="0" borderId="5" xfId="5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74" fontId="0" fillId="0" borderId="5" xfId="0" applyNumberFormat="1" applyBorder="1" applyAlignment="1">
      <alignment horizontal="center" vertical="center"/>
    </xf>
    <xf numFmtId="166" fontId="0" fillId="0" borderId="5" xfId="3" applyNumberFormat="1" applyFont="1" applyBorder="1" applyAlignment="1">
      <alignment vertical="center"/>
    </xf>
    <xf numFmtId="1" fontId="0" fillId="0" borderId="5" xfId="0" applyNumberFormat="1" applyBorder="1"/>
    <xf numFmtId="164" fontId="0" fillId="0" borderId="5" xfId="0" applyBorder="1" applyAlignment="1">
      <alignment horizontal="center"/>
    </xf>
    <xf numFmtId="43" fontId="0" fillId="0" borderId="5" xfId="0" applyNumberFormat="1" applyBorder="1" applyAlignment="1"/>
    <xf numFmtId="164" fontId="173" fillId="0" borderId="6" xfId="0" applyFont="1" applyBorder="1" applyAlignment="1">
      <alignment horizontal="center" vertical="center"/>
    </xf>
    <xf numFmtId="164" fontId="173" fillId="0" borderId="4" xfId="0" applyFont="1" applyBorder="1" applyAlignment="1">
      <alignment horizontal="center" vertical="center"/>
    </xf>
    <xf numFmtId="164" fontId="2" fillId="0" borderId="0" xfId="0" applyFont="1" applyAlignment="1">
      <alignment horizontal="center" vertical="center"/>
    </xf>
    <xf numFmtId="164" fontId="0" fillId="0" borderId="7" xfId="0" applyBorder="1" applyAlignment="1">
      <alignment horizontal="center" vertical="center"/>
    </xf>
    <xf numFmtId="164" fontId="0" fillId="0" borderId="6" xfId="0" applyBorder="1" applyAlignment="1">
      <alignment horizontal="center" vertical="center"/>
    </xf>
    <xf numFmtId="164" fontId="0" fillId="0" borderId="4" xfId="0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64" fontId="9" fillId="2" borderId="2" xfId="0" applyFont="1" applyFill="1" applyBorder="1" applyAlignment="1">
      <alignment horizontal="center" vertical="center"/>
    </xf>
    <xf numFmtId="164" fontId="9" fillId="2" borderId="2" xfId="0" applyFont="1" applyFill="1" applyBorder="1" applyAlignment="1">
      <alignment horizontal="center" vertical="center" wrapText="1"/>
    </xf>
    <xf numFmtId="164" fontId="9" fillId="2" borderId="2" xfId="0" applyFont="1" applyFill="1" applyBorder="1" applyAlignment="1">
      <alignment vertical="center"/>
    </xf>
    <xf numFmtId="164" fontId="9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1" fontId="0" fillId="0" borderId="5" xfId="0" quotePrefix="1" applyNumberFormat="1" applyBorder="1"/>
    <xf numFmtId="43" fontId="0" fillId="0" borderId="5" xfId="3" applyNumberFormat="1" applyFont="1" applyBorder="1" applyAlignment="1">
      <alignment vertical="center"/>
    </xf>
    <xf numFmtId="164" fontId="2" fillId="0" borderId="0" xfId="0" applyFont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64" fontId="9" fillId="2" borderId="2" xfId="0" applyFont="1" applyFill="1" applyBorder="1" applyAlignment="1">
      <alignment horizontal="center" vertical="center"/>
    </xf>
    <xf numFmtId="164" fontId="9" fillId="2" borderId="2" xfId="0" applyFont="1" applyFill="1" applyBorder="1" applyAlignment="1">
      <alignment horizontal="center" vertical="center" wrapText="1"/>
    </xf>
    <xf numFmtId="164" fontId="9" fillId="2" borderId="2" xfId="0" applyFont="1" applyFill="1" applyBorder="1" applyAlignment="1">
      <alignment vertical="center"/>
    </xf>
    <xf numFmtId="164" fontId="9" fillId="2" borderId="1" xfId="0" applyFont="1" applyFill="1" applyBorder="1" applyAlignment="1">
      <alignment horizontal="center" vertical="center" wrapText="1"/>
    </xf>
    <xf numFmtId="164" fontId="0" fillId="0" borderId="7" xfId="0" applyBorder="1" applyAlignment="1">
      <alignment horizontal="center" vertical="center"/>
    </xf>
    <xf numFmtId="164" fontId="0" fillId="0" borderId="6" xfId="0" applyBorder="1" applyAlignment="1">
      <alignment horizontal="center" vertical="center"/>
    </xf>
    <xf numFmtId="164" fontId="0" fillId="0" borderId="4" xfId="0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164" fontId="0" fillId="0" borderId="6" xfId="0" applyBorder="1" applyAlignment="1">
      <alignment horizontal="center" vertical="center"/>
    </xf>
    <xf numFmtId="43" fontId="0" fillId="0" borderId="6" xfId="3" applyNumberFormat="1" applyFont="1" applyBorder="1" applyAlignment="1">
      <alignment vertical="center"/>
    </xf>
    <xf numFmtId="0" fontId="0" fillId="0" borderId="5" xfId="0" applyNumberFormat="1" applyBorder="1"/>
    <xf numFmtId="0" fontId="0" fillId="0" borderId="5" xfId="0" applyNumberFormat="1" applyBorder="1" applyAlignment="1"/>
    <xf numFmtId="206" fontId="0" fillId="0" borderId="47" xfId="0" applyNumberFormat="1" applyBorder="1" applyAlignment="1">
      <alignment horizontal="center" vertical="center"/>
    </xf>
    <xf numFmtId="164" fontId="0" fillId="0" borderId="47" xfId="0" applyBorder="1"/>
    <xf numFmtId="206" fontId="0" fillId="0" borderId="25" xfId="0" applyNumberFormat="1" applyBorder="1" applyAlignment="1">
      <alignment horizontal="center" vertical="center"/>
    </xf>
    <xf numFmtId="164" fontId="0" fillId="0" borderId="47" xfId="0" applyBorder="1" applyAlignment="1">
      <alignment horizontal="center" vertical="center"/>
    </xf>
    <xf numFmtId="164" fontId="0" fillId="0" borderId="19" xfId="0" applyFill="1" applyBorder="1"/>
    <xf numFmtId="164" fontId="7" fillId="9" borderId="5" xfId="1" applyFont="1" applyFill="1" applyBorder="1" applyAlignment="1">
      <alignment horizontal="left" vertical="center" wrapText="1"/>
    </xf>
    <xf numFmtId="166" fontId="173" fillId="0" borderId="5" xfId="3" applyNumberFormat="1" applyFont="1" applyBorder="1" applyAlignment="1">
      <alignment horizontal="center" vertical="center"/>
    </xf>
    <xf numFmtId="165" fontId="6" fillId="0" borderId="23" xfId="2" applyNumberFormat="1" applyFont="1" applyBorder="1" applyAlignment="1">
      <alignment vertical="center" wrapText="1"/>
    </xf>
    <xf numFmtId="166" fontId="173" fillId="0" borderId="7" xfId="3" applyNumberFormat="1" applyFont="1" applyBorder="1" applyAlignment="1">
      <alignment horizontal="center" vertical="center"/>
    </xf>
    <xf numFmtId="1" fontId="0" fillId="0" borderId="48" xfId="0" applyNumberFormat="1" applyBorder="1" applyAlignment="1">
      <alignment horizontal="center" vertical="center"/>
    </xf>
    <xf numFmtId="164" fontId="0" fillId="0" borderId="48" xfId="0" applyFill="1" applyBorder="1" applyAlignment="1"/>
    <xf numFmtId="174" fontId="0" fillId="0" borderId="48" xfId="0" applyNumberFormat="1" applyBorder="1" applyAlignment="1">
      <alignment horizontal="center" vertical="center"/>
    </xf>
    <xf numFmtId="164" fontId="0" fillId="9" borderId="48" xfId="0" applyFill="1" applyBorder="1" applyAlignment="1"/>
    <xf numFmtId="164" fontId="0" fillId="0" borderId="48" xfId="0" applyBorder="1" applyAlignment="1">
      <alignment horizontal="center" vertical="center"/>
    </xf>
    <xf numFmtId="164" fontId="7" fillId="9" borderId="48" xfId="1" applyFont="1" applyFill="1" applyBorder="1" applyAlignment="1">
      <alignment horizontal="left" vertical="center" wrapText="1"/>
    </xf>
    <xf numFmtId="165" fontId="6" fillId="0" borderId="49" xfId="2" applyNumberFormat="1" applyFont="1" applyBorder="1" applyAlignment="1">
      <alignment vertical="center" wrapText="1"/>
    </xf>
    <xf numFmtId="0" fontId="6" fillId="0" borderId="48" xfId="2" quotePrefix="1" applyNumberFormat="1" applyFont="1" applyBorder="1" applyAlignment="1">
      <alignment horizontal="center" vertical="center"/>
    </xf>
    <xf numFmtId="164" fontId="173" fillId="0" borderId="48" xfId="0" applyFont="1" applyBorder="1" applyAlignment="1">
      <alignment horizontal="center" vertical="center"/>
    </xf>
    <xf numFmtId="166" fontId="173" fillId="0" borderId="48" xfId="3" applyNumberFormat="1" applyFont="1" applyBorder="1" applyAlignment="1">
      <alignment horizontal="center" vertical="center"/>
    </xf>
    <xf numFmtId="164" fontId="25" fillId="0" borderId="48" xfId="0" applyFont="1" applyFill="1" applyBorder="1" applyAlignment="1">
      <alignment horizontal="center"/>
    </xf>
    <xf numFmtId="43" fontId="25" fillId="0" borderId="48" xfId="0" applyNumberFormat="1" applyFont="1" applyFill="1" applyBorder="1"/>
    <xf numFmtId="164" fontId="0" fillId="0" borderId="48" xfId="0" applyBorder="1" applyAlignment="1">
      <alignment horizontal="center"/>
    </xf>
    <xf numFmtId="1" fontId="0" fillId="0" borderId="50" xfId="0" applyNumberFormat="1" applyBorder="1" applyAlignment="1">
      <alignment horizontal="center" vertical="center"/>
    </xf>
    <xf numFmtId="164" fontId="0" fillId="0" borderId="50" xfId="0" applyFill="1" applyBorder="1" applyAlignment="1"/>
    <xf numFmtId="174" fontId="0" fillId="0" borderId="50" xfId="0" applyNumberFormat="1" applyBorder="1" applyAlignment="1">
      <alignment horizontal="center" vertical="center"/>
    </xf>
    <xf numFmtId="164" fontId="0" fillId="9" borderId="50" xfId="0" applyFill="1" applyBorder="1" applyAlignment="1"/>
    <xf numFmtId="164" fontId="0" fillId="0" borderId="50" xfId="0" applyBorder="1" applyAlignment="1">
      <alignment horizontal="center" vertical="center"/>
    </xf>
    <xf numFmtId="164" fontId="7" fillId="9" borderId="50" xfId="1" applyFont="1" applyFill="1" applyBorder="1" applyAlignment="1">
      <alignment horizontal="left" vertical="center" wrapText="1"/>
    </xf>
    <xf numFmtId="165" fontId="6" fillId="0" borderId="51" xfId="2" applyNumberFormat="1" applyFont="1" applyBorder="1" applyAlignment="1">
      <alignment vertical="center" wrapText="1"/>
    </xf>
    <xf numFmtId="0" fontId="6" fillId="0" borderId="50" xfId="2" quotePrefix="1" applyNumberFormat="1" applyFont="1" applyBorder="1" applyAlignment="1">
      <alignment horizontal="center" vertical="center"/>
    </xf>
    <xf numFmtId="164" fontId="173" fillId="0" borderId="50" xfId="0" applyFont="1" applyBorder="1" applyAlignment="1">
      <alignment horizontal="center" vertical="center"/>
    </xf>
    <xf numFmtId="166" fontId="173" fillId="0" borderId="50" xfId="3" applyNumberFormat="1" applyFont="1" applyBorder="1" applyAlignment="1">
      <alignment horizontal="center" vertical="center"/>
    </xf>
    <xf numFmtId="164" fontId="25" fillId="0" borderId="50" xfId="0" applyFont="1" applyFill="1" applyBorder="1" applyAlignment="1">
      <alignment horizontal="center"/>
    </xf>
    <xf numFmtId="43" fontId="25" fillId="0" borderId="50" xfId="0" applyNumberFormat="1" applyFont="1" applyFill="1" applyBorder="1"/>
    <xf numFmtId="164" fontId="0" fillId="0" borderId="50" xfId="0" applyBorder="1" applyAlignment="1">
      <alignment horizontal="center"/>
    </xf>
    <xf numFmtId="1" fontId="0" fillId="0" borderId="52" xfId="0" applyNumberFormat="1" applyBorder="1" applyAlignment="1">
      <alignment horizontal="center" vertical="center"/>
    </xf>
    <xf numFmtId="164" fontId="0" fillId="0" borderId="52" xfId="0" applyFill="1" applyBorder="1" applyAlignment="1"/>
    <xf numFmtId="174" fontId="0" fillId="0" borderId="52" xfId="0" applyNumberFormat="1" applyBorder="1" applyAlignment="1">
      <alignment horizontal="center" vertical="center"/>
    </xf>
    <xf numFmtId="164" fontId="0" fillId="9" borderId="52" xfId="0" applyFill="1" applyBorder="1" applyAlignment="1"/>
    <xf numFmtId="164" fontId="0" fillId="0" borderId="52" xfId="0" applyBorder="1" applyAlignment="1">
      <alignment horizontal="center" vertical="center"/>
    </xf>
    <xf numFmtId="164" fontId="7" fillId="9" borderId="52" xfId="1" applyFont="1" applyFill="1" applyBorder="1" applyAlignment="1">
      <alignment horizontal="left" vertical="center" wrapText="1"/>
    </xf>
    <xf numFmtId="165" fontId="6" fillId="0" borderId="53" xfId="2" applyNumberFormat="1" applyFont="1" applyBorder="1" applyAlignment="1">
      <alignment vertical="center" wrapText="1"/>
    </xf>
    <xf numFmtId="0" fontId="6" fillId="0" borderId="52" xfId="2" quotePrefix="1" applyNumberFormat="1" applyFont="1" applyBorder="1" applyAlignment="1">
      <alignment horizontal="center" vertical="center"/>
    </xf>
    <xf numFmtId="164" fontId="173" fillId="0" borderId="52" xfId="0" applyFont="1" applyBorder="1" applyAlignment="1">
      <alignment horizontal="center" vertical="center"/>
    </xf>
    <xf numFmtId="164" fontId="25" fillId="0" borderId="52" xfId="0" applyFont="1" applyFill="1" applyBorder="1" applyAlignment="1">
      <alignment horizontal="center"/>
    </xf>
    <xf numFmtId="43" fontId="25" fillId="0" borderId="52" xfId="0" applyNumberFormat="1" applyFont="1" applyFill="1" applyBorder="1"/>
    <xf numFmtId="164" fontId="0" fillId="0" borderId="52" xfId="0" applyBorder="1" applyAlignment="1">
      <alignment horizontal="center"/>
    </xf>
    <xf numFmtId="1" fontId="0" fillId="0" borderId="48" xfId="0" applyNumberFormat="1" applyBorder="1" applyAlignment="1">
      <alignment horizontal="left"/>
    </xf>
    <xf numFmtId="166" fontId="0" fillId="0" borderId="6" xfId="3" applyNumberFormat="1" applyFont="1" applyBorder="1" applyAlignment="1"/>
    <xf numFmtId="1" fontId="0" fillId="0" borderId="6" xfId="0" applyNumberFormat="1" applyBorder="1" applyAlignment="1">
      <alignment horizontal="left" vertical="center"/>
    </xf>
    <xf numFmtId="43" fontId="0" fillId="0" borderId="6" xfId="0" applyNumberFormat="1" applyBorder="1" applyAlignment="1">
      <alignment vertical="center"/>
    </xf>
    <xf numFmtId="1" fontId="0" fillId="0" borderId="54" xfId="0" applyNumberFormat="1" applyBorder="1" applyAlignment="1">
      <alignment horizontal="center" vertical="center"/>
    </xf>
    <xf numFmtId="164" fontId="0" fillId="0" borderId="54" xfId="0" applyFill="1" applyBorder="1" applyAlignment="1"/>
    <xf numFmtId="174" fontId="0" fillId="0" borderId="54" xfId="0" applyNumberFormat="1" applyBorder="1" applyAlignment="1">
      <alignment horizontal="center" vertical="center"/>
    </xf>
    <xf numFmtId="164" fontId="0" fillId="9" borderId="54" xfId="0" applyFill="1" applyBorder="1" applyAlignment="1"/>
    <xf numFmtId="164" fontId="0" fillId="0" borderId="54" xfId="0" applyBorder="1" applyAlignment="1">
      <alignment horizontal="center" vertical="center"/>
    </xf>
    <xf numFmtId="164" fontId="7" fillId="9" borderId="54" xfId="1" applyFont="1" applyFill="1" applyBorder="1" applyAlignment="1">
      <alignment horizontal="left" vertical="center" wrapText="1"/>
    </xf>
    <xf numFmtId="165" fontId="6" fillId="0" borderId="55" xfId="2" applyNumberFormat="1" applyFont="1" applyBorder="1" applyAlignment="1">
      <alignment vertical="center" wrapText="1"/>
    </xf>
    <xf numFmtId="0" fontId="6" fillId="0" borderId="54" xfId="2" quotePrefix="1" applyNumberFormat="1" applyFont="1" applyBorder="1" applyAlignment="1">
      <alignment horizontal="center" vertical="center"/>
    </xf>
    <xf numFmtId="164" fontId="173" fillId="0" borderId="54" xfId="0" applyFont="1" applyBorder="1" applyAlignment="1">
      <alignment horizontal="center" vertical="center"/>
    </xf>
    <xf numFmtId="166" fontId="174" fillId="0" borderId="54" xfId="3" applyNumberFormat="1" applyFont="1" applyBorder="1" applyAlignment="1">
      <alignment horizontal="center" vertical="center"/>
    </xf>
    <xf numFmtId="164" fontId="25" fillId="0" borderId="54" xfId="0" applyFont="1" applyFill="1" applyBorder="1" applyAlignment="1">
      <alignment horizontal="center"/>
    </xf>
    <xf numFmtId="43" fontId="25" fillId="0" borderId="54" xfId="0" applyNumberFormat="1" applyFont="1" applyFill="1" applyBorder="1"/>
    <xf numFmtId="1" fontId="0" fillId="0" borderId="7" xfId="0" applyNumberFormat="1" applyBorder="1" applyAlignment="1">
      <alignment horizontal="left"/>
    </xf>
    <xf numFmtId="164" fontId="0" fillId="0" borderId="54" xfId="0" applyBorder="1" applyAlignment="1">
      <alignment horizontal="center"/>
    </xf>
    <xf numFmtId="1" fontId="0" fillId="0" borderId="5" xfId="0" applyNumberFormat="1" applyBorder="1" applyAlignment="1">
      <alignment horizontal="left" vertical="center"/>
    </xf>
    <xf numFmtId="164" fontId="0" fillId="0" borderId="19" xfId="0" applyBorder="1"/>
    <xf numFmtId="43" fontId="0" fillId="0" borderId="5" xfId="0" applyNumberFormat="1" applyBorder="1" applyAlignment="1">
      <alignment vertical="center"/>
    </xf>
    <xf numFmtId="164" fontId="7" fillId="9" borderId="6" xfId="1" applyFont="1" applyFill="1" applyBorder="1" applyAlignment="1">
      <alignment horizontal="left" vertical="center" wrapText="1"/>
    </xf>
    <xf numFmtId="165" fontId="6" fillId="0" borderId="20" xfId="2" applyNumberFormat="1" applyFont="1" applyBorder="1" applyAlignment="1">
      <alignment vertical="center" wrapText="1"/>
    </xf>
    <xf numFmtId="38" fontId="173" fillId="0" borderId="6" xfId="428" applyNumberFormat="1" applyFont="1" applyBorder="1" applyAlignment="1">
      <alignment horizontal="center" vertical="center"/>
    </xf>
    <xf numFmtId="172" fontId="0" fillId="0" borderId="48" xfId="3" applyNumberFormat="1" applyFont="1" applyFill="1" applyBorder="1" applyAlignment="1">
      <alignment vertical="center"/>
    </xf>
    <xf numFmtId="164" fontId="0" fillId="0" borderId="56" xfId="0" applyBorder="1"/>
    <xf numFmtId="172" fontId="0" fillId="0" borderId="50" xfId="3" applyNumberFormat="1" applyFont="1" applyFill="1" applyBorder="1" applyAlignment="1">
      <alignment vertical="center"/>
    </xf>
    <xf numFmtId="1" fontId="0" fillId="0" borderId="50" xfId="0" applyNumberFormat="1" applyBorder="1" applyAlignment="1">
      <alignment horizontal="left"/>
    </xf>
    <xf numFmtId="164" fontId="0" fillId="0" borderId="57" xfId="0" applyBorder="1"/>
    <xf numFmtId="166" fontId="173" fillId="0" borderId="52" xfId="3" applyNumberFormat="1" applyFont="1" applyBorder="1" applyAlignment="1">
      <alignment horizontal="center" vertical="center"/>
    </xf>
    <xf numFmtId="172" fontId="0" fillId="0" borderId="52" xfId="3" applyNumberFormat="1" applyFont="1" applyFill="1" applyBorder="1" applyAlignment="1">
      <alignment vertical="center"/>
    </xf>
    <xf numFmtId="1" fontId="0" fillId="0" borderId="52" xfId="0" applyNumberFormat="1" applyBorder="1" applyAlignment="1">
      <alignment horizontal="left"/>
    </xf>
    <xf numFmtId="164" fontId="0" fillId="0" borderId="58" xfId="0" applyBorder="1"/>
    <xf numFmtId="1" fontId="0" fillId="0" borderId="48" xfId="0" applyNumberFormat="1" applyBorder="1"/>
    <xf numFmtId="1" fontId="0" fillId="0" borderId="50" xfId="0" applyNumberFormat="1" applyBorder="1"/>
    <xf numFmtId="1" fontId="0" fillId="0" borderId="52" xfId="0" applyNumberFormat="1" applyBorder="1"/>
    <xf numFmtId="165" fontId="6" fillId="0" borderId="48" xfId="2" applyNumberFormat="1" applyFont="1" applyBorder="1" applyAlignment="1">
      <alignment horizontal="left" vertical="center" wrapText="1"/>
    </xf>
    <xf numFmtId="166" fontId="6" fillId="0" borderId="48" xfId="3" quotePrefix="1" applyNumberFormat="1" applyFont="1" applyBorder="1" applyAlignment="1">
      <alignment horizontal="center" vertical="center"/>
    </xf>
    <xf numFmtId="164" fontId="0" fillId="0" borderId="48" xfId="0" applyBorder="1"/>
    <xf numFmtId="165" fontId="6" fillId="0" borderId="51" xfId="2" applyNumberFormat="1" applyFont="1" applyBorder="1" applyAlignment="1">
      <alignment horizontal="left" vertical="center" wrapText="1"/>
    </xf>
    <xf numFmtId="166" fontId="6" fillId="0" borderId="50" xfId="3" quotePrefix="1" applyNumberFormat="1" applyFont="1" applyBorder="1" applyAlignment="1">
      <alignment horizontal="center" vertical="center"/>
    </xf>
    <xf numFmtId="164" fontId="0" fillId="0" borderId="50" xfId="0" applyBorder="1"/>
    <xf numFmtId="164" fontId="173" fillId="0" borderId="50" xfId="1" applyFont="1" applyFill="1" applyBorder="1" applyAlignment="1">
      <alignment horizontal="left" vertical="center" wrapText="1"/>
    </xf>
    <xf numFmtId="164" fontId="173" fillId="0" borderId="51" xfId="1" applyFont="1" applyBorder="1" applyAlignment="1">
      <alignment horizontal="left" vertical="center" wrapText="1"/>
    </xf>
    <xf numFmtId="166" fontId="173" fillId="0" borderId="50" xfId="3" applyNumberFormat="1" applyFont="1" applyBorder="1" applyAlignment="1">
      <alignment horizontal="center" vertical="center" wrapText="1"/>
    </xf>
    <xf numFmtId="164" fontId="173" fillId="0" borderId="50" xfId="0" applyFont="1" applyBorder="1" applyAlignment="1">
      <alignment horizontal="left" vertical="center"/>
    </xf>
    <xf numFmtId="165" fontId="6" fillId="0" borderId="53" xfId="2" applyNumberFormat="1" applyFont="1" applyBorder="1" applyAlignment="1">
      <alignment horizontal="left" vertical="center" wrapText="1"/>
    </xf>
    <xf numFmtId="166" fontId="6" fillId="0" borderId="52" xfId="3" quotePrefix="1" applyNumberFormat="1" applyFont="1" applyBorder="1" applyAlignment="1">
      <alignment horizontal="center" vertical="center"/>
    </xf>
    <xf numFmtId="164" fontId="0" fillId="0" borderId="52" xfId="0" applyBorder="1"/>
    <xf numFmtId="43" fontId="6" fillId="0" borderId="48" xfId="3" quotePrefix="1" applyFont="1" applyBorder="1" applyAlignment="1">
      <alignment horizontal="center" vertical="center"/>
    </xf>
    <xf numFmtId="43" fontId="173" fillId="0" borderId="48" xfId="3" applyFont="1" applyBorder="1" applyAlignment="1">
      <alignment horizontal="center" vertical="center"/>
    </xf>
    <xf numFmtId="43" fontId="6" fillId="0" borderId="50" xfId="3" quotePrefix="1" applyFont="1" applyBorder="1" applyAlignment="1">
      <alignment horizontal="center" vertical="center"/>
    </xf>
    <xf numFmtId="43" fontId="173" fillId="0" borderId="50" xfId="3" applyFont="1" applyBorder="1" applyAlignment="1">
      <alignment horizontal="center" vertical="center"/>
    </xf>
    <xf numFmtId="43" fontId="173" fillId="0" borderId="50" xfId="3" applyFont="1" applyBorder="1" applyAlignment="1">
      <alignment horizontal="center" vertical="center" wrapText="1"/>
    </xf>
    <xf numFmtId="164" fontId="173" fillId="0" borderId="50" xfId="1" applyFont="1" applyBorder="1" applyAlignment="1">
      <alignment horizontal="left" vertical="center" wrapText="1"/>
    </xf>
    <xf numFmtId="165" fontId="6" fillId="0" borderId="50" xfId="2" applyNumberFormat="1" applyFont="1" applyBorder="1" applyAlignment="1">
      <alignment horizontal="left" vertical="center" wrapText="1"/>
    </xf>
    <xf numFmtId="165" fontId="6" fillId="0" borderId="52" xfId="2" applyNumberFormat="1" applyFont="1" applyBorder="1" applyAlignment="1">
      <alignment horizontal="left" vertical="center" wrapText="1"/>
    </xf>
    <xf numFmtId="43" fontId="6" fillId="0" borderId="52" xfId="3" quotePrefix="1" applyFont="1" applyBorder="1" applyAlignment="1">
      <alignment horizontal="center" vertical="center"/>
    </xf>
    <xf numFmtId="43" fontId="173" fillId="0" borderId="52" xfId="3" applyFont="1" applyBorder="1" applyAlignment="1">
      <alignment horizontal="center" vertical="center"/>
    </xf>
    <xf numFmtId="166" fontId="0" fillId="0" borderId="6" xfId="3" applyNumberFormat="1" applyFont="1" applyBorder="1" applyAlignment="1">
      <alignment horizontal="center"/>
    </xf>
    <xf numFmtId="164" fontId="2" fillId="0" borderId="0" xfId="0" applyFont="1" applyAlignment="1">
      <alignment horizontal="center" vertical="center"/>
    </xf>
    <xf numFmtId="164" fontId="9" fillId="2" borderId="2" xfId="0" applyFont="1" applyFill="1" applyBorder="1" applyAlignment="1">
      <alignment horizontal="center" vertical="center"/>
    </xf>
    <xf numFmtId="164" fontId="9" fillId="2" borderId="2" xfId="0" applyFont="1" applyFill="1" applyBorder="1" applyAlignment="1">
      <alignment horizontal="center" vertical="center" wrapText="1"/>
    </xf>
    <xf numFmtId="164" fontId="9" fillId="2" borderId="2" xfId="0" applyFont="1" applyFill="1" applyBorder="1" applyAlignment="1">
      <alignment vertical="center"/>
    </xf>
    <xf numFmtId="164" fontId="0" fillId="0" borderId="6" xfId="0" applyBorder="1" applyAlignment="1">
      <alignment horizontal="center" vertical="center"/>
    </xf>
    <xf numFmtId="164" fontId="9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164" fontId="0" fillId="0" borderId="7" xfId="0" applyBorder="1" applyAlignment="1">
      <alignment horizontal="center" vertical="center"/>
    </xf>
    <xf numFmtId="164" fontId="0" fillId="0" borderId="6" xfId="0" applyBorder="1" applyAlignment="1">
      <alignment horizontal="center" vertical="center"/>
    </xf>
    <xf numFmtId="164" fontId="0" fillId="0" borderId="4" xfId="0" applyBorder="1" applyAlignment="1">
      <alignment horizontal="center" vertical="center"/>
    </xf>
    <xf numFmtId="164" fontId="0" fillId="0" borderId="4" xfId="0" applyBorder="1" applyAlignment="1">
      <alignment horizontal="center" vertical="center"/>
    </xf>
    <xf numFmtId="43" fontId="0" fillId="0" borderId="7" xfId="3" applyNumberFormat="1" applyFont="1" applyBorder="1" applyAlignment="1">
      <alignment vertical="center"/>
    </xf>
    <xf numFmtId="43" fontId="0" fillId="0" borderId="7" xfId="0" applyNumberFormat="1" applyBorder="1" applyAlignment="1">
      <alignment vertical="center"/>
    </xf>
    <xf numFmtId="1" fontId="0" fillId="0" borderId="59" xfId="0" applyNumberFormat="1" applyBorder="1" applyAlignment="1">
      <alignment horizontal="center" vertical="center"/>
    </xf>
    <xf numFmtId="164" fontId="0" fillId="0" borderId="59" xfId="0" applyFill="1" applyBorder="1" applyAlignment="1"/>
    <xf numFmtId="164" fontId="0" fillId="0" borderId="59" xfId="0" applyBorder="1" applyAlignment="1">
      <alignment horizontal="center" vertical="center"/>
    </xf>
    <xf numFmtId="164" fontId="173" fillId="0" borderId="59" xfId="0" applyFont="1" applyBorder="1" applyAlignment="1">
      <alignment horizontal="center" vertical="center"/>
    </xf>
    <xf numFmtId="43" fontId="25" fillId="0" borderId="59" xfId="0" applyNumberFormat="1" applyFont="1" applyFill="1" applyBorder="1"/>
    <xf numFmtId="206" fontId="0" fillId="0" borderId="0" xfId="0" applyNumberFormat="1" applyBorder="1" applyAlignment="1">
      <alignment horizontal="center" vertical="center"/>
    </xf>
    <xf numFmtId="166" fontId="173" fillId="0" borderId="6" xfId="3" applyNumberFormat="1" applyFont="1" applyBorder="1" applyAlignment="1">
      <alignment horizontal="center" vertical="center"/>
    </xf>
    <xf numFmtId="164" fontId="7" fillId="9" borderId="4" xfId="1" applyFont="1" applyFill="1" applyBorder="1" applyAlignment="1">
      <alignment horizontal="left" vertical="center" wrapText="1"/>
    </xf>
    <xf numFmtId="166" fontId="173" fillId="0" borderId="4" xfId="3" applyNumberFormat="1" applyFont="1" applyBorder="1" applyAlignment="1">
      <alignment horizontal="center" vertical="center"/>
    </xf>
    <xf numFmtId="206" fontId="0" fillId="0" borderId="7" xfId="0" applyNumberFormat="1" applyBorder="1" applyAlignment="1">
      <alignment horizontal="center" vertical="center"/>
    </xf>
    <xf numFmtId="206" fontId="0" fillId="0" borderId="6" xfId="0" applyNumberFormat="1" applyBorder="1" applyAlignment="1">
      <alignment horizontal="center" vertical="center"/>
    </xf>
    <xf numFmtId="206" fontId="0" fillId="0" borderId="4" xfId="0" applyNumberFormat="1" applyBorder="1" applyAlignment="1">
      <alignment horizontal="center" vertical="center"/>
    </xf>
    <xf numFmtId="43" fontId="0" fillId="0" borderId="52" xfId="3" applyNumberFormat="1" applyFont="1" applyBorder="1" applyAlignment="1">
      <alignment vertical="center"/>
    </xf>
    <xf numFmtId="43" fontId="0" fillId="0" borderId="52" xfId="0" applyNumberFormat="1" applyBorder="1" applyAlignment="1">
      <alignment vertical="center"/>
    </xf>
    <xf numFmtId="166" fontId="174" fillId="0" borderId="7" xfId="3" applyNumberFormat="1" applyFont="1" applyBorder="1" applyAlignment="1">
      <alignment horizontal="center" vertical="center"/>
    </xf>
    <xf numFmtId="166" fontId="173" fillId="0" borderId="59" xfId="3" applyNumberFormat="1" applyFont="1" applyBorder="1" applyAlignment="1">
      <alignment horizontal="center" vertical="center" wrapText="1"/>
    </xf>
    <xf numFmtId="165" fontId="6" fillId="0" borderId="6" xfId="2" applyNumberFormat="1" applyFont="1" applyBorder="1" applyAlignment="1">
      <alignment horizontal="left" vertical="center" wrapText="1"/>
    </xf>
    <xf numFmtId="166" fontId="6" fillId="0" borderId="6" xfId="3" quotePrefix="1" applyNumberFormat="1" applyFont="1" applyBorder="1" applyAlignment="1">
      <alignment horizontal="center" vertical="center"/>
    </xf>
    <xf numFmtId="165" fontId="6" fillId="0" borderId="4" xfId="2" applyNumberFormat="1" applyFont="1" applyBorder="1" applyAlignment="1">
      <alignment horizontal="left" vertical="center" wrapText="1"/>
    </xf>
    <xf numFmtId="166" fontId="6" fillId="0" borderId="4" xfId="3" quotePrefix="1" applyNumberFormat="1" applyFont="1" applyBorder="1" applyAlignment="1">
      <alignment horizontal="center" vertical="center"/>
    </xf>
    <xf numFmtId="164" fontId="0" fillId="0" borderId="7" xfId="0" applyBorder="1" applyAlignment="1">
      <alignment horizontal="center" vertical="center"/>
    </xf>
    <xf numFmtId="164" fontId="0" fillId="0" borderId="6" xfId="0" applyBorder="1" applyAlignment="1">
      <alignment horizontal="center" vertical="center"/>
    </xf>
    <xf numFmtId="164" fontId="0" fillId="0" borderId="4" xfId="0" applyBorder="1" applyAlignment="1">
      <alignment horizontal="center" vertical="center"/>
    </xf>
    <xf numFmtId="175" fontId="25" fillId="0" borderId="0" xfId="0" applyNumberFormat="1" applyFont="1" applyBorder="1"/>
    <xf numFmtId="166" fontId="173" fillId="0" borderId="52" xfId="3" applyNumberFormat="1" applyFont="1" applyBorder="1" applyAlignment="1">
      <alignment horizontal="center" vertical="center" wrapText="1"/>
    </xf>
    <xf numFmtId="175" fontId="25" fillId="0" borderId="25" xfId="0" applyNumberFormat="1" applyFont="1" applyBorder="1"/>
    <xf numFmtId="164" fontId="2" fillId="0" borderId="0" xfId="0" applyFont="1" applyAlignment="1">
      <alignment horizontal="center" vertical="center"/>
    </xf>
    <xf numFmtId="164" fontId="9" fillId="2" borderId="2" xfId="0" applyFont="1" applyFill="1" applyBorder="1" applyAlignment="1">
      <alignment horizontal="center" vertical="center"/>
    </xf>
    <xf numFmtId="164" fontId="9" fillId="2" borderId="2" xfId="0" applyFont="1" applyFill="1" applyBorder="1" applyAlignment="1">
      <alignment horizontal="center" vertical="center" wrapText="1"/>
    </xf>
    <xf numFmtId="164" fontId="0" fillId="0" borderId="7" xfId="0" applyBorder="1" applyAlignment="1">
      <alignment horizontal="center" vertical="center"/>
    </xf>
    <xf numFmtId="164" fontId="0" fillId="0" borderId="6" xfId="0" applyBorder="1" applyAlignment="1">
      <alignment horizontal="center" vertical="center"/>
    </xf>
    <xf numFmtId="164" fontId="0" fillId="0" borderId="4" xfId="0" applyBorder="1" applyAlignment="1">
      <alignment horizontal="center" vertical="center"/>
    </xf>
    <xf numFmtId="165" fontId="6" fillId="0" borderId="7" xfId="2" applyNumberFormat="1" applyFont="1" applyBorder="1" applyAlignment="1">
      <alignment horizontal="left" vertical="center" wrapText="1"/>
    </xf>
    <xf numFmtId="166" fontId="173" fillId="0" borderId="7" xfId="3" applyNumberFormat="1" applyFont="1" applyBorder="1" applyAlignment="1">
      <alignment horizontal="center" vertical="center" wrapText="1"/>
    </xf>
    <xf numFmtId="164" fontId="173" fillId="0" borderId="23" xfId="1" applyFont="1" applyBorder="1" applyAlignment="1">
      <alignment horizontal="left" vertical="center" wrapText="1"/>
    </xf>
    <xf numFmtId="175" fontId="25" fillId="0" borderId="47" xfId="0" applyNumberFormat="1" applyFont="1" applyBorder="1"/>
    <xf numFmtId="164" fontId="173" fillId="0" borderId="6" xfId="0" applyFont="1" applyBorder="1" applyAlignment="1">
      <alignment horizontal="left" vertical="center"/>
    </xf>
    <xf numFmtId="1" fontId="7" fillId="0" borderId="21" xfId="2" quotePrefix="1" applyNumberFormat="1" applyFont="1" applyBorder="1" applyAlignment="1">
      <alignment vertical="center"/>
    </xf>
    <xf numFmtId="164" fontId="30" fillId="0" borderId="25" xfId="0" applyFont="1" applyBorder="1"/>
    <xf numFmtId="166" fontId="6" fillId="0" borderId="7" xfId="3" quotePrefix="1" applyNumberFormat="1" applyFont="1" applyBorder="1" applyAlignment="1">
      <alignment horizontal="center" vertical="center"/>
    </xf>
    <xf numFmtId="175" fontId="25" fillId="0" borderId="7" xfId="0" applyNumberFormat="1" applyFont="1" applyBorder="1"/>
    <xf numFmtId="175" fontId="25" fillId="0" borderId="4" xfId="0" applyNumberFormat="1" applyFont="1" applyBorder="1"/>
    <xf numFmtId="1" fontId="2" fillId="0" borderId="0" xfId="0" applyNumberFormat="1" applyFont="1" applyAlignment="1">
      <alignment horizontal="right" vertical="center"/>
    </xf>
    <xf numFmtId="164" fontId="9" fillId="2" borderId="2" xfId="0" applyFont="1" applyFill="1" applyBorder="1" applyAlignment="1">
      <alignment horizontal="right" vertical="center" wrapText="1"/>
    </xf>
    <xf numFmtId="37" fontId="10" fillId="5" borderId="1" xfId="3" applyNumberFormat="1" applyFont="1" applyFill="1" applyBorder="1" applyAlignment="1">
      <alignment horizontal="right" vertical="center" wrapText="1"/>
    </xf>
    <xf numFmtId="37" fontId="10" fillId="4" borderId="2" xfId="3" applyNumberFormat="1" applyFont="1" applyFill="1" applyBorder="1" applyAlignment="1">
      <alignment horizontal="right" vertical="center" wrapText="1"/>
    </xf>
    <xf numFmtId="1" fontId="0" fillId="0" borderId="0" xfId="0" applyNumberFormat="1" applyAlignment="1">
      <alignment horizontal="right"/>
    </xf>
    <xf numFmtId="1" fontId="9" fillId="2" borderId="2" xfId="0" applyNumberFormat="1" applyFont="1" applyFill="1" applyBorder="1" applyAlignment="1">
      <alignment horizontal="right" vertical="center"/>
    </xf>
    <xf numFmtId="1" fontId="0" fillId="0" borderId="7" xfId="0" applyNumberFormat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0" fillId="0" borderId="59" xfId="0" applyNumberFormat="1" applyBorder="1" applyAlignment="1">
      <alignment horizontal="right"/>
    </xf>
    <xf numFmtId="1" fontId="0" fillId="0" borderId="52" xfId="0" applyNumberFormat="1" applyBorder="1" applyAlignment="1">
      <alignment horizontal="right"/>
    </xf>
    <xf numFmtId="1" fontId="0" fillId="0" borderId="50" xfId="0" applyNumberFormat="1" applyBorder="1" applyAlignment="1">
      <alignment horizontal="right"/>
    </xf>
    <xf numFmtId="43" fontId="0" fillId="0" borderId="50" xfId="3" applyNumberFormat="1" applyFont="1" applyBorder="1" applyAlignment="1">
      <alignment vertical="center"/>
    </xf>
    <xf numFmtId="43" fontId="6" fillId="0" borderId="7" xfId="3" quotePrefix="1" applyFont="1" applyBorder="1" applyAlignment="1">
      <alignment horizontal="center" vertical="center"/>
    </xf>
    <xf numFmtId="43" fontId="173" fillId="0" borderId="7" xfId="3" applyFont="1" applyBorder="1" applyAlignment="1">
      <alignment horizontal="center" vertical="center"/>
    </xf>
    <xf numFmtId="43" fontId="6" fillId="0" borderId="6" xfId="3" quotePrefix="1" applyFont="1" applyBorder="1" applyAlignment="1">
      <alignment horizontal="center" vertical="center"/>
    </xf>
    <xf numFmtId="43" fontId="173" fillId="0" borderId="6" xfId="3" applyFont="1" applyBorder="1" applyAlignment="1">
      <alignment horizontal="center" vertical="center"/>
    </xf>
    <xf numFmtId="175" fontId="25" fillId="0" borderId="6" xfId="0" applyNumberFormat="1" applyFont="1" applyBorder="1"/>
    <xf numFmtId="43" fontId="173" fillId="0" borderId="7" xfId="3" applyFont="1" applyBorder="1" applyAlignment="1">
      <alignment horizontal="center" vertical="center" wrapText="1"/>
    </xf>
    <xf numFmtId="43" fontId="173" fillId="0" borderId="6" xfId="3" applyFont="1" applyBorder="1" applyAlignment="1">
      <alignment horizontal="center" vertical="center" wrapText="1"/>
    </xf>
    <xf numFmtId="43" fontId="173" fillId="0" borderId="4" xfId="3" applyFont="1" applyBorder="1" applyAlignment="1">
      <alignment horizontal="center" vertical="center" wrapText="1"/>
    </xf>
    <xf numFmtId="164" fontId="173" fillId="0" borderId="7" xfId="1" applyFont="1" applyBorder="1" applyAlignment="1">
      <alignment horizontal="left" vertical="center" wrapText="1"/>
    </xf>
    <xf numFmtId="164" fontId="173" fillId="0" borderId="4" xfId="1" applyFont="1" applyBorder="1" applyAlignment="1">
      <alignment horizontal="left" vertical="center" wrapText="1"/>
    </xf>
    <xf numFmtId="164" fontId="9" fillId="2" borderId="2" xfId="0" applyFont="1" applyFill="1" applyBorder="1" applyAlignment="1">
      <alignment horizontal="center" vertical="center" wrapText="1"/>
    </xf>
    <xf numFmtId="43" fontId="0" fillId="0" borderId="50" xfId="0" applyNumberFormat="1" applyBorder="1" applyAlignment="1">
      <alignment vertical="center"/>
    </xf>
    <xf numFmtId="1" fontId="30" fillId="0" borderId="59" xfId="0" applyNumberFormat="1" applyFont="1" applyBorder="1" applyAlignment="1">
      <alignment horizontal="center" vertical="center"/>
    </xf>
    <xf numFmtId="164" fontId="30" fillId="0" borderId="59" xfId="0" applyFont="1" applyFill="1" applyBorder="1" applyAlignment="1"/>
    <xf numFmtId="174" fontId="30" fillId="0" borderId="59" xfId="0" applyNumberFormat="1" applyFont="1" applyBorder="1" applyAlignment="1">
      <alignment horizontal="center" vertical="center"/>
    </xf>
    <xf numFmtId="164" fontId="30" fillId="9" borderId="59" xfId="0" applyFont="1" applyFill="1" applyBorder="1" applyAlignment="1"/>
    <xf numFmtId="164" fontId="30" fillId="0" borderId="59" xfId="0" applyFont="1" applyBorder="1" applyAlignment="1">
      <alignment horizontal="center" vertical="center"/>
    </xf>
    <xf numFmtId="164" fontId="177" fillId="0" borderId="59" xfId="1" applyFont="1" applyFill="1" applyBorder="1" applyAlignment="1">
      <alignment horizontal="left" vertical="center" wrapText="1"/>
    </xf>
    <xf numFmtId="164" fontId="177" fillId="0" borderId="59" xfId="1" applyFont="1" applyBorder="1" applyAlignment="1">
      <alignment horizontal="left" vertical="center" wrapText="1"/>
    </xf>
    <xf numFmtId="43" fontId="177" fillId="0" borderId="59" xfId="3" applyFont="1" applyBorder="1" applyAlignment="1">
      <alignment horizontal="center" vertical="center" wrapText="1"/>
    </xf>
    <xf numFmtId="164" fontId="177" fillId="0" borderId="59" xfId="0" applyFont="1" applyBorder="1" applyAlignment="1">
      <alignment horizontal="center" vertical="center"/>
    </xf>
    <xf numFmtId="164" fontId="175" fillId="0" borderId="59" xfId="0" applyFont="1" applyFill="1" applyBorder="1" applyAlignment="1">
      <alignment horizontal="center"/>
    </xf>
    <xf numFmtId="43" fontId="175" fillId="0" borderId="59" xfId="0" applyNumberFormat="1" applyFont="1" applyFill="1" applyBorder="1"/>
    <xf numFmtId="43" fontId="30" fillId="0" borderId="59" xfId="3" applyNumberFormat="1" applyFont="1" applyBorder="1" applyAlignment="1">
      <alignment vertical="center"/>
    </xf>
    <xf numFmtId="206" fontId="30" fillId="0" borderId="4" xfId="0" applyNumberFormat="1" applyFont="1" applyBorder="1" applyAlignment="1">
      <alignment horizontal="center" vertical="center"/>
    </xf>
    <xf numFmtId="172" fontId="30" fillId="0" borderId="59" xfId="3" applyNumberFormat="1" applyFont="1" applyFill="1" applyBorder="1" applyAlignment="1">
      <alignment vertical="center"/>
    </xf>
    <xf numFmtId="1" fontId="30" fillId="0" borderId="59" xfId="0" applyNumberFormat="1" applyFont="1" applyBorder="1" applyAlignment="1">
      <alignment horizontal="right"/>
    </xf>
    <xf numFmtId="164" fontId="30" fillId="0" borderId="59" xfId="0" applyFont="1" applyBorder="1"/>
    <xf numFmtId="164" fontId="30" fillId="0" borderId="59" xfId="0" applyFont="1" applyBorder="1" applyAlignment="1">
      <alignment horizontal="center"/>
    </xf>
    <xf numFmtId="43" fontId="30" fillId="0" borderId="59" xfId="0" applyNumberFormat="1" applyFont="1" applyBorder="1" applyAlignment="1">
      <alignment vertical="center"/>
    </xf>
    <xf numFmtId="175" fontId="175" fillId="0" borderId="0" xfId="0" applyNumberFormat="1" applyFont="1"/>
    <xf numFmtId="172" fontId="0" fillId="0" borderId="6" xfId="3" applyNumberFormat="1" applyFont="1" applyBorder="1" applyAlignment="1">
      <alignment vertical="center"/>
    </xf>
    <xf numFmtId="164" fontId="9" fillId="2" borderId="2" xfId="0" applyFont="1" applyFill="1" applyBorder="1" applyAlignment="1">
      <alignment horizontal="center" vertical="center"/>
    </xf>
    <xf numFmtId="164" fontId="9" fillId="2" borderId="2" xfId="0" applyFont="1" applyFill="1" applyBorder="1" applyAlignment="1">
      <alignment vertical="center"/>
    </xf>
    <xf numFmtId="164" fontId="9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164" fontId="0" fillId="0" borderId="0" xfId="0" applyFont="1"/>
    <xf numFmtId="174" fontId="0" fillId="0" borderId="0" xfId="0" applyNumberFormat="1" applyFont="1" applyAlignment="1">
      <alignment horizontal="center" vertical="center"/>
    </xf>
    <xf numFmtId="164" fontId="0" fillId="0" borderId="0" xfId="0" applyFont="1" applyAlignment="1">
      <alignment horizontal="center" vertical="center"/>
    </xf>
    <xf numFmtId="0" fontId="0" fillId="0" borderId="0" xfId="0" applyNumberFormat="1" applyFont="1"/>
    <xf numFmtId="0" fontId="0" fillId="0" borderId="0" xfId="0" applyNumberFormat="1" applyFont="1" applyAlignment="1"/>
    <xf numFmtId="1" fontId="0" fillId="0" borderId="0" xfId="0" applyNumberFormat="1" applyFont="1" applyAlignment="1">
      <alignment horizontal="right"/>
    </xf>
    <xf numFmtId="164" fontId="0" fillId="0" borderId="0" xfId="0" applyFont="1" applyAlignment="1">
      <alignment horizontal="center"/>
    </xf>
    <xf numFmtId="164" fontId="0" fillId="0" borderId="0" xfId="0" applyFont="1" applyAlignment="1">
      <alignment vertical="center"/>
    </xf>
    <xf numFmtId="1" fontId="0" fillId="0" borderId="7" xfId="0" applyNumberFormat="1" applyFont="1" applyBorder="1" applyAlignment="1">
      <alignment horizontal="center" vertical="center"/>
    </xf>
    <xf numFmtId="164" fontId="0" fillId="0" borderId="7" xfId="0" applyFont="1" applyFill="1" applyBorder="1" applyAlignment="1"/>
    <xf numFmtId="174" fontId="0" fillId="0" borderId="7" xfId="0" applyNumberFormat="1" applyFont="1" applyBorder="1" applyAlignment="1">
      <alignment horizontal="center" vertical="center"/>
    </xf>
    <xf numFmtId="164" fontId="0" fillId="9" borderId="7" xfId="0" applyFont="1" applyFill="1" applyBorder="1" applyAlignment="1"/>
    <xf numFmtId="164" fontId="0" fillId="0" borderId="7" xfId="0" quotePrefix="1" applyFont="1" applyBorder="1" applyAlignment="1">
      <alignment horizontal="center" vertical="center"/>
    </xf>
    <xf numFmtId="165" fontId="4" fillId="0" borderId="7" xfId="2" quotePrefix="1" applyNumberFormat="1" applyFont="1" applyBorder="1" applyAlignment="1">
      <alignment vertical="center" wrapText="1"/>
    </xf>
    <xf numFmtId="1" fontId="4" fillId="0" borderId="7" xfId="2" quotePrefix="1" applyNumberFormat="1" applyFont="1" applyBorder="1" applyAlignment="1">
      <alignment vertical="center"/>
    </xf>
    <xf numFmtId="0" fontId="4" fillId="0" borderId="7" xfId="2" quotePrefix="1" applyNumberFormat="1" applyFont="1" applyBorder="1" applyAlignment="1">
      <alignment horizontal="center" vertical="center"/>
    </xf>
    <xf numFmtId="0" fontId="0" fillId="0" borderId="7" xfId="0" applyNumberFormat="1" applyFont="1" applyBorder="1"/>
    <xf numFmtId="40" fontId="4" fillId="9" borderId="7" xfId="6" applyNumberFormat="1" applyFont="1" applyFill="1" applyBorder="1" applyAlignment="1">
      <alignment horizontal="center" vertical="center" wrapText="1"/>
    </xf>
    <xf numFmtId="164" fontId="0" fillId="0" borderId="7" xfId="0" applyFont="1" applyFill="1" applyBorder="1" applyAlignment="1">
      <alignment horizontal="center"/>
    </xf>
    <xf numFmtId="43" fontId="10" fillId="0" borderId="7" xfId="0" applyNumberFormat="1" applyFont="1" applyFill="1" applyBorder="1"/>
    <xf numFmtId="1" fontId="0" fillId="0" borderId="7" xfId="0" applyNumberFormat="1" applyFont="1" applyBorder="1" applyAlignment="1">
      <alignment horizontal="right"/>
    </xf>
    <xf numFmtId="164" fontId="0" fillId="6" borderId="7" xfId="0" applyFont="1" applyFill="1" applyBorder="1"/>
    <xf numFmtId="164" fontId="0" fillId="0" borderId="7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 vertical="center"/>
    </xf>
    <xf numFmtId="164" fontId="0" fillId="0" borderId="6" xfId="0" applyFont="1" applyFill="1" applyBorder="1" applyAlignment="1"/>
    <xf numFmtId="174" fontId="0" fillId="0" borderId="6" xfId="0" applyNumberFormat="1" applyFont="1" applyBorder="1" applyAlignment="1">
      <alignment horizontal="center" vertical="center"/>
    </xf>
    <xf numFmtId="164" fontId="0" fillId="9" borderId="6" xfId="0" applyFont="1" applyFill="1" applyBorder="1" applyAlignment="1"/>
    <xf numFmtId="164" fontId="0" fillId="0" borderId="6" xfId="0" quotePrefix="1" applyFont="1" applyBorder="1" applyAlignment="1">
      <alignment horizontal="center" vertical="center"/>
    </xf>
    <xf numFmtId="165" fontId="4" fillId="0" borderId="6" xfId="2" quotePrefix="1" applyNumberFormat="1" applyFont="1" applyBorder="1" applyAlignment="1">
      <alignment vertical="center" wrapText="1"/>
    </xf>
    <xf numFmtId="1" fontId="4" fillId="0" borderId="6" xfId="2" quotePrefix="1" applyNumberFormat="1" applyFont="1" applyBorder="1" applyAlignment="1">
      <alignment vertical="center"/>
    </xf>
    <xf numFmtId="0" fontId="4" fillId="0" borderId="6" xfId="2" quotePrefix="1" applyNumberFormat="1" applyFont="1" applyBorder="1" applyAlignment="1">
      <alignment horizontal="center" vertical="center"/>
    </xf>
    <xf numFmtId="40" fontId="4" fillId="9" borderId="6" xfId="6" applyNumberFormat="1" applyFont="1" applyFill="1" applyBorder="1" applyAlignment="1">
      <alignment horizontal="center" vertical="center" wrapText="1"/>
    </xf>
    <xf numFmtId="164" fontId="0" fillId="0" borderId="6" xfId="0" applyFont="1" applyFill="1" applyBorder="1" applyAlignment="1">
      <alignment horizontal="center"/>
    </xf>
    <xf numFmtId="43" fontId="10" fillId="0" borderId="6" xfId="0" applyNumberFormat="1" applyFont="1" applyFill="1" applyBorder="1"/>
    <xf numFmtId="1" fontId="0" fillId="0" borderId="6" xfId="0" applyNumberFormat="1" applyFont="1" applyBorder="1" applyAlignment="1">
      <alignment horizontal="right"/>
    </xf>
    <xf numFmtId="164" fontId="0" fillId="6" borderId="6" xfId="0" applyFont="1" applyFill="1" applyBorder="1"/>
    <xf numFmtId="164" fontId="0" fillId="0" borderId="6" xfId="0" applyFont="1" applyBorder="1" applyAlignment="1">
      <alignment horizontal="center"/>
    </xf>
    <xf numFmtId="43" fontId="0" fillId="0" borderId="6" xfId="0" applyNumberFormat="1" applyFont="1" applyBorder="1" applyAlignment="1"/>
    <xf numFmtId="1" fontId="0" fillId="0" borderId="4" xfId="0" applyNumberFormat="1" applyFont="1" applyBorder="1" applyAlignment="1">
      <alignment horizontal="center" vertical="center"/>
    </xf>
    <xf numFmtId="164" fontId="0" fillId="0" borderId="4" xfId="0" applyFont="1" applyFill="1" applyBorder="1" applyAlignment="1"/>
    <xf numFmtId="174" fontId="0" fillId="0" borderId="4" xfId="0" applyNumberFormat="1" applyFont="1" applyBorder="1" applyAlignment="1">
      <alignment horizontal="center" vertical="center"/>
    </xf>
    <xf numFmtId="164" fontId="0" fillId="9" borderId="4" xfId="0" applyFont="1" applyFill="1" applyBorder="1" applyAlignment="1"/>
    <xf numFmtId="164" fontId="0" fillId="0" borderId="4" xfId="0" quotePrefix="1" applyFont="1" applyBorder="1" applyAlignment="1">
      <alignment horizontal="center" vertical="center"/>
    </xf>
    <xf numFmtId="165" fontId="4" fillId="0" borderId="4" xfId="2" quotePrefix="1" applyNumberFormat="1" applyFont="1" applyBorder="1" applyAlignment="1">
      <alignment vertical="center" wrapText="1"/>
    </xf>
    <xf numFmtId="1" fontId="4" fillId="0" borderId="4" xfId="2" quotePrefix="1" applyNumberFormat="1" applyFont="1" applyBorder="1" applyAlignment="1">
      <alignment vertical="center"/>
    </xf>
    <xf numFmtId="0" fontId="4" fillId="0" borderId="4" xfId="2" quotePrefix="1" applyNumberFormat="1" applyFont="1" applyBorder="1" applyAlignment="1">
      <alignment horizontal="center" vertical="center"/>
    </xf>
    <xf numFmtId="40" fontId="4" fillId="9" borderId="4" xfId="6" applyNumberFormat="1" applyFont="1" applyFill="1" applyBorder="1" applyAlignment="1">
      <alignment horizontal="center" vertical="center" wrapText="1"/>
    </xf>
    <xf numFmtId="164" fontId="0" fillId="0" borderId="4" xfId="0" applyFont="1" applyFill="1" applyBorder="1" applyAlignment="1">
      <alignment horizontal="center"/>
    </xf>
    <xf numFmtId="43" fontId="10" fillId="0" borderId="4" xfId="0" applyNumberFormat="1" applyFont="1" applyFill="1" applyBorder="1"/>
    <xf numFmtId="1" fontId="0" fillId="0" borderId="4" xfId="0" applyNumberFormat="1" applyFont="1" applyBorder="1" applyAlignment="1">
      <alignment horizontal="right"/>
    </xf>
    <xf numFmtId="164" fontId="0" fillId="6" borderId="4" xfId="0" applyFont="1" applyFill="1" applyBorder="1"/>
    <xf numFmtId="164" fontId="0" fillId="0" borderId="4" xfId="0" applyFont="1" applyBorder="1" applyAlignment="1">
      <alignment horizontal="center"/>
    </xf>
    <xf numFmtId="1" fontId="4" fillId="0" borderId="6" xfId="2" quotePrefix="1" applyNumberFormat="1" applyFont="1" applyBorder="1" applyAlignment="1">
      <alignment vertical="center" wrapText="1"/>
    </xf>
    <xf numFmtId="164" fontId="0" fillId="0" borderId="6" xfId="0" applyFont="1" applyBorder="1"/>
    <xf numFmtId="164" fontId="4" fillId="0" borderId="7" xfId="1" applyFont="1" applyBorder="1" applyAlignment="1">
      <alignment horizontal="left" vertical="center" wrapText="1"/>
    </xf>
    <xf numFmtId="164" fontId="4" fillId="0" borderId="7" xfId="1" applyFont="1" applyFill="1" applyBorder="1" applyAlignment="1">
      <alignment horizontal="left" vertical="center" wrapText="1"/>
    </xf>
    <xf numFmtId="40" fontId="4" fillId="0" borderId="7" xfId="21" applyNumberFormat="1" applyFont="1" applyBorder="1" applyAlignment="1">
      <alignment horizontal="center" vertical="center" wrapText="1"/>
    </xf>
    <xf numFmtId="164" fontId="4" fillId="0" borderId="6" xfId="1" applyFont="1" applyBorder="1" applyAlignment="1">
      <alignment horizontal="left" vertical="center" wrapText="1"/>
    </xf>
    <xf numFmtId="164" fontId="4" fillId="0" borderId="6" xfId="1" applyFont="1" applyFill="1" applyBorder="1" applyAlignment="1">
      <alignment horizontal="left" vertical="center" wrapText="1"/>
    </xf>
    <xf numFmtId="40" fontId="4" fillId="0" borderId="6" xfId="21" applyNumberFormat="1" applyFont="1" applyBorder="1" applyAlignment="1">
      <alignment horizontal="center" vertical="center" wrapText="1"/>
    </xf>
    <xf numFmtId="164" fontId="0" fillId="6" borderId="6" xfId="0" applyFont="1" applyFill="1" applyBorder="1" applyAlignment="1">
      <alignment horizontal="center"/>
    </xf>
    <xf numFmtId="165" fontId="4" fillId="0" borderId="6" xfId="2" quotePrefix="1" applyNumberFormat="1" applyFont="1" applyBorder="1" applyAlignment="1">
      <alignment horizontal="left" vertical="center" wrapText="1"/>
    </xf>
    <xf numFmtId="1" fontId="4" fillId="0" borderId="6" xfId="2" quotePrefix="1" applyNumberFormat="1" applyFont="1" applyBorder="1" applyAlignment="1">
      <alignment horizontal="left" vertical="center"/>
    </xf>
    <xf numFmtId="1" fontId="4" fillId="0" borderId="4" xfId="2" quotePrefix="1" applyNumberFormat="1" applyFont="1" applyBorder="1" applyAlignment="1">
      <alignment horizontal="left" vertical="center"/>
    </xf>
    <xf numFmtId="165" fontId="4" fillId="0" borderId="4" xfId="2" quotePrefix="1" applyNumberFormat="1" applyFont="1" applyBorder="1" applyAlignment="1">
      <alignment horizontal="left" vertical="center" wrapText="1"/>
    </xf>
    <xf numFmtId="164" fontId="0" fillId="0" borderId="6" xfId="0" applyFont="1" applyBorder="1" applyAlignment="1">
      <alignment horizontal="center" vertical="center"/>
    </xf>
    <xf numFmtId="164" fontId="0" fillId="0" borderId="7" xfId="0" applyFont="1" applyBorder="1"/>
    <xf numFmtId="164" fontId="0" fillId="0" borderId="7" xfId="0" applyFont="1" applyBorder="1" applyAlignment="1">
      <alignment horizontal="center" vertical="center"/>
    </xf>
    <xf numFmtId="164" fontId="0" fillId="0" borderId="4" xfId="0" applyFont="1" applyBorder="1"/>
    <xf numFmtId="164" fontId="4" fillId="0" borderId="4" xfId="1" applyFont="1" applyFill="1" applyBorder="1" applyAlignment="1">
      <alignment horizontal="left" vertical="center" wrapText="1"/>
    </xf>
    <xf numFmtId="0" fontId="4" fillId="0" borderId="4" xfId="1" applyNumberFormat="1" applyFont="1" applyFill="1" applyBorder="1" applyAlignment="1">
      <alignment horizontal="center" vertical="center" wrapText="1"/>
    </xf>
    <xf numFmtId="40" fontId="4" fillId="0" borderId="4" xfId="21" applyNumberFormat="1" applyFont="1" applyBorder="1" applyAlignment="1">
      <alignment horizontal="center" vertical="center" wrapText="1"/>
    </xf>
    <xf numFmtId="164" fontId="0" fillId="0" borderId="4" xfId="0" applyFont="1" applyBorder="1" applyAlignment="1">
      <alignment horizontal="center" vertical="center"/>
    </xf>
    <xf numFmtId="43" fontId="4" fillId="0" borderId="6" xfId="5" applyFont="1" applyBorder="1" applyAlignment="1">
      <alignment horizontal="center" vertical="center"/>
    </xf>
    <xf numFmtId="43" fontId="0" fillId="0" borderId="6" xfId="5" applyFont="1" applyBorder="1" applyAlignment="1">
      <alignment horizontal="center" vertical="center"/>
    </xf>
    <xf numFmtId="43" fontId="6" fillId="0" borderId="7" xfId="5" applyFont="1" applyBorder="1" applyAlignment="1">
      <alignment horizontal="center" vertical="center"/>
    </xf>
    <xf numFmtId="166" fontId="0" fillId="0" borderId="6" xfId="3" applyNumberFormat="1" applyFont="1" applyBorder="1" applyAlignment="1">
      <alignment horizontal="center" vertical="center"/>
    </xf>
    <xf numFmtId="172" fontId="0" fillId="0" borderId="6" xfId="3" applyNumberFormat="1" applyFont="1" applyBorder="1" applyAlignment="1">
      <alignment horizontal="center" vertical="center"/>
    </xf>
    <xf numFmtId="166" fontId="0" fillId="0" borderId="4" xfId="3" applyNumberFormat="1" applyFont="1" applyBorder="1" applyAlignment="1">
      <alignment horizontal="center" vertical="center"/>
    </xf>
    <xf numFmtId="164" fontId="0" fillId="0" borderId="7" xfId="0" applyBorder="1" applyAlignment="1">
      <alignment horizontal="center"/>
    </xf>
    <xf numFmtId="164" fontId="0" fillId="0" borderId="6" xfId="0" applyBorder="1" applyAlignment="1">
      <alignment horizontal="center"/>
    </xf>
    <xf numFmtId="164" fontId="0" fillId="0" borderId="4" xfId="0" applyBorder="1" applyAlignment="1">
      <alignment horizontal="center"/>
    </xf>
    <xf numFmtId="43" fontId="0" fillId="0" borderId="7" xfId="0" applyNumberFormat="1" applyBorder="1" applyAlignment="1">
      <alignment horizontal="center"/>
    </xf>
    <xf numFmtId="43" fontId="0" fillId="0" borderId="6" xfId="0" applyNumberFormat="1" applyBorder="1" applyAlignment="1">
      <alignment horizontal="center"/>
    </xf>
    <xf numFmtId="43" fontId="0" fillId="0" borderId="4" xfId="0" applyNumberFormat="1" applyBorder="1" applyAlignment="1">
      <alignment horizontal="center"/>
    </xf>
    <xf numFmtId="164" fontId="0" fillId="0" borderId="7" xfId="0" applyBorder="1" applyAlignment="1">
      <alignment horizontal="center" vertical="center"/>
    </xf>
    <xf numFmtId="164" fontId="0" fillId="0" borderId="6" xfId="0" applyBorder="1" applyAlignment="1">
      <alignment horizontal="center" vertical="center"/>
    </xf>
    <xf numFmtId="164" fontId="0" fillId="0" borderId="4" xfId="0" applyBorder="1" applyAlignment="1">
      <alignment horizontal="center" vertical="center"/>
    </xf>
    <xf numFmtId="164" fontId="2" fillId="0" borderId="0" xfId="0" applyFont="1" applyAlignment="1">
      <alignment horizontal="center" vertical="center"/>
    </xf>
    <xf numFmtId="164" fontId="9" fillId="2" borderId="2" xfId="0" applyFont="1" applyFill="1" applyBorder="1" applyAlignment="1">
      <alignment horizontal="center" vertical="center"/>
    </xf>
    <xf numFmtId="164" fontId="9" fillId="2" borderId="2" xfId="0" applyFont="1" applyFill="1" applyBorder="1" applyAlignment="1">
      <alignment horizontal="center" vertical="center" wrapText="1"/>
    </xf>
    <xf numFmtId="164" fontId="9" fillId="2" borderId="2" xfId="0" applyFont="1" applyFill="1" applyBorder="1" applyAlignment="1">
      <alignment vertical="center"/>
    </xf>
    <xf numFmtId="166" fontId="0" fillId="0" borderId="6" xfId="3" applyNumberFormat="1" applyFont="1" applyBorder="1" applyAlignment="1">
      <alignment horizontal="center" vertical="center"/>
    </xf>
    <xf numFmtId="172" fontId="0" fillId="0" borderId="6" xfId="3" applyNumberFormat="1" applyFont="1" applyBorder="1" applyAlignment="1">
      <alignment horizontal="center" vertical="center"/>
    </xf>
    <xf numFmtId="166" fontId="0" fillId="0" borderId="4" xfId="3" applyNumberFormat="1" applyFont="1" applyBorder="1" applyAlignment="1">
      <alignment horizontal="center" vertical="center"/>
    </xf>
    <xf numFmtId="164" fontId="0" fillId="0" borderId="7" xfId="0" applyBorder="1" applyAlignment="1">
      <alignment horizontal="center"/>
    </xf>
    <xf numFmtId="164" fontId="0" fillId="0" borderId="6" xfId="0" applyBorder="1" applyAlignment="1">
      <alignment horizontal="center"/>
    </xf>
    <xf numFmtId="164" fontId="0" fillId="0" borderId="4" xfId="0" applyBorder="1" applyAlignment="1">
      <alignment horizontal="center"/>
    </xf>
    <xf numFmtId="43" fontId="0" fillId="0" borderId="7" xfId="0" applyNumberFormat="1" applyBorder="1" applyAlignment="1">
      <alignment horizontal="center"/>
    </xf>
    <xf numFmtId="43" fontId="0" fillId="0" borderId="6" xfId="0" applyNumberFormat="1" applyBorder="1" applyAlignment="1">
      <alignment horizontal="center"/>
    </xf>
    <xf numFmtId="43" fontId="0" fillId="0" borderId="4" xfId="0" applyNumberFormat="1" applyBorder="1" applyAlignment="1">
      <alignment horizontal="center"/>
    </xf>
    <xf numFmtId="164" fontId="0" fillId="0" borderId="7" xfId="0" applyBorder="1" applyAlignment="1">
      <alignment horizontal="center" vertical="center"/>
    </xf>
    <xf numFmtId="164" fontId="0" fillId="0" borderId="6" xfId="0" applyBorder="1" applyAlignment="1">
      <alignment horizontal="center" vertical="center"/>
    </xf>
    <xf numFmtId="164" fontId="0" fillId="0" borderId="4" xfId="0" applyBorder="1" applyAlignment="1">
      <alignment horizontal="center" vertical="center"/>
    </xf>
    <xf numFmtId="164" fontId="9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43" fontId="6" fillId="0" borderId="6" xfId="5" applyFont="1" applyBorder="1" applyAlignment="1">
      <alignment horizontal="center" vertical="center"/>
    </xf>
    <xf numFmtId="43" fontId="174" fillId="0" borderId="6" xfId="5" applyFont="1" applyBorder="1" applyAlignment="1">
      <alignment horizontal="center" vertical="center"/>
    </xf>
    <xf numFmtId="164" fontId="27" fillId="0" borderId="6" xfId="0" applyFont="1" applyBorder="1"/>
    <xf numFmtId="164" fontId="0" fillId="0" borderId="6" xfId="0" applyBorder="1" applyAlignment="1">
      <alignment vertical="center"/>
    </xf>
    <xf numFmtId="164" fontId="27" fillId="0" borderId="4" xfId="0" applyFont="1" applyBorder="1"/>
    <xf numFmtId="164" fontId="0" fillId="0" borderId="4" xfId="0" applyBorder="1" applyAlignment="1">
      <alignment vertical="center"/>
    </xf>
    <xf numFmtId="43" fontId="174" fillId="0" borderId="4" xfId="5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64" fontId="4" fillId="0" borderId="7" xfId="0" applyFont="1" applyFill="1" applyBorder="1" applyAlignment="1"/>
    <xf numFmtId="174" fontId="4" fillId="0" borderId="7" xfId="0" applyNumberFormat="1" applyFont="1" applyBorder="1" applyAlignment="1">
      <alignment horizontal="center" vertical="center"/>
    </xf>
    <xf numFmtId="164" fontId="4" fillId="9" borderId="7" xfId="0" applyFont="1" applyFill="1" applyBorder="1" applyAlignment="1"/>
    <xf numFmtId="164" fontId="4" fillId="0" borderId="7" xfId="0" quotePrefix="1" applyFont="1" applyBorder="1" applyAlignment="1">
      <alignment horizontal="center" vertical="center"/>
    </xf>
    <xf numFmtId="164" fontId="4" fillId="0" borderId="7" xfId="0" applyFont="1" applyBorder="1"/>
    <xf numFmtId="0" fontId="178" fillId="0" borderId="7" xfId="2" quotePrefix="1" applyNumberFormat="1" applyFont="1" applyBorder="1" applyAlignment="1">
      <alignment horizontal="center" vertical="center"/>
    </xf>
    <xf numFmtId="0" fontId="4" fillId="0" borderId="7" xfId="0" applyNumberFormat="1" applyFont="1" applyBorder="1"/>
    <xf numFmtId="43" fontId="178" fillId="0" borderId="7" xfId="5" applyFont="1" applyBorder="1" applyAlignment="1">
      <alignment horizontal="center" vertical="center"/>
    </xf>
    <xf numFmtId="164" fontId="4" fillId="0" borderId="7" xfId="0" applyFont="1" applyFill="1" applyBorder="1" applyAlignment="1">
      <alignment horizontal="center"/>
    </xf>
    <xf numFmtId="43" fontId="178" fillId="0" borderId="7" xfId="0" applyNumberFormat="1" applyFont="1" applyFill="1" applyBorder="1"/>
    <xf numFmtId="164" fontId="4" fillId="0" borderId="7" xfId="0" applyFont="1" applyBorder="1" applyAlignment="1">
      <alignment horizontal="center" vertical="center"/>
    </xf>
    <xf numFmtId="172" fontId="4" fillId="0" borderId="7" xfId="3" applyNumberFormat="1" applyFont="1" applyFill="1" applyBorder="1" applyAlignment="1">
      <alignment vertical="center"/>
    </xf>
    <xf numFmtId="1" fontId="4" fillId="0" borderId="7" xfId="0" applyNumberFormat="1" applyFont="1" applyBorder="1" applyAlignment="1">
      <alignment horizontal="right"/>
    </xf>
    <xf numFmtId="164" fontId="4" fillId="6" borderId="7" xfId="0" applyFont="1" applyFill="1" applyBorder="1"/>
    <xf numFmtId="164" fontId="4" fillId="0" borderId="7" xfId="0" applyFont="1" applyBorder="1" applyAlignment="1">
      <alignment horizontal="center"/>
    </xf>
    <xf numFmtId="43" fontId="4" fillId="0" borderId="7" xfId="0" applyNumberFormat="1" applyFont="1" applyBorder="1" applyAlignment="1">
      <alignment horizontal="center"/>
    </xf>
    <xf numFmtId="1" fontId="4" fillId="0" borderId="6" xfId="0" applyNumberFormat="1" applyFont="1" applyBorder="1" applyAlignment="1">
      <alignment horizontal="center" vertical="center"/>
    </xf>
    <xf numFmtId="164" fontId="4" fillId="0" borderId="6" xfId="0" applyFont="1" applyFill="1" applyBorder="1" applyAlignment="1"/>
    <xf numFmtId="174" fontId="4" fillId="0" borderId="6" xfId="0" applyNumberFormat="1" applyFont="1" applyBorder="1" applyAlignment="1">
      <alignment horizontal="center" vertical="center"/>
    </xf>
    <xf numFmtId="164" fontId="4" fillId="9" borderId="6" xfId="0" applyFont="1" applyFill="1" applyBorder="1" applyAlignment="1"/>
    <xf numFmtId="164" fontId="4" fillId="0" borderId="6" xfId="0" quotePrefix="1" applyFont="1" applyBorder="1" applyAlignment="1">
      <alignment horizontal="center" vertical="center"/>
    </xf>
    <xf numFmtId="164" fontId="4" fillId="0" borderId="6" xfId="0" applyFont="1" applyBorder="1"/>
    <xf numFmtId="0" fontId="178" fillId="0" borderId="6" xfId="2" quotePrefix="1" applyNumberFormat="1" applyFont="1" applyBorder="1" applyAlignment="1">
      <alignment horizontal="center" vertical="center"/>
    </xf>
    <xf numFmtId="0" fontId="4" fillId="0" borderId="6" xfId="0" applyNumberFormat="1" applyFont="1" applyBorder="1"/>
    <xf numFmtId="43" fontId="178" fillId="0" borderId="6" xfId="5" applyFont="1" applyBorder="1" applyAlignment="1">
      <alignment horizontal="center" vertical="center"/>
    </xf>
    <xf numFmtId="164" fontId="4" fillId="0" borderId="6" xfId="0" applyFont="1" applyFill="1" applyBorder="1" applyAlignment="1">
      <alignment horizontal="center"/>
    </xf>
    <xf numFmtId="43" fontId="178" fillId="0" borderId="6" xfId="0" applyNumberFormat="1" applyFont="1" applyFill="1" applyBorder="1"/>
    <xf numFmtId="164" fontId="4" fillId="0" borderId="6" xfId="0" applyFont="1" applyBorder="1" applyAlignment="1">
      <alignment horizontal="center" vertical="center"/>
    </xf>
    <xf numFmtId="172" fontId="4" fillId="0" borderId="6" xfId="3" applyNumberFormat="1" applyFont="1" applyFill="1" applyBorder="1" applyAlignment="1">
      <alignment vertical="center"/>
    </xf>
    <xf numFmtId="1" fontId="4" fillId="0" borderId="6" xfId="0" applyNumberFormat="1" applyFont="1" applyBorder="1" applyAlignment="1">
      <alignment horizontal="right"/>
    </xf>
    <xf numFmtId="164" fontId="4" fillId="6" borderId="6" xfId="0" applyFont="1" applyFill="1" applyBorder="1"/>
    <xf numFmtId="164" fontId="4" fillId="0" borderId="6" xfId="0" applyFont="1" applyBorder="1" applyAlignment="1">
      <alignment horizontal="center"/>
    </xf>
    <xf numFmtId="43" fontId="4" fillId="0" borderId="6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 vertical="center"/>
    </xf>
    <xf numFmtId="164" fontId="4" fillId="0" borderId="4" xfId="0" applyFont="1" applyFill="1" applyBorder="1" applyAlignment="1"/>
    <xf numFmtId="174" fontId="4" fillId="0" borderId="4" xfId="0" applyNumberFormat="1" applyFont="1" applyBorder="1" applyAlignment="1">
      <alignment horizontal="center" vertical="center"/>
    </xf>
    <xf numFmtId="164" fontId="4" fillId="9" borderId="4" xfId="0" applyFont="1" applyFill="1" applyBorder="1" applyAlignment="1"/>
    <xf numFmtId="164" fontId="4" fillId="0" borderId="4" xfId="0" quotePrefix="1" applyFont="1" applyBorder="1" applyAlignment="1">
      <alignment horizontal="center" vertical="center"/>
    </xf>
    <xf numFmtId="164" fontId="4" fillId="0" borderId="4" xfId="0" applyFont="1" applyBorder="1"/>
    <xf numFmtId="0" fontId="178" fillId="0" borderId="4" xfId="2" quotePrefix="1" applyNumberFormat="1" applyFont="1" applyBorder="1" applyAlignment="1">
      <alignment horizontal="center" vertical="center"/>
    </xf>
    <xf numFmtId="0" fontId="4" fillId="0" borderId="4" xfId="0" applyNumberFormat="1" applyFont="1" applyBorder="1"/>
    <xf numFmtId="43" fontId="178" fillId="0" borderId="4" xfId="5" applyFont="1" applyBorder="1" applyAlignment="1">
      <alignment horizontal="center" vertical="center"/>
    </xf>
    <xf numFmtId="164" fontId="4" fillId="0" borderId="4" xfId="0" applyFont="1" applyFill="1" applyBorder="1" applyAlignment="1">
      <alignment horizontal="center"/>
    </xf>
    <xf numFmtId="43" fontId="178" fillId="0" borderId="4" xfId="0" applyNumberFormat="1" applyFont="1" applyFill="1" applyBorder="1"/>
    <xf numFmtId="164" fontId="4" fillId="0" borderId="4" xfId="0" applyFont="1" applyBorder="1" applyAlignment="1">
      <alignment horizontal="center" vertical="center"/>
    </xf>
    <xf numFmtId="172" fontId="4" fillId="0" borderId="4" xfId="3" applyNumberFormat="1" applyFont="1" applyFill="1" applyBorder="1" applyAlignment="1">
      <alignment vertical="center"/>
    </xf>
    <xf numFmtId="1" fontId="4" fillId="0" borderId="4" xfId="0" applyNumberFormat="1" applyFont="1" applyBorder="1" applyAlignment="1">
      <alignment horizontal="right"/>
    </xf>
    <xf numFmtId="164" fontId="4" fillId="6" borderId="4" xfId="0" applyFont="1" applyFill="1" applyBorder="1"/>
    <xf numFmtId="164" fontId="4" fillId="0" borderId="4" xfId="0" applyFont="1" applyBorder="1" applyAlignment="1">
      <alignment horizontal="center"/>
    </xf>
    <xf numFmtId="43" fontId="4" fillId="0" borderId="4" xfId="0" applyNumberFormat="1" applyFont="1" applyBorder="1" applyAlignment="1">
      <alignment horizontal="center"/>
    </xf>
    <xf numFmtId="164" fontId="178" fillId="0" borderId="6" xfId="1" applyFont="1" applyBorder="1" applyAlignment="1">
      <alignment horizontal="left" vertical="center" wrapText="1"/>
    </xf>
    <xf numFmtId="43" fontId="6" fillId="0" borderId="4" xfId="5" applyFont="1" applyBorder="1" applyAlignment="1">
      <alignment horizontal="center" vertical="center"/>
    </xf>
    <xf numFmtId="164" fontId="4" fillId="9" borderId="5" xfId="0" applyFont="1" applyFill="1" applyBorder="1" applyAlignment="1"/>
    <xf numFmtId="164" fontId="179" fillId="0" borderId="15" xfId="1" applyFont="1" applyFill="1" applyBorder="1" applyAlignment="1">
      <alignment horizontal="left" vertical="center" wrapText="1"/>
    </xf>
    <xf numFmtId="43" fontId="6" fillId="0" borderId="5" xfId="5" applyFont="1" applyBorder="1" applyAlignment="1">
      <alignment horizontal="center" vertical="center"/>
    </xf>
    <xf numFmtId="164" fontId="4" fillId="0" borderId="5" xfId="0" applyFont="1" applyFill="1" applyBorder="1" applyAlignment="1">
      <alignment horizontal="center"/>
    </xf>
    <xf numFmtId="172" fontId="0" fillId="0" borderId="5" xfId="3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right"/>
    </xf>
    <xf numFmtId="164" fontId="4" fillId="0" borderId="5" xfId="0" applyFont="1" applyBorder="1" applyAlignment="1">
      <alignment horizontal="center" vertical="center"/>
    </xf>
    <xf numFmtId="164" fontId="4" fillId="0" borderId="5" xfId="0" applyFont="1" applyBorder="1" applyAlignment="1">
      <alignment horizontal="center"/>
    </xf>
    <xf numFmtId="43" fontId="0" fillId="0" borderId="5" xfId="0" applyNumberFormat="1" applyBorder="1" applyAlignment="1">
      <alignment horizontal="center"/>
    </xf>
    <xf numFmtId="164" fontId="179" fillId="0" borderId="7" xfId="1" applyFont="1" applyBorder="1" applyAlignment="1">
      <alignment horizontal="left" vertical="center" wrapText="1"/>
    </xf>
    <xf numFmtId="164" fontId="179" fillId="0" borderId="6" xfId="1" applyFont="1" applyBorder="1" applyAlignment="1">
      <alignment horizontal="left" vertical="center" wrapText="1"/>
    </xf>
    <xf numFmtId="164" fontId="179" fillId="0" borderId="4" xfId="1" applyFont="1" applyBorder="1" applyAlignment="1">
      <alignment horizontal="left" vertical="center" wrapText="1"/>
    </xf>
    <xf numFmtId="164" fontId="178" fillId="0" borderId="7" xfId="1" applyFont="1" applyBorder="1" applyAlignment="1">
      <alignment horizontal="left" vertical="center" wrapText="1"/>
    </xf>
    <xf numFmtId="164" fontId="178" fillId="0" borderId="4" xfId="1" applyFont="1" applyBorder="1" applyAlignment="1">
      <alignment horizontal="left" vertical="center" wrapText="1"/>
    </xf>
    <xf numFmtId="43" fontId="0" fillId="0" borderId="7" xfId="0" applyNumberFormat="1" applyFont="1" applyBorder="1" applyAlignment="1"/>
    <xf numFmtId="43" fontId="0" fillId="0" borderId="4" xfId="0" applyNumberFormat="1" applyFont="1" applyBorder="1" applyAlignment="1"/>
    <xf numFmtId="43" fontId="0" fillId="3" borderId="7" xfId="0" applyNumberFormat="1" applyFont="1" applyFill="1" applyBorder="1" applyAlignment="1"/>
    <xf numFmtId="43" fontId="0" fillId="3" borderId="6" xfId="0" applyNumberFormat="1" applyFont="1" applyFill="1" applyBorder="1" applyAlignment="1"/>
    <xf numFmtId="43" fontId="0" fillId="3" borderId="4" xfId="0" applyNumberFormat="1" applyFont="1" applyFill="1" applyBorder="1" applyAlignment="1"/>
    <xf numFmtId="172" fontId="4" fillId="0" borderId="7" xfId="3" applyNumberFormat="1" applyFont="1" applyBorder="1" applyAlignment="1">
      <alignment vertical="center"/>
    </xf>
    <xf numFmtId="172" fontId="4" fillId="0" borderId="6" xfId="3" applyNumberFormat="1" applyFont="1" applyBorder="1" applyAlignment="1">
      <alignment vertical="center"/>
    </xf>
    <xf numFmtId="172" fontId="4" fillId="0" borderId="4" xfId="3" applyNumberFormat="1" applyFont="1" applyBorder="1" applyAlignment="1">
      <alignment vertical="center"/>
    </xf>
    <xf numFmtId="172" fontId="0" fillId="0" borderId="7" xfId="3" applyNumberFormat="1" applyFont="1" applyBorder="1" applyAlignment="1">
      <alignment vertical="center"/>
    </xf>
    <xf numFmtId="172" fontId="0" fillId="0" borderId="4" xfId="3" applyNumberFormat="1" applyFont="1" applyBorder="1" applyAlignment="1">
      <alignment vertical="center"/>
    </xf>
    <xf numFmtId="164" fontId="83" fillId="0" borderId="15" xfId="1" applyFont="1" applyFill="1" applyBorder="1" applyAlignment="1">
      <alignment horizontal="left" vertical="center" wrapText="1"/>
    </xf>
    <xf numFmtId="164" fontId="27" fillId="0" borderId="5" xfId="0" applyFont="1" applyBorder="1"/>
    <xf numFmtId="0" fontId="27" fillId="0" borderId="5" xfId="0" applyNumberFormat="1" applyFont="1" applyBorder="1"/>
    <xf numFmtId="164" fontId="180" fillId="0" borderId="5" xfId="0" applyFont="1" applyFill="1" applyBorder="1" applyAlignment="1">
      <alignment horizontal="center"/>
    </xf>
    <xf numFmtId="164" fontId="27" fillId="0" borderId="7" xfId="0" applyFont="1" applyBorder="1"/>
    <xf numFmtId="164" fontId="83" fillId="0" borderId="7" xfId="1" applyFont="1" applyBorder="1" applyAlignment="1">
      <alignment horizontal="left" vertical="center" wrapText="1"/>
    </xf>
    <xf numFmtId="0" fontId="180" fillId="0" borderId="7" xfId="0" applyNumberFormat="1" applyFont="1" applyBorder="1"/>
    <xf numFmtId="164" fontId="180" fillId="0" borderId="7" xfId="0" applyFont="1" applyFill="1" applyBorder="1" applyAlignment="1">
      <alignment horizontal="center"/>
    </xf>
    <xf numFmtId="164" fontId="83" fillId="0" borderId="6" xfId="1" applyFont="1" applyBorder="1" applyAlignment="1">
      <alignment horizontal="left" vertical="center" wrapText="1"/>
    </xf>
    <xf numFmtId="0" fontId="180" fillId="0" borderId="6" xfId="0" applyNumberFormat="1" applyFont="1" applyBorder="1"/>
    <xf numFmtId="164" fontId="180" fillId="0" borderId="6" xfId="0" applyFont="1" applyFill="1" applyBorder="1" applyAlignment="1">
      <alignment horizontal="center"/>
    </xf>
    <xf numFmtId="164" fontId="83" fillId="0" borderId="4" xfId="1" applyFont="1" applyBorder="1" applyAlignment="1">
      <alignment horizontal="left" vertical="center" wrapText="1"/>
    </xf>
    <xf numFmtId="0" fontId="180" fillId="0" borderId="4" xfId="0" applyNumberFormat="1" applyFont="1" applyBorder="1"/>
    <xf numFmtId="164" fontId="180" fillId="0" borderId="4" xfId="0" applyFont="1" applyFill="1" applyBorder="1" applyAlignment="1">
      <alignment horizontal="center"/>
    </xf>
    <xf numFmtId="40" fontId="180" fillId="0" borderId="6" xfId="21" applyNumberFormat="1" applyFont="1" applyBorder="1" applyAlignment="1">
      <alignment horizontal="center" vertical="center" wrapText="1"/>
    </xf>
    <xf numFmtId="43" fontId="174" fillId="0" borderId="6" xfId="0" applyNumberFormat="1" applyFont="1" applyFill="1" applyBorder="1"/>
    <xf numFmtId="1" fontId="180" fillId="0" borderId="6" xfId="2" quotePrefix="1" applyNumberFormat="1" applyFont="1" applyBorder="1" applyAlignment="1">
      <alignment horizontal="left" vertical="center"/>
    </xf>
    <xf numFmtId="43" fontId="174" fillId="0" borderId="7" xfId="0" applyNumberFormat="1" applyFont="1" applyFill="1" applyBorder="1"/>
    <xf numFmtId="43" fontId="174" fillId="0" borderId="4" xfId="0" applyNumberFormat="1" applyFont="1" applyFill="1" applyBorder="1"/>
    <xf numFmtId="164" fontId="180" fillId="0" borderId="6" xfId="1" applyFont="1" applyFill="1" applyBorder="1" applyAlignment="1">
      <alignment horizontal="left" vertical="center" wrapText="1"/>
    </xf>
    <xf numFmtId="164" fontId="6" fillId="0" borderId="7" xfId="1" applyFont="1" applyFill="1" applyBorder="1" applyAlignment="1">
      <alignment horizontal="left" vertical="center" wrapText="1"/>
    </xf>
    <xf numFmtId="164" fontId="6" fillId="0" borderId="7" xfId="1" applyFont="1" applyBorder="1" applyAlignment="1">
      <alignment horizontal="left" vertical="center" wrapText="1"/>
    </xf>
    <xf numFmtId="40" fontId="180" fillId="0" borderId="7" xfId="21" applyNumberFormat="1" applyFont="1" applyBorder="1" applyAlignment="1">
      <alignment horizontal="center" vertical="center" wrapText="1"/>
    </xf>
    <xf numFmtId="164" fontId="6" fillId="0" borderId="6" xfId="1" applyFont="1" applyBorder="1" applyAlignment="1">
      <alignment horizontal="left" vertical="center" wrapText="1"/>
    </xf>
    <xf numFmtId="164" fontId="180" fillId="0" borderId="4" xfId="1" applyFont="1" applyFill="1" applyBorder="1" applyAlignment="1">
      <alignment horizontal="left" vertical="center" wrapText="1"/>
    </xf>
    <xf numFmtId="164" fontId="6" fillId="0" borderId="4" xfId="1" applyFont="1" applyBorder="1" applyAlignment="1">
      <alignment horizontal="left" vertical="center" wrapText="1"/>
    </xf>
    <xf numFmtId="0" fontId="6" fillId="3" borderId="5" xfId="2" quotePrefix="1" applyNumberFormat="1" applyFont="1" applyFill="1" applyBorder="1" applyAlignment="1">
      <alignment horizontal="center" vertical="center"/>
    </xf>
    <xf numFmtId="43" fontId="174" fillId="3" borderId="5" xfId="5" applyFont="1" applyFill="1" applyBorder="1" applyAlignment="1">
      <alignment horizontal="center" vertical="center"/>
    </xf>
    <xf numFmtId="1" fontId="4" fillId="3" borderId="7" xfId="0" applyNumberFormat="1" applyFont="1" applyFill="1" applyBorder="1" applyAlignment="1">
      <alignment horizontal="center" vertical="center"/>
    </xf>
    <xf numFmtId="164" fontId="0" fillId="3" borderId="4" xfId="0" applyFill="1" applyBorder="1"/>
    <xf numFmtId="174" fontId="4" fillId="3" borderId="7" xfId="0" applyNumberFormat="1" applyFont="1" applyFill="1" applyBorder="1" applyAlignment="1">
      <alignment horizontal="center" vertical="center"/>
    </xf>
    <xf numFmtId="164" fontId="4" fillId="3" borderId="4" xfId="0" applyFont="1" applyFill="1" applyBorder="1" applyAlignment="1"/>
    <xf numFmtId="164" fontId="4" fillId="3" borderId="7" xfId="0" quotePrefix="1" applyFont="1" applyFill="1" applyBorder="1" applyAlignment="1">
      <alignment horizontal="center" vertical="center"/>
    </xf>
    <xf numFmtId="164" fontId="4" fillId="3" borderId="6" xfId="0" applyFont="1" applyFill="1" applyBorder="1"/>
    <xf numFmtId="0" fontId="180" fillId="3" borderId="4" xfId="0" applyNumberFormat="1" applyFont="1" applyFill="1" applyBorder="1"/>
    <xf numFmtId="164" fontId="180" fillId="3" borderId="4" xfId="0" applyFont="1" applyFill="1" applyBorder="1" applyAlignment="1">
      <alignment horizontal="center"/>
    </xf>
    <xf numFmtId="164" fontId="1" fillId="2" borderId="1" xfId="0" applyFont="1" applyFill="1" applyBorder="1" applyAlignment="1">
      <alignment horizontal="center" vertical="center"/>
    </xf>
    <xf numFmtId="164" fontId="1" fillId="2" borderId="2" xfId="0" applyFont="1" applyFill="1" applyBorder="1" applyAlignment="1">
      <alignment horizontal="center" vertical="center"/>
    </xf>
    <xf numFmtId="164" fontId="1" fillId="2" borderId="12" xfId="0" applyFont="1" applyFill="1" applyBorder="1" applyAlignment="1">
      <alignment horizontal="center" vertical="center"/>
    </xf>
    <xf numFmtId="164" fontId="2" fillId="0" borderId="0" xfId="0" applyFont="1" applyAlignment="1">
      <alignment horizontal="center" vertical="center"/>
    </xf>
    <xf numFmtId="169" fontId="0" fillId="0" borderId="13" xfId="0" applyNumberFormat="1" applyBorder="1" applyAlignment="1">
      <alignment horizontal="center" vertical="center"/>
    </xf>
    <xf numFmtId="164" fontId="9" fillId="2" borderId="16" xfId="0" applyFont="1" applyFill="1" applyBorder="1" applyAlignment="1">
      <alignment horizontal="center" vertical="center"/>
    </xf>
    <xf numFmtId="164" fontId="9" fillId="2" borderId="8" xfId="0" applyFont="1" applyFill="1" applyBorder="1" applyAlignment="1">
      <alignment horizontal="center" vertical="center"/>
    </xf>
    <xf numFmtId="37" fontId="10" fillId="5" borderId="1" xfId="3" applyNumberFormat="1" applyFont="1" applyFill="1" applyBorder="1" applyAlignment="1">
      <alignment horizontal="left" vertical="center" wrapText="1"/>
    </xf>
    <xf numFmtId="37" fontId="10" fillId="4" borderId="1" xfId="3" applyNumberFormat="1" applyFont="1" applyFill="1" applyBorder="1" applyAlignment="1">
      <alignment horizontal="left" vertical="center"/>
    </xf>
    <xf numFmtId="37" fontId="10" fillId="4" borderId="9" xfId="3" applyNumberFormat="1" applyFont="1" applyFill="1" applyBorder="1" applyAlignment="1">
      <alignment horizontal="left" vertical="center" wrapText="1"/>
    </xf>
    <xf numFmtId="37" fontId="10" fillId="4" borderId="10" xfId="3" applyNumberFormat="1" applyFont="1" applyFill="1" applyBorder="1" applyAlignment="1">
      <alignment horizontal="left" vertical="center" wrapText="1"/>
    </xf>
    <xf numFmtId="37" fontId="10" fillId="5" borderId="2" xfId="3" applyNumberFormat="1" applyFont="1" applyFill="1" applyBorder="1" applyAlignment="1">
      <alignment horizontal="left" vertical="center" wrapText="1"/>
    </xf>
    <xf numFmtId="37" fontId="10" fillId="5" borderId="3" xfId="3" applyNumberFormat="1" applyFont="1" applyFill="1" applyBorder="1" applyAlignment="1">
      <alignment horizontal="left" vertical="center" wrapText="1"/>
    </xf>
    <xf numFmtId="37" fontId="11" fillId="4" borderId="1" xfId="3" applyNumberFormat="1" applyFont="1" applyFill="1" applyBorder="1" applyAlignment="1">
      <alignment horizontal="left" vertical="center"/>
    </xf>
    <xf numFmtId="169" fontId="0" fillId="3" borderId="13" xfId="0" applyNumberFormat="1" applyFill="1" applyBorder="1" applyAlignment="1">
      <alignment horizontal="center" vertical="center"/>
    </xf>
    <xf numFmtId="169" fontId="14" fillId="3" borderId="13" xfId="0" applyNumberFormat="1" applyFont="1" applyFill="1" applyBorder="1" applyAlignment="1">
      <alignment horizontal="center" vertical="center"/>
    </xf>
    <xf numFmtId="37" fontId="10" fillId="5" borderId="12" xfId="3" applyNumberFormat="1" applyFont="1" applyFill="1" applyBorder="1" applyAlignment="1">
      <alignment horizontal="left" vertical="center" wrapText="1"/>
    </xf>
    <xf numFmtId="164" fontId="17" fillId="0" borderId="0" xfId="0" applyFont="1" applyAlignment="1">
      <alignment horizontal="center"/>
    </xf>
    <xf numFmtId="172" fontId="0" fillId="0" borderId="7" xfId="3" applyNumberFormat="1" applyFont="1" applyBorder="1" applyAlignment="1">
      <alignment horizontal="center" vertical="center"/>
    </xf>
    <xf numFmtId="172" fontId="0" fillId="0" borderId="4" xfId="3" applyNumberFormat="1" applyFont="1" applyBorder="1" applyAlignment="1">
      <alignment horizontal="center" vertical="center"/>
    </xf>
    <xf numFmtId="164" fontId="18" fillId="2" borderId="2" xfId="0" applyFont="1" applyFill="1" applyBorder="1" applyAlignment="1">
      <alignment horizontal="center" vertical="center"/>
    </xf>
    <xf numFmtId="164" fontId="18" fillId="2" borderId="3" xfId="0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" fontId="9" fillId="2" borderId="12" xfId="0" applyNumberFormat="1" applyFont="1" applyFill="1" applyBorder="1" applyAlignment="1">
      <alignment horizontal="center" vertical="center"/>
    </xf>
    <xf numFmtId="164" fontId="9" fillId="2" borderId="2" xfId="0" applyFont="1" applyFill="1" applyBorder="1" applyAlignment="1">
      <alignment horizontal="center" vertical="center"/>
    </xf>
    <xf numFmtId="164" fontId="9" fillId="2" borderId="12" xfId="0" applyFont="1" applyFill="1" applyBorder="1" applyAlignment="1">
      <alignment horizontal="center" vertical="center"/>
    </xf>
    <xf numFmtId="174" fontId="9" fillId="2" borderId="2" xfId="0" applyNumberFormat="1" applyFont="1" applyFill="1" applyBorder="1" applyAlignment="1">
      <alignment horizontal="center" vertical="center"/>
    </xf>
    <xf numFmtId="174" fontId="9" fillId="2" borderId="12" xfId="0" applyNumberFormat="1" applyFont="1" applyFill="1" applyBorder="1" applyAlignment="1">
      <alignment horizontal="center" vertical="center"/>
    </xf>
    <xf numFmtId="164" fontId="9" fillId="2" borderId="2" xfId="0" applyFont="1" applyFill="1" applyBorder="1" applyAlignment="1">
      <alignment horizontal="center" vertical="center" wrapText="1"/>
    </xf>
    <xf numFmtId="164" fontId="9" fillId="2" borderId="12" xfId="0" applyFont="1" applyFill="1" applyBorder="1" applyAlignment="1">
      <alignment horizontal="center" vertical="center" wrapText="1"/>
    </xf>
    <xf numFmtId="164" fontId="9" fillId="2" borderId="2" xfId="0" applyFont="1" applyFill="1" applyBorder="1" applyAlignment="1">
      <alignment vertical="center"/>
    </xf>
    <xf numFmtId="164" fontId="9" fillId="2" borderId="12" xfId="0" applyFont="1" applyFill="1" applyBorder="1" applyAlignment="1">
      <alignment vertical="center"/>
    </xf>
    <xf numFmtId="164" fontId="14" fillId="3" borderId="0" xfId="0" applyFont="1" applyFill="1" applyAlignment="1">
      <alignment horizontal="center" wrapText="1"/>
    </xf>
    <xf numFmtId="164" fontId="14" fillId="3" borderId="0" xfId="0" applyFont="1" applyFill="1" applyAlignment="1">
      <alignment horizontal="center"/>
    </xf>
    <xf numFmtId="17" fontId="2" fillId="3" borderId="0" xfId="0" applyNumberFormat="1" applyFont="1" applyFill="1" applyAlignment="1">
      <alignment horizontal="center" vertical="center"/>
    </xf>
    <xf numFmtId="164" fontId="18" fillId="2" borderId="13" xfId="0" applyFont="1" applyFill="1" applyBorder="1" applyAlignment="1">
      <alignment horizontal="center" vertical="center"/>
    </xf>
    <xf numFmtId="164" fontId="18" fillId="2" borderId="14" xfId="0" applyFont="1" applyFill="1" applyBorder="1" applyAlignment="1">
      <alignment horizontal="center" vertical="center"/>
    </xf>
    <xf numFmtId="164" fontId="18" fillId="2" borderId="9" xfId="0" applyFont="1" applyFill="1" applyBorder="1" applyAlignment="1">
      <alignment horizontal="center" vertical="center"/>
    </xf>
    <xf numFmtId="164" fontId="18" fillId="2" borderId="11" xfId="0" applyFont="1" applyFill="1" applyBorder="1" applyAlignment="1">
      <alignment horizontal="center" vertical="center"/>
    </xf>
    <xf numFmtId="164" fontId="18" fillId="2" borderId="10" xfId="0" applyFont="1" applyFill="1" applyBorder="1" applyAlignment="1">
      <alignment horizontal="center" vertical="center"/>
    </xf>
    <xf numFmtId="166" fontId="0" fillId="0" borderId="7" xfId="3" applyNumberFormat="1" applyFont="1" applyBorder="1" applyAlignment="1">
      <alignment horizontal="center" vertical="center"/>
    </xf>
    <xf numFmtId="166" fontId="0" fillId="0" borderId="6" xfId="3" applyNumberFormat="1" applyFont="1" applyBorder="1" applyAlignment="1">
      <alignment horizontal="center" vertical="center"/>
    </xf>
    <xf numFmtId="166" fontId="0" fillId="0" borderId="4" xfId="3" applyNumberFormat="1" applyFont="1" applyBorder="1" applyAlignment="1">
      <alignment horizontal="center" vertical="center"/>
    </xf>
    <xf numFmtId="164" fontId="9" fillId="2" borderId="9" xfId="0" applyFont="1" applyFill="1" applyBorder="1" applyAlignment="1">
      <alignment horizontal="center" vertical="center" wrapText="1"/>
    </xf>
    <xf numFmtId="164" fontId="9" fillId="2" borderId="10" xfId="0" applyFont="1" applyFill="1" applyBorder="1" applyAlignment="1">
      <alignment horizontal="center" vertical="center" wrapText="1"/>
    </xf>
    <xf numFmtId="164" fontId="9" fillId="2" borderId="1" xfId="0" applyFont="1" applyFill="1" applyBorder="1" applyAlignment="1">
      <alignment horizontal="center" vertical="center"/>
    </xf>
    <xf numFmtId="172" fontId="4" fillId="0" borderId="7" xfId="3" applyNumberFormat="1" applyFont="1" applyBorder="1" applyAlignment="1">
      <alignment horizontal="center" vertical="center"/>
    </xf>
    <xf numFmtId="172" fontId="4" fillId="0" borderId="6" xfId="3" applyNumberFormat="1" applyFont="1" applyBorder="1" applyAlignment="1">
      <alignment horizontal="center" vertical="center"/>
    </xf>
    <xf numFmtId="172" fontId="4" fillId="0" borderId="4" xfId="3" applyNumberFormat="1" applyFont="1" applyBorder="1" applyAlignment="1">
      <alignment horizontal="center" vertical="center"/>
    </xf>
    <xf numFmtId="172" fontId="0" fillId="0" borderId="6" xfId="3" applyNumberFormat="1" applyFont="1" applyBorder="1" applyAlignment="1">
      <alignment horizontal="center" vertical="center"/>
    </xf>
    <xf numFmtId="172" fontId="4" fillId="0" borderId="7" xfId="3" applyNumberFormat="1" applyFont="1" applyBorder="1" applyAlignment="1">
      <alignment horizontal="right" vertical="center"/>
    </xf>
    <xf numFmtId="172" fontId="4" fillId="0" borderId="6" xfId="3" applyNumberFormat="1" applyFont="1" applyBorder="1" applyAlignment="1">
      <alignment horizontal="right" vertical="center"/>
    </xf>
    <xf numFmtId="172" fontId="4" fillId="0" borderId="4" xfId="3" applyNumberFormat="1" applyFont="1" applyBorder="1" applyAlignment="1">
      <alignment horizontal="right" vertical="center"/>
    </xf>
    <xf numFmtId="43" fontId="0" fillId="0" borderId="7" xfId="0" applyNumberFormat="1" applyFont="1" applyBorder="1" applyAlignment="1">
      <alignment horizontal="center"/>
    </xf>
    <xf numFmtId="43" fontId="0" fillId="0" borderId="4" xfId="0" applyNumberFormat="1" applyFont="1" applyBorder="1" applyAlignment="1">
      <alignment horizontal="center"/>
    </xf>
    <xf numFmtId="43" fontId="0" fillId="3" borderId="7" xfId="0" applyNumberFormat="1" applyFont="1" applyFill="1" applyBorder="1" applyAlignment="1">
      <alignment horizontal="center"/>
    </xf>
    <xf numFmtId="43" fontId="0" fillId="3" borderId="6" xfId="0" applyNumberFormat="1" applyFont="1" applyFill="1" applyBorder="1" applyAlignment="1">
      <alignment horizontal="center"/>
    </xf>
    <xf numFmtId="43" fontId="0" fillId="3" borderId="4" xfId="0" applyNumberFormat="1" applyFont="1" applyFill="1" applyBorder="1" applyAlignment="1">
      <alignment horizontal="center"/>
    </xf>
    <xf numFmtId="43" fontId="0" fillId="0" borderId="6" xfId="0" applyNumberFormat="1" applyFont="1" applyBorder="1" applyAlignment="1">
      <alignment horizontal="center"/>
    </xf>
    <xf numFmtId="43" fontId="0" fillId="0" borderId="7" xfId="0" applyNumberFormat="1" applyBorder="1" applyAlignment="1">
      <alignment horizontal="center" vertical="center"/>
    </xf>
    <xf numFmtId="43" fontId="0" fillId="0" borderId="4" xfId="0" applyNumberFormat="1" applyBorder="1" applyAlignment="1">
      <alignment horizontal="center" vertical="center"/>
    </xf>
    <xf numFmtId="43" fontId="0" fillId="0" borderId="6" xfId="0" applyNumberFormat="1" applyBorder="1" applyAlignment="1">
      <alignment horizontal="center" vertical="center"/>
    </xf>
    <xf numFmtId="43" fontId="0" fillId="0" borderId="5" xfId="0" applyNumberFormat="1" applyBorder="1" applyAlignment="1">
      <alignment horizontal="center" vertical="center"/>
    </xf>
    <xf numFmtId="43" fontId="0" fillId="0" borderId="7" xfId="3" applyNumberFormat="1" applyFont="1" applyBorder="1" applyAlignment="1">
      <alignment horizontal="center" vertical="center"/>
    </xf>
    <xf numFmtId="43" fontId="0" fillId="0" borderId="6" xfId="3" applyNumberFormat="1" applyFont="1" applyBorder="1" applyAlignment="1">
      <alignment horizontal="center" vertical="center"/>
    </xf>
    <xf numFmtId="43" fontId="0" fillId="0" borderId="4" xfId="3" applyNumberFormat="1" applyFon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4" fontId="0" fillId="0" borderId="7" xfId="0" applyBorder="1" applyAlignment="1">
      <alignment horizontal="center"/>
    </xf>
    <xf numFmtId="164" fontId="0" fillId="0" borderId="6" xfId="0" applyBorder="1" applyAlignment="1">
      <alignment horizontal="center"/>
    </xf>
    <xf numFmtId="164" fontId="0" fillId="0" borderId="4" xfId="0" applyBorder="1" applyAlignment="1">
      <alignment horizontal="center"/>
    </xf>
    <xf numFmtId="43" fontId="0" fillId="0" borderId="48" xfId="3" applyNumberFormat="1" applyFont="1" applyBorder="1" applyAlignment="1">
      <alignment horizontal="center" vertical="center"/>
    </xf>
    <xf numFmtId="43" fontId="0" fillId="0" borderId="50" xfId="3" applyNumberFormat="1" applyFont="1" applyBorder="1" applyAlignment="1">
      <alignment horizontal="center" vertical="center"/>
    </xf>
    <xf numFmtId="43" fontId="0" fillId="0" borderId="54" xfId="3" applyNumberFormat="1" applyFont="1" applyBorder="1" applyAlignment="1">
      <alignment horizontal="center" vertical="center"/>
    </xf>
    <xf numFmtId="43" fontId="0" fillId="0" borderId="52" xfId="3" applyNumberFormat="1" applyFont="1" applyBorder="1" applyAlignment="1">
      <alignment horizontal="center" vertical="center"/>
    </xf>
    <xf numFmtId="43" fontId="0" fillId="0" borderId="48" xfId="0" applyNumberFormat="1" applyBorder="1" applyAlignment="1">
      <alignment horizontal="center" vertical="center"/>
    </xf>
    <xf numFmtId="43" fontId="0" fillId="0" borderId="50" xfId="0" applyNumberFormat="1" applyBorder="1" applyAlignment="1">
      <alignment horizontal="center" vertical="center"/>
    </xf>
    <xf numFmtId="43" fontId="0" fillId="0" borderId="52" xfId="0" applyNumberFormat="1" applyBorder="1" applyAlignment="1">
      <alignment horizontal="center" vertical="center"/>
    </xf>
    <xf numFmtId="43" fontId="0" fillId="0" borderId="7" xfId="0" applyNumberFormat="1" applyBorder="1" applyAlignment="1">
      <alignment horizontal="center"/>
    </xf>
    <xf numFmtId="43" fontId="0" fillId="0" borderId="6" xfId="0" applyNumberFormat="1" applyBorder="1" applyAlignment="1">
      <alignment horizontal="center"/>
    </xf>
    <xf numFmtId="43" fontId="0" fillId="0" borderId="4" xfId="0" applyNumberFormat="1" applyBorder="1" applyAlignment="1">
      <alignment horizontal="center"/>
    </xf>
    <xf numFmtId="164" fontId="9" fillId="2" borderId="1" xfId="0" applyFont="1" applyFill="1" applyBorder="1" applyAlignment="1">
      <alignment horizontal="center" vertical="center" wrapText="1"/>
    </xf>
    <xf numFmtId="43" fontId="0" fillId="0" borderId="7" xfId="3" applyFont="1" applyBorder="1" applyAlignment="1">
      <alignment horizontal="center" vertical="center"/>
    </xf>
    <xf numFmtId="43" fontId="0" fillId="0" borderId="6" xfId="3" applyFont="1" applyBorder="1" applyAlignment="1">
      <alignment horizontal="center" vertical="center"/>
    </xf>
    <xf numFmtId="43" fontId="0" fillId="0" borderId="4" xfId="3" applyFont="1" applyBorder="1" applyAlignment="1">
      <alignment horizontal="center" vertical="center"/>
    </xf>
    <xf numFmtId="164" fontId="0" fillId="0" borderId="7" xfId="0" applyBorder="1" applyAlignment="1">
      <alignment horizontal="center" vertical="center"/>
    </xf>
    <xf numFmtId="164" fontId="0" fillId="0" borderId="6" xfId="0" applyBorder="1" applyAlignment="1">
      <alignment horizontal="center" vertical="center"/>
    </xf>
    <xf numFmtId="164" fontId="0" fillId="0" borderId="4" xfId="0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43" fontId="9" fillId="2" borderId="2" xfId="0" applyNumberFormat="1" applyFont="1" applyFill="1" applyBorder="1" applyAlignment="1">
      <alignment horizontal="center" vertical="center"/>
    </xf>
    <xf numFmtId="43" fontId="0" fillId="0" borderId="7" xfId="3" applyNumberFormat="1" applyFont="1" applyFill="1" applyBorder="1" applyAlignment="1">
      <alignment horizontal="center"/>
    </xf>
    <xf numFmtId="43" fontId="0" fillId="0" borderId="4" xfId="3" applyNumberFormat="1" applyFont="1" applyFill="1" applyBorder="1" applyAlignment="1">
      <alignment horizontal="center"/>
    </xf>
    <xf numFmtId="43" fontId="0" fillId="0" borderId="6" xfId="3" applyNumberFormat="1" applyFont="1" applyFill="1" applyBorder="1" applyAlignment="1">
      <alignment horizontal="center"/>
    </xf>
    <xf numFmtId="43" fontId="25" fillId="0" borderId="7" xfId="0" applyNumberFormat="1" applyFont="1" applyFill="1" applyBorder="1" applyAlignment="1">
      <alignment horizontal="center" vertical="center"/>
    </xf>
    <xf numFmtId="43" fontId="25" fillId="0" borderId="6" xfId="0" applyNumberFormat="1" applyFont="1" applyFill="1" applyBorder="1" applyAlignment="1">
      <alignment horizontal="center" vertical="center"/>
    </xf>
    <xf numFmtId="43" fontId="25" fillId="0" borderId="4" xfId="0" applyNumberFormat="1" applyFont="1" applyFill="1" applyBorder="1" applyAlignment="1">
      <alignment horizontal="center" vertical="center"/>
    </xf>
    <xf numFmtId="43" fontId="0" fillId="0" borderId="7" xfId="3" applyFont="1" applyFill="1" applyBorder="1" applyAlignment="1">
      <alignment horizontal="center" vertical="center"/>
    </xf>
    <xf numFmtId="43" fontId="0" fillId="0" borderId="6" xfId="3" applyFont="1" applyFill="1" applyBorder="1" applyAlignment="1">
      <alignment horizontal="center" vertical="center"/>
    </xf>
    <xf numFmtId="43" fontId="0" fillId="0" borderId="4" xfId="3" applyFont="1" applyFill="1" applyBorder="1" applyAlignment="1">
      <alignment horizontal="center" vertical="center"/>
    </xf>
    <xf numFmtId="172" fontId="30" fillId="0" borderId="23" xfId="3" applyNumberFormat="1" applyFont="1" applyBorder="1" applyAlignment="1">
      <alignment horizontal="center" vertical="center"/>
    </xf>
    <xf numFmtId="172" fontId="30" fillId="0" borderId="20" xfId="3" applyNumberFormat="1" applyFont="1" applyBorder="1" applyAlignment="1">
      <alignment horizontal="center" vertical="center"/>
    </xf>
    <xf numFmtId="172" fontId="30" fillId="0" borderId="21" xfId="3" applyNumberFormat="1" applyFont="1" applyBorder="1" applyAlignment="1">
      <alignment horizontal="center" vertical="center"/>
    </xf>
    <xf numFmtId="172" fontId="0" fillId="0" borderId="7" xfId="3" applyNumberFormat="1" applyFont="1" applyFill="1" applyBorder="1" applyAlignment="1">
      <alignment horizontal="center" vertical="center"/>
    </xf>
    <xf numFmtId="172" fontId="0" fillId="0" borderId="6" xfId="3" applyNumberFormat="1" applyFont="1" applyFill="1" applyBorder="1" applyAlignment="1">
      <alignment horizontal="center" vertical="center"/>
    </xf>
    <xf numFmtId="172" fontId="0" fillId="0" borderId="4" xfId="3" applyNumberFormat="1" applyFont="1" applyFill="1" applyBorder="1" applyAlignment="1">
      <alignment horizontal="center" vertical="center"/>
    </xf>
    <xf numFmtId="43" fontId="0" fillId="0" borderId="7" xfId="3" applyNumberFormat="1" applyFont="1" applyFill="1" applyBorder="1" applyAlignment="1">
      <alignment horizontal="center" vertical="center"/>
    </xf>
    <xf numFmtId="43" fontId="0" fillId="0" borderId="6" xfId="3" applyNumberFormat="1" applyFont="1" applyFill="1" applyBorder="1" applyAlignment="1">
      <alignment horizontal="center" vertical="center"/>
    </xf>
    <xf numFmtId="43" fontId="0" fillId="0" borderId="4" xfId="3" applyNumberFormat="1" applyFont="1" applyFill="1" applyBorder="1" applyAlignment="1">
      <alignment horizontal="center" vertical="center"/>
    </xf>
    <xf numFmtId="43" fontId="0" fillId="0" borderId="5" xfId="3" applyFont="1" applyBorder="1" applyAlignment="1">
      <alignment horizontal="center" vertical="center"/>
    </xf>
    <xf numFmtId="17" fontId="1" fillId="10" borderId="5" xfId="7" applyNumberFormat="1" applyFont="1" applyFill="1" applyBorder="1" applyAlignment="1">
      <alignment horizontal="center" vertical="center"/>
    </xf>
    <xf numFmtId="0" fontId="8" fillId="0" borderId="5" xfId="7" applyBorder="1" applyAlignment="1">
      <alignment horizontal="center"/>
    </xf>
  </cellXfs>
  <cellStyles count="1313">
    <cellStyle name="_x0001_" xfId="23"/>
    <cellStyle name="??" xfId="24"/>
    <cellStyle name="?? [0.00]_PRODUCT DETAIL Q1" xfId="25"/>
    <cellStyle name="?? [0]" xfId="26"/>
    <cellStyle name="???? [0.00]_PRODUCT DETAIL Q1" xfId="27"/>
    <cellStyle name="????_PRODUCT DETAIL Q1" xfId="28"/>
    <cellStyle name="???_???" xfId="29"/>
    <cellStyle name="??_(????)??????" xfId="30"/>
    <cellStyle name="W_©Ï´" xfId="31"/>
    <cellStyle name="0,0_x000d__x000a_NA_x000d__x000a_" xfId="32"/>
    <cellStyle name="20% - Accent1 2" xfId="33"/>
    <cellStyle name="20% - Accent2 2" xfId="34"/>
    <cellStyle name="20% - Accent3 2" xfId="35"/>
    <cellStyle name="20% - Accent4 2" xfId="36"/>
    <cellStyle name="20% - Accent5 2" xfId="37"/>
    <cellStyle name="20% - Accent6 2" xfId="38"/>
    <cellStyle name="20% - アクセント 1 2" xfId="39"/>
    <cellStyle name="20% - アクセント 1 2 2" xfId="40"/>
    <cellStyle name="20% - アクセント 1 2_TMAB611(危険品GLUE)" xfId="41"/>
    <cellStyle name="20% - アクセント 1 3" xfId="42"/>
    <cellStyle name="20% - アクセント 2 2" xfId="43"/>
    <cellStyle name="20% - アクセント 2 2 2" xfId="44"/>
    <cellStyle name="20% - アクセント 2 2_TMAB611(危険品GLUE)" xfId="45"/>
    <cellStyle name="20% - アクセント 2 3" xfId="46"/>
    <cellStyle name="20% - アクセント 3 2" xfId="47"/>
    <cellStyle name="20% - アクセント 3 2 2" xfId="48"/>
    <cellStyle name="20% - アクセント 3 2_TMAB611(危険品GLUE)" xfId="49"/>
    <cellStyle name="20% - アクセント 3 3" xfId="50"/>
    <cellStyle name="20% - アクセント 4 2" xfId="51"/>
    <cellStyle name="20% - アクセント 4 2 2" xfId="52"/>
    <cellStyle name="20% - アクセント 4 2_TMAB611(危険品GLUE)" xfId="53"/>
    <cellStyle name="20% - アクセント 4 3" xfId="54"/>
    <cellStyle name="20% - アクセント 5 2" xfId="55"/>
    <cellStyle name="20% - アクセント 5 2 2" xfId="56"/>
    <cellStyle name="20% - アクセント 5 2_TMAB611(危険品GLUE)" xfId="57"/>
    <cellStyle name="20% - アクセント 5 3" xfId="58"/>
    <cellStyle name="20% - アクセント 6 2" xfId="59"/>
    <cellStyle name="20% - アクセント 6 2 2" xfId="60"/>
    <cellStyle name="20% - アクセント 6 2_TMAB611(危険品GLUE)" xfId="61"/>
    <cellStyle name="20% - アクセント 6 3" xfId="62"/>
    <cellStyle name="20% - 강조색1 2" xfId="63"/>
    <cellStyle name="20% - 강조색1 2 2" xfId="64"/>
    <cellStyle name="20% - 강조색1 3" xfId="65"/>
    <cellStyle name="20% - 강조색1 3 2" xfId="66"/>
    <cellStyle name="20% - 강조색1 4" xfId="67"/>
    <cellStyle name="20% - 강조색1 4 2" xfId="68"/>
    <cellStyle name="20% - 강조색1 5" xfId="69"/>
    <cellStyle name="20% - 강조색1 5 2" xfId="70"/>
    <cellStyle name="20% - 강조색1 6" xfId="71"/>
    <cellStyle name="20% - 강조색1 6 2" xfId="72"/>
    <cellStyle name="20% - 강조색1 7" xfId="73"/>
    <cellStyle name="20% - 강조색1 7 2" xfId="74"/>
    <cellStyle name="20% - 강조색1 8" xfId="75"/>
    <cellStyle name="20% - 강조색1 8 2" xfId="76"/>
    <cellStyle name="20% - 강조색1 9" xfId="77"/>
    <cellStyle name="20% - 강조색1 9 2" xfId="78"/>
    <cellStyle name="20% - 강조색2 2" xfId="79"/>
    <cellStyle name="20% - 강조색2 2 2" xfId="80"/>
    <cellStyle name="20% - 강조색2 3" xfId="81"/>
    <cellStyle name="20% - 강조색2 3 2" xfId="82"/>
    <cellStyle name="20% - 강조색2 4" xfId="83"/>
    <cellStyle name="20% - 강조색2 4 2" xfId="84"/>
    <cellStyle name="20% - 강조색2 5" xfId="85"/>
    <cellStyle name="20% - 강조색2 5 2" xfId="86"/>
    <cellStyle name="20% - 강조색2 6" xfId="87"/>
    <cellStyle name="20% - 강조색2 6 2" xfId="88"/>
    <cellStyle name="20% - 강조색2 7" xfId="89"/>
    <cellStyle name="20% - 강조색2 7 2" xfId="90"/>
    <cellStyle name="20% - 강조색2 8" xfId="91"/>
    <cellStyle name="20% - 강조색2 8 2" xfId="92"/>
    <cellStyle name="20% - 강조색2 9" xfId="93"/>
    <cellStyle name="20% - 강조색2 9 2" xfId="94"/>
    <cellStyle name="20% - 강조색3 2" xfId="95"/>
    <cellStyle name="20% - 강조색3 2 2" xfId="96"/>
    <cellStyle name="20% - 강조색3 3" xfId="97"/>
    <cellStyle name="20% - 강조색3 3 2" xfId="98"/>
    <cellStyle name="20% - 강조색3 4" xfId="99"/>
    <cellStyle name="20% - 강조색3 4 2" xfId="100"/>
    <cellStyle name="20% - 강조색3 5" xfId="101"/>
    <cellStyle name="20% - 강조색3 5 2" xfId="102"/>
    <cellStyle name="20% - 강조색3 6" xfId="103"/>
    <cellStyle name="20% - 강조색3 6 2" xfId="104"/>
    <cellStyle name="20% - 강조색3 7" xfId="105"/>
    <cellStyle name="20% - 강조색3 7 2" xfId="106"/>
    <cellStyle name="20% - 강조색3 8" xfId="107"/>
    <cellStyle name="20% - 강조색3 8 2" xfId="108"/>
    <cellStyle name="20% - 강조색3 9" xfId="109"/>
    <cellStyle name="20% - 강조색3 9 2" xfId="110"/>
    <cellStyle name="20% - 강조색4 2" xfId="111"/>
    <cellStyle name="20% - 강조색4 2 2" xfId="112"/>
    <cellStyle name="20% - 강조색4 3" xfId="113"/>
    <cellStyle name="20% - 강조색4 3 2" xfId="114"/>
    <cellStyle name="20% - 강조색4 4" xfId="115"/>
    <cellStyle name="20% - 강조색4 4 2" xfId="116"/>
    <cellStyle name="20% - 강조색4 5" xfId="117"/>
    <cellStyle name="20% - 강조색4 5 2" xfId="118"/>
    <cellStyle name="20% - 강조색4 6" xfId="119"/>
    <cellStyle name="20% - 강조색4 6 2" xfId="120"/>
    <cellStyle name="20% - 강조색4 7" xfId="121"/>
    <cellStyle name="20% - 강조색4 7 2" xfId="122"/>
    <cellStyle name="20% - 강조색4 8" xfId="123"/>
    <cellStyle name="20% - 강조색4 8 2" xfId="124"/>
    <cellStyle name="20% - 강조색4 9" xfId="125"/>
    <cellStyle name="20% - 강조색4 9 2" xfId="126"/>
    <cellStyle name="20% - 강조색5 2" xfId="127"/>
    <cellStyle name="20% - 강조색5 2 2" xfId="128"/>
    <cellStyle name="20% - 강조색5 3" xfId="129"/>
    <cellStyle name="20% - 강조색5 3 2" xfId="130"/>
    <cellStyle name="20% - 강조색5 4" xfId="131"/>
    <cellStyle name="20% - 강조색5 4 2" xfId="132"/>
    <cellStyle name="20% - 강조색5 5" xfId="133"/>
    <cellStyle name="20% - 강조색5 5 2" xfId="134"/>
    <cellStyle name="20% - 강조색5 6" xfId="135"/>
    <cellStyle name="20% - 강조색5 6 2" xfId="136"/>
    <cellStyle name="20% - 강조색5 7" xfId="137"/>
    <cellStyle name="20% - 강조색5 7 2" xfId="138"/>
    <cellStyle name="20% - 강조색5 8" xfId="139"/>
    <cellStyle name="20% - 강조색5 8 2" xfId="140"/>
    <cellStyle name="20% - 강조색5 9" xfId="141"/>
    <cellStyle name="20% - 강조색5 9 2" xfId="142"/>
    <cellStyle name="20% - 강조색6 2" xfId="143"/>
    <cellStyle name="20% - 강조색6 2 2" xfId="144"/>
    <cellStyle name="20% - 강조색6 3" xfId="145"/>
    <cellStyle name="20% - 강조색6 3 2" xfId="146"/>
    <cellStyle name="20% - 강조색6 4" xfId="147"/>
    <cellStyle name="20% - 강조색6 4 2" xfId="148"/>
    <cellStyle name="20% - 강조색6 5" xfId="149"/>
    <cellStyle name="20% - 강조색6 5 2" xfId="150"/>
    <cellStyle name="20% - 강조색6 6" xfId="151"/>
    <cellStyle name="20% - 강조색6 6 2" xfId="152"/>
    <cellStyle name="20% - 강조색6 7" xfId="153"/>
    <cellStyle name="20% - 강조색6 7 2" xfId="154"/>
    <cellStyle name="20% - 강조색6 8" xfId="155"/>
    <cellStyle name="20% - 강조색6 8 2" xfId="156"/>
    <cellStyle name="20% - 강조색6 9" xfId="157"/>
    <cellStyle name="20% - 강조색6 9 2" xfId="158"/>
    <cellStyle name="40% - Accent1 2" xfId="159"/>
    <cellStyle name="40% - Accent2 2" xfId="160"/>
    <cellStyle name="40% - Accent3 2" xfId="161"/>
    <cellStyle name="40% - Accent4 2" xfId="162"/>
    <cellStyle name="40% - Accent5 2" xfId="163"/>
    <cellStyle name="40% - Accent6 2" xfId="164"/>
    <cellStyle name="40% - アクセント 1 2" xfId="165"/>
    <cellStyle name="40% - アクセント 1 2 2" xfId="166"/>
    <cellStyle name="40% - アクセント 1 2_TMAB611(危険品GLUE)" xfId="167"/>
    <cellStyle name="40% - アクセント 1 3" xfId="168"/>
    <cellStyle name="40% - アクセント 2 2" xfId="169"/>
    <cellStyle name="40% - アクセント 2 2 2" xfId="170"/>
    <cellStyle name="40% - アクセント 2 2_TMAB611(危険品GLUE)" xfId="171"/>
    <cellStyle name="40% - アクセント 2 3" xfId="172"/>
    <cellStyle name="40% - アクセント 3 2" xfId="173"/>
    <cellStyle name="40% - アクセント 3 2 2" xfId="174"/>
    <cellStyle name="40% - アクセント 3 2_TMAB611(危険品GLUE)" xfId="175"/>
    <cellStyle name="40% - アクセント 3 3" xfId="176"/>
    <cellStyle name="40% - アクセント 4 2" xfId="177"/>
    <cellStyle name="40% - アクセント 4 2 2" xfId="178"/>
    <cellStyle name="40% - アクセント 4 2_TMAB611(危険品GLUE)" xfId="179"/>
    <cellStyle name="40% - アクセント 4 3" xfId="180"/>
    <cellStyle name="40% - アクセント 5 2" xfId="181"/>
    <cellStyle name="40% - アクセント 5 2 2" xfId="182"/>
    <cellStyle name="40% - アクセント 5 2_TMAB611(危険品GLUE)" xfId="183"/>
    <cellStyle name="40% - アクセント 5 3" xfId="184"/>
    <cellStyle name="40% - アクセント 6 2" xfId="185"/>
    <cellStyle name="40% - アクセント 6 2 2" xfId="186"/>
    <cellStyle name="40% - アクセント 6 2_TMAB611(危険品GLUE)" xfId="187"/>
    <cellStyle name="40% - アクセント 6 3" xfId="188"/>
    <cellStyle name="40% - 강조색1 2" xfId="189"/>
    <cellStyle name="40% - 강조색1 2 2" xfId="190"/>
    <cellStyle name="40% - 강조색1 3" xfId="191"/>
    <cellStyle name="40% - 강조색1 3 2" xfId="192"/>
    <cellStyle name="40% - 강조색1 4" xfId="193"/>
    <cellStyle name="40% - 강조색1 4 2" xfId="194"/>
    <cellStyle name="40% - 강조색1 5" xfId="195"/>
    <cellStyle name="40% - 강조색1 5 2" xfId="196"/>
    <cellStyle name="40% - 강조색1 6" xfId="197"/>
    <cellStyle name="40% - 강조색1 6 2" xfId="198"/>
    <cellStyle name="40% - 강조색1 7" xfId="199"/>
    <cellStyle name="40% - 강조색1 7 2" xfId="200"/>
    <cellStyle name="40% - 강조색1 8" xfId="201"/>
    <cellStyle name="40% - 강조색1 8 2" xfId="202"/>
    <cellStyle name="40% - 강조색1 9" xfId="203"/>
    <cellStyle name="40% - 강조색1 9 2" xfId="204"/>
    <cellStyle name="40% - 강조색2 2" xfId="205"/>
    <cellStyle name="40% - 강조색2 2 2" xfId="206"/>
    <cellStyle name="40% - 강조색2 3" xfId="207"/>
    <cellStyle name="40% - 강조색2 3 2" xfId="208"/>
    <cellStyle name="40% - 강조색2 4" xfId="209"/>
    <cellStyle name="40% - 강조색2 4 2" xfId="210"/>
    <cellStyle name="40% - 강조색2 5" xfId="211"/>
    <cellStyle name="40% - 강조색2 5 2" xfId="212"/>
    <cellStyle name="40% - 강조색2 6" xfId="213"/>
    <cellStyle name="40% - 강조색2 6 2" xfId="214"/>
    <cellStyle name="40% - 강조색2 7" xfId="215"/>
    <cellStyle name="40% - 강조색2 7 2" xfId="216"/>
    <cellStyle name="40% - 강조색2 8" xfId="217"/>
    <cellStyle name="40% - 강조색2 8 2" xfId="218"/>
    <cellStyle name="40% - 강조색2 9" xfId="219"/>
    <cellStyle name="40% - 강조색2 9 2" xfId="220"/>
    <cellStyle name="40% - 강조색3 2" xfId="221"/>
    <cellStyle name="40% - 강조색3 2 2" xfId="222"/>
    <cellStyle name="40% - 강조색3 3" xfId="223"/>
    <cellStyle name="40% - 강조색3 3 2" xfId="224"/>
    <cellStyle name="40% - 강조색3 4" xfId="225"/>
    <cellStyle name="40% - 강조색3 4 2" xfId="226"/>
    <cellStyle name="40% - 강조색3 5" xfId="227"/>
    <cellStyle name="40% - 강조색3 5 2" xfId="228"/>
    <cellStyle name="40% - 강조색3 6" xfId="229"/>
    <cellStyle name="40% - 강조색3 6 2" xfId="230"/>
    <cellStyle name="40% - 강조색3 7" xfId="231"/>
    <cellStyle name="40% - 강조색3 7 2" xfId="232"/>
    <cellStyle name="40% - 강조색3 8" xfId="233"/>
    <cellStyle name="40% - 강조색3 8 2" xfId="234"/>
    <cellStyle name="40% - 강조색3 9" xfId="235"/>
    <cellStyle name="40% - 강조색3 9 2" xfId="236"/>
    <cellStyle name="40% - 강조색4 2" xfId="237"/>
    <cellStyle name="40% - 강조색4 2 2" xfId="238"/>
    <cellStyle name="40% - 강조색4 3" xfId="239"/>
    <cellStyle name="40% - 강조색4 3 2" xfId="240"/>
    <cellStyle name="40% - 강조색4 4" xfId="241"/>
    <cellStyle name="40% - 강조색4 4 2" xfId="242"/>
    <cellStyle name="40% - 강조색4 5" xfId="243"/>
    <cellStyle name="40% - 강조색4 5 2" xfId="244"/>
    <cellStyle name="40% - 강조색4 6" xfId="245"/>
    <cellStyle name="40% - 강조색4 6 2" xfId="246"/>
    <cellStyle name="40% - 강조색4 7" xfId="247"/>
    <cellStyle name="40% - 강조색4 7 2" xfId="248"/>
    <cellStyle name="40% - 강조색4 8" xfId="249"/>
    <cellStyle name="40% - 강조색4 8 2" xfId="250"/>
    <cellStyle name="40% - 강조색4 9" xfId="251"/>
    <cellStyle name="40% - 강조색4 9 2" xfId="252"/>
    <cellStyle name="40% - 강조색5 2" xfId="253"/>
    <cellStyle name="40% - 강조색5 2 2" xfId="254"/>
    <cellStyle name="40% - 강조색5 3" xfId="255"/>
    <cellStyle name="40% - 강조색5 3 2" xfId="256"/>
    <cellStyle name="40% - 강조색5 4" xfId="257"/>
    <cellStyle name="40% - 강조색5 4 2" xfId="258"/>
    <cellStyle name="40% - 강조색5 5" xfId="259"/>
    <cellStyle name="40% - 강조색5 5 2" xfId="260"/>
    <cellStyle name="40% - 강조색5 6" xfId="261"/>
    <cellStyle name="40% - 강조색5 6 2" xfId="262"/>
    <cellStyle name="40% - 강조색5 7" xfId="263"/>
    <cellStyle name="40% - 강조색5 7 2" xfId="264"/>
    <cellStyle name="40% - 강조색5 8" xfId="265"/>
    <cellStyle name="40% - 강조색5 8 2" xfId="266"/>
    <cellStyle name="40% - 강조색5 9" xfId="267"/>
    <cellStyle name="40% - 강조색5 9 2" xfId="268"/>
    <cellStyle name="40% - 강조색6 2" xfId="269"/>
    <cellStyle name="40% - 강조색6 2 2" xfId="270"/>
    <cellStyle name="40% - 강조색6 3" xfId="271"/>
    <cellStyle name="40% - 강조색6 3 2" xfId="272"/>
    <cellStyle name="40% - 강조색6 4" xfId="273"/>
    <cellStyle name="40% - 강조색6 4 2" xfId="274"/>
    <cellStyle name="40% - 강조색6 5" xfId="275"/>
    <cellStyle name="40% - 강조색6 5 2" xfId="276"/>
    <cellStyle name="40% - 강조색6 6" xfId="277"/>
    <cellStyle name="40% - 강조색6 6 2" xfId="278"/>
    <cellStyle name="40% - 강조색6 7" xfId="279"/>
    <cellStyle name="40% - 강조색6 7 2" xfId="280"/>
    <cellStyle name="40% - 강조색6 8" xfId="281"/>
    <cellStyle name="40% - 강조색6 8 2" xfId="282"/>
    <cellStyle name="40% - 강조색6 9" xfId="283"/>
    <cellStyle name="40% - 강조색6 9 2" xfId="284"/>
    <cellStyle name="60% - Accent1 2" xfId="285"/>
    <cellStyle name="60% - Accent2 2" xfId="286"/>
    <cellStyle name="60% - Accent3 2" xfId="287"/>
    <cellStyle name="60% - Accent4 2" xfId="288"/>
    <cellStyle name="60% - Accent5 2" xfId="289"/>
    <cellStyle name="60% - Accent6 2" xfId="290"/>
    <cellStyle name="60% - アクセント 1 2" xfId="291"/>
    <cellStyle name="60% - アクセント 1 2 2" xfId="292"/>
    <cellStyle name="60% - アクセント 1 3" xfId="293"/>
    <cellStyle name="60% - アクセント 2 2" xfId="294"/>
    <cellStyle name="60% - アクセント 2 2 2" xfId="295"/>
    <cellStyle name="60% - アクセント 2 3" xfId="296"/>
    <cellStyle name="60% - アクセント 3 2" xfId="297"/>
    <cellStyle name="60% - アクセント 3 2 2" xfId="298"/>
    <cellStyle name="60% - アクセント 3 3" xfId="299"/>
    <cellStyle name="60% - アクセント 4 2" xfId="300"/>
    <cellStyle name="60% - アクセント 4 2 2" xfId="301"/>
    <cellStyle name="60% - アクセント 4 3" xfId="302"/>
    <cellStyle name="60% - アクセント 5 2" xfId="303"/>
    <cellStyle name="60% - アクセント 5 2 2" xfId="304"/>
    <cellStyle name="60% - アクセント 5 3" xfId="305"/>
    <cellStyle name="60% - アクセント 6 2" xfId="306"/>
    <cellStyle name="60% - アクセント 6 2 2" xfId="307"/>
    <cellStyle name="60% - アクセント 6 3" xfId="308"/>
    <cellStyle name="60% - 강조색1 2" xfId="309"/>
    <cellStyle name="60% - 강조색1 2 2" xfId="310"/>
    <cellStyle name="60% - 강조색1 3" xfId="311"/>
    <cellStyle name="60% - 강조색1 3 2" xfId="312"/>
    <cellStyle name="60% - 강조색1 4" xfId="313"/>
    <cellStyle name="60% - 강조색1 4 2" xfId="314"/>
    <cellStyle name="60% - 강조색1 5" xfId="315"/>
    <cellStyle name="60% - 강조색1 5 2" xfId="316"/>
    <cellStyle name="60% - 강조색1 6" xfId="317"/>
    <cellStyle name="60% - 강조색1 6 2" xfId="318"/>
    <cellStyle name="60% - 강조색1 7" xfId="319"/>
    <cellStyle name="60% - 강조색1 7 2" xfId="320"/>
    <cellStyle name="60% - 강조색1 8" xfId="321"/>
    <cellStyle name="60% - 강조색1 8 2" xfId="322"/>
    <cellStyle name="60% - 강조색1 9" xfId="323"/>
    <cellStyle name="60% - 강조색1 9 2" xfId="324"/>
    <cellStyle name="60% - 강조색2 2" xfId="325"/>
    <cellStyle name="60% - 강조색2 2 2" xfId="326"/>
    <cellStyle name="60% - 강조색2 3" xfId="327"/>
    <cellStyle name="60% - 강조색2 3 2" xfId="328"/>
    <cellStyle name="60% - 강조색2 4" xfId="329"/>
    <cellStyle name="60% - 강조색2 4 2" xfId="330"/>
    <cellStyle name="60% - 강조색2 5" xfId="331"/>
    <cellStyle name="60% - 강조색2 5 2" xfId="332"/>
    <cellStyle name="60% - 강조색2 6" xfId="333"/>
    <cellStyle name="60% - 강조색2 6 2" xfId="334"/>
    <cellStyle name="60% - 강조색2 7" xfId="335"/>
    <cellStyle name="60% - 강조색2 7 2" xfId="336"/>
    <cellStyle name="60% - 강조색2 8" xfId="337"/>
    <cellStyle name="60% - 강조색2 8 2" xfId="338"/>
    <cellStyle name="60% - 강조색2 9" xfId="339"/>
    <cellStyle name="60% - 강조색2 9 2" xfId="340"/>
    <cellStyle name="60% - 강조색3 2" xfId="341"/>
    <cellStyle name="60% - 강조색3 2 2" xfId="342"/>
    <cellStyle name="60% - 강조색3 3" xfId="343"/>
    <cellStyle name="60% - 강조색3 3 2" xfId="344"/>
    <cellStyle name="60% - 강조색3 4" xfId="345"/>
    <cellStyle name="60% - 강조색3 4 2" xfId="346"/>
    <cellStyle name="60% - 강조색3 5" xfId="347"/>
    <cellStyle name="60% - 강조색3 5 2" xfId="348"/>
    <cellStyle name="60% - 강조색3 6" xfId="349"/>
    <cellStyle name="60% - 강조색3 6 2" xfId="350"/>
    <cellStyle name="60% - 강조색3 7" xfId="351"/>
    <cellStyle name="60% - 강조색3 7 2" xfId="352"/>
    <cellStyle name="60% - 강조색3 8" xfId="353"/>
    <cellStyle name="60% - 강조색3 8 2" xfId="354"/>
    <cellStyle name="60% - 강조색3 9" xfId="355"/>
    <cellStyle name="60% - 강조색3 9 2" xfId="356"/>
    <cellStyle name="60% - 강조색4 2" xfId="357"/>
    <cellStyle name="60% - 강조색4 2 2" xfId="358"/>
    <cellStyle name="60% - 강조색4 3" xfId="359"/>
    <cellStyle name="60% - 강조색4 3 2" xfId="360"/>
    <cellStyle name="60% - 강조색4 4" xfId="361"/>
    <cellStyle name="60% - 강조색4 4 2" xfId="362"/>
    <cellStyle name="60% - 강조색4 5" xfId="363"/>
    <cellStyle name="60% - 강조색4 5 2" xfId="364"/>
    <cellStyle name="60% - 강조색4 6" xfId="365"/>
    <cellStyle name="60% - 강조색4 6 2" xfId="366"/>
    <cellStyle name="60% - 강조색4 7" xfId="367"/>
    <cellStyle name="60% - 강조색4 7 2" xfId="368"/>
    <cellStyle name="60% - 강조색4 8" xfId="369"/>
    <cellStyle name="60% - 강조색4 8 2" xfId="370"/>
    <cellStyle name="60% - 강조색4 9" xfId="371"/>
    <cellStyle name="60% - 강조색4 9 2" xfId="372"/>
    <cellStyle name="60% - 강조색5 2" xfId="373"/>
    <cellStyle name="60% - 강조색5 2 2" xfId="374"/>
    <cellStyle name="60% - 강조색5 3" xfId="375"/>
    <cellStyle name="60% - 강조색5 3 2" xfId="376"/>
    <cellStyle name="60% - 강조색5 4" xfId="377"/>
    <cellStyle name="60% - 강조색5 4 2" xfId="378"/>
    <cellStyle name="60% - 강조색5 5" xfId="379"/>
    <cellStyle name="60% - 강조색5 5 2" xfId="380"/>
    <cellStyle name="60% - 강조색5 6" xfId="381"/>
    <cellStyle name="60% - 강조색5 6 2" xfId="382"/>
    <cellStyle name="60% - 강조색5 7" xfId="383"/>
    <cellStyle name="60% - 강조색5 7 2" xfId="384"/>
    <cellStyle name="60% - 강조색5 8" xfId="385"/>
    <cellStyle name="60% - 강조색5 8 2" xfId="386"/>
    <cellStyle name="60% - 강조색5 9" xfId="387"/>
    <cellStyle name="60% - 강조색5 9 2" xfId="388"/>
    <cellStyle name="60% - 강조색6 2" xfId="389"/>
    <cellStyle name="60% - 강조색6 2 2" xfId="390"/>
    <cellStyle name="60% - 강조색6 3" xfId="391"/>
    <cellStyle name="60% - 강조색6 3 2" xfId="392"/>
    <cellStyle name="60% - 강조색6 4" xfId="393"/>
    <cellStyle name="60% - 강조색6 4 2" xfId="394"/>
    <cellStyle name="60% - 강조색6 5" xfId="395"/>
    <cellStyle name="60% - 강조색6 5 2" xfId="396"/>
    <cellStyle name="60% - 강조색6 6" xfId="397"/>
    <cellStyle name="60% - 강조색6 6 2" xfId="398"/>
    <cellStyle name="60% - 강조색6 7" xfId="399"/>
    <cellStyle name="60% - 강조색6 7 2" xfId="400"/>
    <cellStyle name="60% - 강조색6 8" xfId="401"/>
    <cellStyle name="60% - 강조색6 8 2" xfId="402"/>
    <cellStyle name="60% - 강조색6 9" xfId="403"/>
    <cellStyle name="60% - 강조색6 9 2" xfId="404"/>
    <cellStyle name="Accent1 2" xfId="405"/>
    <cellStyle name="Accent2 2" xfId="406"/>
    <cellStyle name="Accent3 2" xfId="407"/>
    <cellStyle name="Accent4 2" xfId="408"/>
    <cellStyle name="Accent5 2" xfId="409"/>
    <cellStyle name="Accent6 2" xfId="410"/>
    <cellStyle name="AeE­ [0]_INQUIRY ¿µ¾÷AßAø " xfId="411"/>
    <cellStyle name="AeE­_INQUIRY ¿µ¾÷AßAø " xfId="412"/>
    <cellStyle name="args.style" xfId="413"/>
    <cellStyle name="AÞ¸¶ [0]_INQUIRY ¿µ¾÷AßAø " xfId="414"/>
    <cellStyle name="AÞ¸¶_INQUIRY ¿µ¾÷AßAø " xfId="415"/>
    <cellStyle name="Bad 2" xfId="416"/>
    <cellStyle name="C?AØ_¿µ¾÷CoE² " xfId="417"/>
    <cellStyle name="Calc Currency (0)" xfId="418"/>
    <cellStyle name="Calc Currency (2)" xfId="419"/>
    <cellStyle name="Calc Percent (0)" xfId="420"/>
    <cellStyle name="Calc Percent (1)" xfId="421"/>
    <cellStyle name="Calc Percent (2)" xfId="422"/>
    <cellStyle name="Calc Units (0)" xfId="423"/>
    <cellStyle name="Calc Units (1)" xfId="424"/>
    <cellStyle name="Calc Units (2)" xfId="425"/>
    <cellStyle name="Calculation 2" xfId="426"/>
    <cellStyle name="Check Cell 2" xfId="427"/>
    <cellStyle name="Comma" xfId="3" builtinId="3"/>
    <cellStyle name="Comma [0] 2 2" xfId="429"/>
    <cellStyle name="Comma [0] 3" xfId="21"/>
    <cellStyle name="Comma [0] 4" xfId="430"/>
    <cellStyle name="Comma [00]" xfId="431"/>
    <cellStyle name="Comma 2" xfId="428"/>
    <cellStyle name="Comma 2 2" xfId="432"/>
    <cellStyle name="Comma 2 2 2" xfId="433"/>
    <cellStyle name="Comma 2 3" xfId="434"/>
    <cellStyle name="Comma 3" xfId="435"/>
    <cellStyle name="Comma 3 2" xfId="5"/>
    <cellStyle name="Comma 4" xfId="436"/>
    <cellStyle name="Comma 5" xfId="1273"/>
    <cellStyle name="Comma 6" xfId="8"/>
    <cellStyle name="comma zerodec" xfId="437"/>
    <cellStyle name="Comma0" xfId="438"/>
    <cellStyle name="Currency [00]" xfId="439"/>
    <cellStyle name="Currency0" xfId="440"/>
    <cellStyle name="Currency1" xfId="441"/>
    <cellStyle name="Date" xfId="442"/>
    <cellStyle name="Date Short" xfId="443"/>
    <cellStyle name="DELTA" xfId="444"/>
    <cellStyle name="Dollar (zero dec)" xfId="445"/>
    <cellStyle name="Enter Currency (0)" xfId="446"/>
    <cellStyle name="Enter Currency (2)" xfId="447"/>
    <cellStyle name="Enter Units (0)" xfId="448"/>
    <cellStyle name="Enter Units (1)" xfId="449"/>
    <cellStyle name="Enter Units (2)" xfId="450"/>
    <cellStyle name="entry" xfId="451"/>
    <cellStyle name="Explanatory Text 2" xfId="452"/>
    <cellStyle name="Fixed" xfId="453"/>
    <cellStyle name="Flag" xfId="454"/>
    <cellStyle name="Formula" xfId="455"/>
    <cellStyle name="Good 2" xfId="456"/>
    <cellStyle name="Grey" xfId="457"/>
    <cellStyle name="Header1" xfId="458"/>
    <cellStyle name="Header2" xfId="459"/>
    <cellStyle name="headernote" xfId="460"/>
    <cellStyle name="Heading" xfId="461"/>
    <cellStyle name="Heading 1 2" xfId="462"/>
    <cellStyle name="Heading 2 2" xfId="463"/>
    <cellStyle name="Heading 3 2" xfId="464"/>
    <cellStyle name="Heading 4 2" xfId="465"/>
    <cellStyle name="Heading2" xfId="466"/>
    <cellStyle name="Heading3" xfId="467"/>
    <cellStyle name="Heading4" xfId="468"/>
    <cellStyle name="Horizontal" xfId="469"/>
    <cellStyle name="Hyperlink 2" xfId="470"/>
    <cellStyle name="Hyperlink 2 2" xfId="471"/>
    <cellStyle name="Hyperlink 3" xfId="472"/>
    <cellStyle name="Hyperlink 3 2" xfId="473"/>
    <cellStyle name="Hyperlink 4" xfId="474"/>
    <cellStyle name="Hyperlink 5" xfId="475"/>
    <cellStyle name="IBM(401K)" xfId="476"/>
    <cellStyle name="Input [yellow]" xfId="477"/>
    <cellStyle name="Input 2" xfId="478"/>
    <cellStyle name="Input 3" xfId="479"/>
    <cellStyle name="Input 4" xfId="480"/>
    <cellStyle name="Input 5" xfId="481"/>
    <cellStyle name="Input 6" xfId="482"/>
    <cellStyle name="Input 7" xfId="483"/>
    <cellStyle name="Izlenen Köprü" xfId="484"/>
    <cellStyle name="Köprü" xfId="485"/>
    <cellStyle name="Link Currency (0)" xfId="486"/>
    <cellStyle name="Link Currency (2)" xfId="487"/>
    <cellStyle name="Link Units (0)" xfId="488"/>
    <cellStyle name="Link Units (1)" xfId="489"/>
    <cellStyle name="Link Units (2)" xfId="490"/>
    <cellStyle name="Linked Cell 2" xfId="491"/>
    <cellStyle name="macroname" xfId="492"/>
    <cellStyle name="Millares [0] 2" xfId="493"/>
    <cellStyle name="Millares [0] 2 2" xfId="494"/>
    <cellStyle name="Millares [0] 2 2 2" xfId="495"/>
    <cellStyle name="Millares [0] 2 3" xfId="496"/>
    <cellStyle name="Millares [0] 2 3 2" xfId="497"/>
    <cellStyle name="Millares [0] 2 4" xfId="498"/>
    <cellStyle name="Millares [0] 2 4 2" xfId="499"/>
    <cellStyle name="Millares [0] 2 5" xfId="500"/>
    <cellStyle name="Millares [0]_pldt" xfId="501"/>
    <cellStyle name="Millares_pldt" xfId="502"/>
    <cellStyle name="Milliers [0]_!!!GO" xfId="503"/>
    <cellStyle name="Milliers_!!!GO" xfId="504"/>
    <cellStyle name="Moneda [0]_pldt" xfId="505"/>
    <cellStyle name="Moneda 2" xfId="506"/>
    <cellStyle name="Moneda 2 2" xfId="507"/>
    <cellStyle name="Moneda 2 2 2" xfId="508"/>
    <cellStyle name="Moneda 2 3" xfId="509"/>
    <cellStyle name="Moneda 2 3 2" xfId="510"/>
    <cellStyle name="Moneda 2 4" xfId="511"/>
    <cellStyle name="Moneda 2 4 2" xfId="512"/>
    <cellStyle name="Moneda 2 5" xfId="513"/>
    <cellStyle name="Moneda_pldt" xfId="514"/>
    <cellStyle name="Monétaire [0]_!!!GO" xfId="515"/>
    <cellStyle name="Monétaire_!!!GO" xfId="516"/>
    <cellStyle name="Mon騁aire [0]_AR1194" xfId="517"/>
    <cellStyle name="Mon騁aire_AR1194" xfId="518"/>
    <cellStyle name="Neutral 2" xfId="519"/>
    <cellStyle name="no dec" xfId="520"/>
    <cellStyle name="Normal" xfId="0" builtinId="0"/>
    <cellStyle name="Normal - Style1" xfId="521"/>
    <cellStyle name="Normal - スタイル1" xfId="522"/>
    <cellStyle name="Normal - スタイル2" xfId="523"/>
    <cellStyle name="Normal - スタイル3" xfId="524"/>
    <cellStyle name="Normal - スタイル4" xfId="525"/>
    <cellStyle name="Normal - スタイル5" xfId="526"/>
    <cellStyle name="Normal - スタイル6" xfId="527"/>
    <cellStyle name="Normal - スタイル7" xfId="528"/>
    <cellStyle name="Normal - スタイル8" xfId="529"/>
    <cellStyle name="Normal 10" xfId="530"/>
    <cellStyle name="Normal 10 7" xfId="9"/>
    <cellStyle name="Normal 11" xfId="531"/>
    <cellStyle name="Normal 12" xfId="532"/>
    <cellStyle name="Normal 13" xfId="533"/>
    <cellStyle name="Normal 14" xfId="534"/>
    <cellStyle name="Normal 15" xfId="535"/>
    <cellStyle name="Normal 16" xfId="536"/>
    <cellStyle name="Normal 17" xfId="537"/>
    <cellStyle name="Normal 18" xfId="538"/>
    <cellStyle name="Normal 19" xfId="539"/>
    <cellStyle name="Normal 2" xfId="7"/>
    <cellStyle name="Normal 2 2" xfId="540"/>
    <cellStyle name="Normal 2 2 2" xfId="541"/>
    <cellStyle name="Normal 2 2 3" xfId="542"/>
    <cellStyle name="Normal 2 2 3 2" xfId="543"/>
    <cellStyle name="Normal 2 2 4" xfId="544"/>
    <cellStyle name="Normal 2 3" xfId="545"/>
    <cellStyle name="Normal 2 3 2" xfId="10"/>
    <cellStyle name="Normal 2 3 2 2" xfId="547"/>
    <cellStyle name="Normal 2 3 2 3" xfId="546"/>
    <cellStyle name="Normal 2 3 3" xfId="548"/>
    <cellStyle name="Normal 2 4" xfId="549"/>
    <cellStyle name="Normal 2 4 2" xfId="550"/>
    <cellStyle name="Normal 2 5" xfId="551"/>
    <cellStyle name="Normal 2 5 2" xfId="552"/>
    <cellStyle name="Normal 2 6" xfId="553"/>
    <cellStyle name="Normal 2 7" xfId="554"/>
    <cellStyle name="Normal 2 8" xfId="555"/>
    <cellStyle name="Normal 20" xfId="556"/>
    <cellStyle name="Normal 21" xfId="557"/>
    <cellStyle name="Normal 22" xfId="558"/>
    <cellStyle name="Normal 23" xfId="22"/>
    <cellStyle name="Normal 24" xfId="1199"/>
    <cellStyle name="Normal 3" xfId="559"/>
    <cellStyle name="Normal 3 2" xfId="560"/>
    <cellStyle name="Normal 3 2 2" xfId="561"/>
    <cellStyle name="Normal 3 2 3" xfId="562"/>
    <cellStyle name="Normal 3 3" xfId="563"/>
    <cellStyle name="Normal 3 3 2" xfId="564"/>
    <cellStyle name="Normal 3 3 3" xfId="565"/>
    <cellStyle name="Normal 3 4" xfId="566"/>
    <cellStyle name="Normal 3 4 2" xfId="567"/>
    <cellStyle name="Normal 3 5" xfId="568"/>
    <cellStyle name="Normal 4" xfId="569"/>
    <cellStyle name="Normal 4 2" xfId="570"/>
    <cellStyle name="Normal 4 3" xfId="571"/>
    <cellStyle name="Normal 4 4" xfId="572"/>
    <cellStyle name="Normal 4 4 2" xfId="573"/>
    <cellStyle name="Normal 4 5" xfId="574"/>
    <cellStyle name="Normal 4 6" xfId="575"/>
    <cellStyle name="Normal 5" xfId="576"/>
    <cellStyle name="Normal 5 2" xfId="577"/>
    <cellStyle name="Normal 5 2 2" xfId="578"/>
    <cellStyle name="Normal 5 3" xfId="579"/>
    <cellStyle name="Normal 5 4" xfId="580"/>
    <cellStyle name="Normal 6" xfId="581"/>
    <cellStyle name="Normal 6 2" xfId="582"/>
    <cellStyle name="Normal 6 3" xfId="583"/>
    <cellStyle name="Normal 602" xfId="584"/>
    <cellStyle name="Normal 7" xfId="585"/>
    <cellStyle name="Normal 7 2" xfId="586"/>
    <cellStyle name="Normal 7 3" xfId="587"/>
    <cellStyle name="Normal 8" xfId="588"/>
    <cellStyle name="Normal 8 2" xfId="589"/>
    <cellStyle name="Normal 812" xfId="590"/>
    <cellStyle name="Normal 9" xfId="591"/>
    <cellStyle name="Normal_15 ppk STUDY" xfId="2"/>
    <cellStyle name="Note 2" xfId="592"/>
    <cellStyle name="Œ…‹æØ‚è [0.00]_!!!GO" xfId="593"/>
    <cellStyle name="Œ…‹æØ‚è_!!!GO" xfId="594"/>
    <cellStyle name="oft Excel]_x000a__x000d_Comment=open=/f を指定すると、ユーザー定義関数を関数貼り付けの一覧に登録することができます。_x000a__x000d_Maximized" xfId="11"/>
    <cellStyle name="oft Excel]_x000a__x000d_Comment=open=/f を指定すると、ユーザー定義関数を関数貼り付けの一覧に登録することができます。_x000a__x000d_Maximized 2" xfId="596"/>
    <cellStyle name="oft Excel]_x000a__x000d_Comment=open=/f を指定すると、ユーザー定義関数を関数貼り付けの一覧に登録することができます。_x000a__x000d_Maximized 2 2" xfId="597"/>
    <cellStyle name="oft Excel]_x000a__x000d_Comment=open=/f を指定すると、ユーザー定義関数を関数貼り付けの一覧に登録することができます。_x000a__x000d_Maximized 3" xfId="595"/>
    <cellStyle name="oft Excel]_x000a__x000d_Comment=open=/f を指定すると、ユーザー定義関数を関数貼り付けの一覧に登録することができます。_x000a__x000d_Maximized_C-130126-1ｵﾘｼﾞﾅﾙ" xfId="598"/>
    <cellStyle name="oft Excel]_x000d__x000a_Comment=open=/f を指定すると、ユーザー定義関数を関数貼り付けの一覧に登録することができます。_x000d__x000a_Maximized" xfId="599"/>
    <cellStyle name="Option" xfId="600"/>
    <cellStyle name="OptionHeading" xfId="601"/>
    <cellStyle name="Output 2" xfId="602"/>
    <cellStyle name="Output 2 2" xfId="1274"/>
    <cellStyle name="ParaBirimi [0]_BINV" xfId="603"/>
    <cellStyle name="ParaBirimi_BINV" xfId="604"/>
    <cellStyle name="per.style" xfId="605"/>
    <cellStyle name="Percent" xfId="4" builtinId="5"/>
    <cellStyle name="Percent [0]" xfId="606"/>
    <cellStyle name="Percent [00]" xfId="607"/>
    <cellStyle name="Percent [2]" xfId="608"/>
    <cellStyle name="PrePop Currency (0)" xfId="609"/>
    <cellStyle name="PrePop Currency (2)" xfId="610"/>
    <cellStyle name="PrePop Units (0)" xfId="611"/>
    <cellStyle name="PrePop Units (1)" xfId="612"/>
    <cellStyle name="PrePop Units (2)" xfId="613"/>
    <cellStyle name="price" xfId="614"/>
    <cellStyle name="PSChar" xfId="615"/>
    <cellStyle name="PSHeading" xfId="616"/>
    <cellStyle name="revised" xfId="617"/>
    <cellStyle name="section" xfId="618"/>
    <cellStyle name="STYL0" xfId="619"/>
    <cellStyle name="STYL1" xfId="620"/>
    <cellStyle name="STYL2" xfId="621"/>
    <cellStyle name="STYL3" xfId="622"/>
    <cellStyle name="STYL4" xfId="623"/>
    <cellStyle name="STYL5" xfId="624"/>
    <cellStyle name="STYL6" xfId="625"/>
    <cellStyle name="STYL7" xfId="626"/>
    <cellStyle name="Style 1" xfId="627"/>
    <cellStyle name="subhead" xfId="628"/>
    <cellStyle name="SubHeading1" xfId="629"/>
    <cellStyle name="SubHeading2" xfId="630"/>
    <cellStyle name="SubHeading3" xfId="631"/>
    <cellStyle name="SubHeading4" xfId="632"/>
    <cellStyle name="Text Indent A" xfId="633"/>
    <cellStyle name="Text Indent B" xfId="634"/>
    <cellStyle name="Text Indent C" xfId="635"/>
    <cellStyle name="title 2" xfId="636"/>
    <cellStyle name="Total 2" xfId="637"/>
    <cellStyle name="Unit" xfId="638"/>
    <cellStyle name="Value" xfId="639"/>
    <cellStyle name="values" xfId="640"/>
    <cellStyle name="Vertical" xfId="641"/>
    <cellStyle name="Virgül [0]_BINV" xfId="642"/>
    <cellStyle name="Virgül_BINV" xfId="643"/>
    <cellStyle name="Warning Text 2" xfId="644"/>
    <cellStyle name="アクセント 1 2" xfId="645"/>
    <cellStyle name="アクセント 1 2 2" xfId="646"/>
    <cellStyle name="アクセント 1 3" xfId="647"/>
    <cellStyle name="アクセント 2 2" xfId="648"/>
    <cellStyle name="アクセント 2 2 2" xfId="649"/>
    <cellStyle name="アクセント 2 3" xfId="650"/>
    <cellStyle name="アクセント 3 2" xfId="651"/>
    <cellStyle name="アクセント 3 2 2" xfId="652"/>
    <cellStyle name="アクセント 3 3" xfId="653"/>
    <cellStyle name="アクセント 4 2" xfId="654"/>
    <cellStyle name="アクセント 4 2 2" xfId="655"/>
    <cellStyle name="アクセント 4 3" xfId="656"/>
    <cellStyle name="アクセント 5 2" xfId="657"/>
    <cellStyle name="アクセント 5 2 2" xfId="658"/>
    <cellStyle name="アクセント 5 3" xfId="659"/>
    <cellStyle name="アクセント 6 2" xfId="660"/>
    <cellStyle name="アクセント 6 2 2" xfId="661"/>
    <cellStyle name="アクセント 6 3" xfId="662"/>
    <cellStyle name="ゴシック" xfId="663"/>
    <cellStyle name="スタイル 1" xfId="664"/>
    <cellStyle name="タイトル 2" xfId="665"/>
    <cellStyle name="タイトル 2 2" xfId="666"/>
    <cellStyle name="タイトル 3" xfId="667"/>
    <cellStyle name="チェック セル 2" xfId="668"/>
    <cellStyle name="チェック セル 2 2" xfId="669"/>
    <cellStyle name="チェック セル 3" xfId="670"/>
    <cellStyle name="どちらでもない 2" xfId="671"/>
    <cellStyle name="どちらでもない 2 2" xfId="672"/>
    <cellStyle name="どちらでもない 3" xfId="673"/>
    <cellStyle name="メモ 2" xfId="674"/>
    <cellStyle name="メモ 2 2" xfId="675"/>
    <cellStyle name="メモ 3" xfId="676"/>
    <cellStyle name="リンク セル 2" xfId="677"/>
    <cellStyle name="リンク セル 2 2" xfId="678"/>
    <cellStyle name="リンク セル 3" xfId="679"/>
    <cellStyle name="ปกติ_STRUCTURE  MN  MASSPRO 1" xfId="680"/>
    <cellStyle name="강조색1 2" xfId="681"/>
    <cellStyle name="강조색1 2 2" xfId="682"/>
    <cellStyle name="강조색1 3" xfId="683"/>
    <cellStyle name="강조색1 3 2" xfId="684"/>
    <cellStyle name="강조색1 4" xfId="685"/>
    <cellStyle name="강조색1 4 2" xfId="686"/>
    <cellStyle name="강조색1 5" xfId="687"/>
    <cellStyle name="강조색1 5 2" xfId="688"/>
    <cellStyle name="강조색1 6" xfId="689"/>
    <cellStyle name="강조색1 6 2" xfId="690"/>
    <cellStyle name="강조색1 7" xfId="691"/>
    <cellStyle name="강조색1 7 2" xfId="692"/>
    <cellStyle name="강조색1 8" xfId="693"/>
    <cellStyle name="강조색1 8 2" xfId="694"/>
    <cellStyle name="강조색1 9" xfId="695"/>
    <cellStyle name="강조색1 9 2" xfId="696"/>
    <cellStyle name="강조색2 2" xfId="697"/>
    <cellStyle name="강조색2 2 2" xfId="698"/>
    <cellStyle name="강조색2 3" xfId="699"/>
    <cellStyle name="강조색2 3 2" xfId="700"/>
    <cellStyle name="강조색2 4" xfId="701"/>
    <cellStyle name="강조색2 4 2" xfId="702"/>
    <cellStyle name="강조색2 5" xfId="703"/>
    <cellStyle name="강조색2 5 2" xfId="704"/>
    <cellStyle name="강조색2 6" xfId="705"/>
    <cellStyle name="강조색2 6 2" xfId="706"/>
    <cellStyle name="강조색2 7" xfId="707"/>
    <cellStyle name="강조색2 7 2" xfId="708"/>
    <cellStyle name="강조색2 8" xfId="709"/>
    <cellStyle name="강조색2 8 2" xfId="710"/>
    <cellStyle name="강조색2 9" xfId="711"/>
    <cellStyle name="강조색2 9 2" xfId="712"/>
    <cellStyle name="강조색3 2" xfId="713"/>
    <cellStyle name="강조색3 2 2" xfId="714"/>
    <cellStyle name="강조색3 3" xfId="715"/>
    <cellStyle name="강조색3 3 2" xfId="716"/>
    <cellStyle name="강조색3 4" xfId="717"/>
    <cellStyle name="강조색3 4 2" xfId="718"/>
    <cellStyle name="강조색3 5" xfId="719"/>
    <cellStyle name="강조색3 5 2" xfId="720"/>
    <cellStyle name="강조색3 6" xfId="721"/>
    <cellStyle name="강조색3 6 2" xfId="722"/>
    <cellStyle name="강조색3 7" xfId="723"/>
    <cellStyle name="강조색3 7 2" xfId="724"/>
    <cellStyle name="강조색3 8" xfId="725"/>
    <cellStyle name="강조색3 8 2" xfId="726"/>
    <cellStyle name="강조색3 9" xfId="727"/>
    <cellStyle name="강조색3 9 2" xfId="728"/>
    <cellStyle name="강조색4 2" xfId="729"/>
    <cellStyle name="강조색4 2 2" xfId="730"/>
    <cellStyle name="강조색4 3" xfId="731"/>
    <cellStyle name="강조색4 3 2" xfId="732"/>
    <cellStyle name="강조색4 4" xfId="733"/>
    <cellStyle name="강조색4 4 2" xfId="734"/>
    <cellStyle name="강조색4 5" xfId="735"/>
    <cellStyle name="강조색4 5 2" xfId="736"/>
    <cellStyle name="강조색4 6" xfId="737"/>
    <cellStyle name="강조색4 6 2" xfId="738"/>
    <cellStyle name="강조색4 7" xfId="739"/>
    <cellStyle name="강조색4 7 2" xfId="740"/>
    <cellStyle name="강조색4 8" xfId="741"/>
    <cellStyle name="강조색4 8 2" xfId="742"/>
    <cellStyle name="강조색4 9" xfId="743"/>
    <cellStyle name="강조색4 9 2" xfId="744"/>
    <cellStyle name="강조색5 2" xfId="745"/>
    <cellStyle name="강조색5 2 2" xfId="746"/>
    <cellStyle name="강조색5 3" xfId="747"/>
    <cellStyle name="강조색5 3 2" xfId="748"/>
    <cellStyle name="강조색5 4" xfId="749"/>
    <cellStyle name="강조색5 4 2" xfId="750"/>
    <cellStyle name="강조색5 5" xfId="751"/>
    <cellStyle name="강조색5 5 2" xfId="752"/>
    <cellStyle name="강조색5 6" xfId="753"/>
    <cellStyle name="강조색5 6 2" xfId="754"/>
    <cellStyle name="강조색5 7" xfId="755"/>
    <cellStyle name="강조색5 7 2" xfId="756"/>
    <cellStyle name="강조색5 8" xfId="757"/>
    <cellStyle name="강조색5 8 2" xfId="758"/>
    <cellStyle name="강조색5 9" xfId="759"/>
    <cellStyle name="강조색5 9 2" xfId="760"/>
    <cellStyle name="강조색6 2" xfId="761"/>
    <cellStyle name="강조색6 2 2" xfId="762"/>
    <cellStyle name="강조색6 3" xfId="763"/>
    <cellStyle name="강조색6 3 2" xfId="764"/>
    <cellStyle name="강조색6 4" xfId="765"/>
    <cellStyle name="강조색6 4 2" xfId="766"/>
    <cellStyle name="강조색6 5" xfId="767"/>
    <cellStyle name="강조색6 5 2" xfId="768"/>
    <cellStyle name="강조색6 6" xfId="769"/>
    <cellStyle name="강조색6 6 2" xfId="770"/>
    <cellStyle name="강조색6 7" xfId="771"/>
    <cellStyle name="강조색6 7 2" xfId="772"/>
    <cellStyle name="강조색6 8" xfId="773"/>
    <cellStyle name="강조색6 8 2" xfId="774"/>
    <cellStyle name="강조색6 9" xfId="775"/>
    <cellStyle name="강조색6 9 2" xfId="776"/>
    <cellStyle name="경고문 2" xfId="777"/>
    <cellStyle name="경고문 2 2" xfId="778"/>
    <cellStyle name="경고문 3" xfId="779"/>
    <cellStyle name="경고문 3 2" xfId="780"/>
    <cellStyle name="경고문 4" xfId="781"/>
    <cellStyle name="경고문 4 2" xfId="782"/>
    <cellStyle name="경고문 5" xfId="783"/>
    <cellStyle name="경고문 5 2" xfId="784"/>
    <cellStyle name="경고문 6" xfId="785"/>
    <cellStyle name="경고문 6 2" xfId="786"/>
    <cellStyle name="경고문 7" xfId="787"/>
    <cellStyle name="경고문 7 2" xfId="788"/>
    <cellStyle name="경고문 8" xfId="789"/>
    <cellStyle name="경고문 8 2" xfId="790"/>
    <cellStyle name="경고문 9" xfId="791"/>
    <cellStyle name="경고문 9 2" xfId="792"/>
    <cellStyle name="계산 2" xfId="793"/>
    <cellStyle name="계산 2 2" xfId="794"/>
    <cellStyle name="계산 3" xfId="795"/>
    <cellStyle name="계산 3 2" xfId="796"/>
    <cellStyle name="계산 4" xfId="797"/>
    <cellStyle name="계산 4 2" xfId="798"/>
    <cellStyle name="계산 5" xfId="799"/>
    <cellStyle name="계산 5 2" xfId="800"/>
    <cellStyle name="계산 6" xfId="801"/>
    <cellStyle name="계산 6 2" xfId="802"/>
    <cellStyle name="계산 7" xfId="803"/>
    <cellStyle name="계산 7 2" xfId="804"/>
    <cellStyle name="계산 8" xfId="805"/>
    <cellStyle name="계산 8 2" xfId="806"/>
    <cellStyle name="계산 9" xfId="807"/>
    <cellStyle name="계산 9 2" xfId="808"/>
    <cellStyle name="나쁨 2" xfId="809"/>
    <cellStyle name="나쁨 2 2" xfId="810"/>
    <cellStyle name="나쁨 3" xfId="811"/>
    <cellStyle name="나쁨 3 2" xfId="812"/>
    <cellStyle name="나쁨 4" xfId="813"/>
    <cellStyle name="나쁨 4 2" xfId="814"/>
    <cellStyle name="나쁨 5" xfId="815"/>
    <cellStyle name="나쁨 5 2" xfId="816"/>
    <cellStyle name="나쁨 6" xfId="817"/>
    <cellStyle name="나쁨 6 2" xfId="818"/>
    <cellStyle name="나쁨 7" xfId="819"/>
    <cellStyle name="나쁨 7 2" xfId="820"/>
    <cellStyle name="나쁨 8" xfId="821"/>
    <cellStyle name="나쁨 8 2" xfId="822"/>
    <cellStyle name="나쁨 9" xfId="823"/>
    <cellStyle name="나쁨 9 2" xfId="824"/>
    <cellStyle name="똿뗦먛귟 [0.00]_PRODUCT DETAIL Q1" xfId="825"/>
    <cellStyle name="똿뗦먛귟_PRODUCT DETAIL Q1" xfId="826"/>
    <cellStyle name="메모 2" xfId="827"/>
    <cellStyle name="메모 3" xfId="828"/>
    <cellStyle name="메모 4" xfId="829"/>
    <cellStyle name="메모 5" xfId="830"/>
    <cellStyle name="메모 6" xfId="831"/>
    <cellStyle name="메모 7" xfId="832"/>
    <cellStyle name="메모 8" xfId="833"/>
    <cellStyle name="메모 9" xfId="834"/>
    <cellStyle name="믅됞 [0.00]_PRODUCT DETAIL Q1" xfId="835"/>
    <cellStyle name="믅됞_PRODUCT DETAIL Q1" xfId="836"/>
    <cellStyle name="백분율_HOBONG" xfId="837"/>
    <cellStyle name="보통 2" xfId="838"/>
    <cellStyle name="보통 2 2" xfId="839"/>
    <cellStyle name="보통 3" xfId="840"/>
    <cellStyle name="보통 3 2" xfId="841"/>
    <cellStyle name="보통 4" xfId="842"/>
    <cellStyle name="보통 4 2" xfId="843"/>
    <cellStyle name="보통 5" xfId="844"/>
    <cellStyle name="보통 5 2" xfId="845"/>
    <cellStyle name="보통 6" xfId="846"/>
    <cellStyle name="보통 6 2" xfId="847"/>
    <cellStyle name="보통 7" xfId="848"/>
    <cellStyle name="보통 7 2" xfId="849"/>
    <cellStyle name="보통 8" xfId="850"/>
    <cellStyle name="보통 8 2" xfId="851"/>
    <cellStyle name="보통 9" xfId="852"/>
    <cellStyle name="보통 9 2" xfId="853"/>
    <cellStyle name="뷭?_BOOKSHIP" xfId="854"/>
    <cellStyle name="설명 텍스트 2" xfId="855"/>
    <cellStyle name="설명 텍스트 2 2" xfId="856"/>
    <cellStyle name="설명 텍스트 3" xfId="857"/>
    <cellStyle name="설명 텍스트 3 2" xfId="858"/>
    <cellStyle name="설명 텍스트 4" xfId="859"/>
    <cellStyle name="설명 텍스트 4 2" xfId="860"/>
    <cellStyle name="설명 텍스트 5" xfId="861"/>
    <cellStyle name="설명 텍스트 5 2" xfId="862"/>
    <cellStyle name="설명 텍스트 6" xfId="863"/>
    <cellStyle name="설명 텍스트 6 2" xfId="864"/>
    <cellStyle name="설명 텍스트 7" xfId="865"/>
    <cellStyle name="설명 텍스트 7 2" xfId="866"/>
    <cellStyle name="설명 텍스트 8" xfId="867"/>
    <cellStyle name="설명 텍스트 8 2" xfId="868"/>
    <cellStyle name="설명 텍스트 9" xfId="869"/>
    <cellStyle name="설명 텍스트 9 2" xfId="870"/>
    <cellStyle name="셀 확인 2" xfId="871"/>
    <cellStyle name="셀 확인 2 2" xfId="872"/>
    <cellStyle name="셀 확인 3" xfId="873"/>
    <cellStyle name="셀 확인 3 2" xfId="874"/>
    <cellStyle name="셀 확인 4" xfId="875"/>
    <cellStyle name="셀 확인 4 2" xfId="876"/>
    <cellStyle name="셀 확인 5" xfId="877"/>
    <cellStyle name="셀 확인 5 2" xfId="878"/>
    <cellStyle name="셀 확인 6" xfId="879"/>
    <cellStyle name="셀 확인 6 2" xfId="880"/>
    <cellStyle name="셀 확인 7" xfId="881"/>
    <cellStyle name="셀 확인 7 2" xfId="882"/>
    <cellStyle name="셀 확인 8" xfId="883"/>
    <cellStyle name="셀 확인 8 2" xfId="884"/>
    <cellStyle name="셀 확인 9" xfId="885"/>
    <cellStyle name="셀 확인 9 2" xfId="886"/>
    <cellStyle name="쉼표 [0] 2" xfId="887"/>
    <cellStyle name="쉼표 [0] 2 2" xfId="888"/>
    <cellStyle name="쉼표 [0] 2 96" xfId="889"/>
    <cellStyle name="쉼표 [0] 2 96 2" xfId="890"/>
    <cellStyle name="쉼표 [0] 20" xfId="891"/>
    <cellStyle name="쉼표 [0] 20 2" xfId="892"/>
    <cellStyle name="연결된 셀 2" xfId="893"/>
    <cellStyle name="연결된 셀 2 2" xfId="894"/>
    <cellStyle name="연결된 셀 3" xfId="895"/>
    <cellStyle name="연결된 셀 3 2" xfId="896"/>
    <cellStyle name="연결된 셀 4" xfId="897"/>
    <cellStyle name="연결된 셀 4 2" xfId="898"/>
    <cellStyle name="연결된 셀 5" xfId="899"/>
    <cellStyle name="연결된 셀 5 2" xfId="900"/>
    <cellStyle name="연결된 셀 6" xfId="901"/>
    <cellStyle name="연결된 셀 6 2" xfId="902"/>
    <cellStyle name="연결된 셀 7" xfId="903"/>
    <cellStyle name="연결된 셀 7 2" xfId="904"/>
    <cellStyle name="연결된 셀 8" xfId="905"/>
    <cellStyle name="연결된 셀 8 2" xfId="906"/>
    <cellStyle name="연결된 셀 9" xfId="907"/>
    <cellStyle name="연결된 셀 9 2" xfId="908"/>
    <cellStyle name="요약 2" xfId="909"/>
    <cellStyle name="요약 2 2" xfId="910"/>
    <cellStyle name="요약 2 2 2" xfId="1276"/>
    <cellStyle name="요약 2 3" xfId="1275"/>
    <cellStyle name="요약 3" xfId="911"/>
    <cellStyle name="요약 3 2" xfId="912"/>
    <cellStyle name="요약 3 2 2" xfId="1278"/>
    <cellStyle name="요약 3 3" xfId="1277"/>
    <cellStyle name="요약 4" xfId="913"/>
    <cellStyle name="요약 4 2" xfId="914"/>
    <cellStyle name="요약 4 2 2" xfId="1280"/>
    <cellStyle name="요약 4 3" xfId="1279"/>
    <cellStyle name="요약 5" xfId="915"/>
    <cellStyle name="요약 5 2" xfId="916"/>
    <cellStyle name="요약 5 2 2" xfId="1282"/>
    <cellStyle name="요약 5 3" xfId="1281"/>
    <cellStyle name="요약 6" xfId="917"/>
    <cellStyle name="요약 6 2" xfId="918"/>
    <cellStyle name="요약 6 2 2" xfId="1284"/>
    <cellStyle name="요약 6 3" xfId="1283"/>
    <cellStyle name="요약 7" xfId="919"/>
    <cellStyle name="요약 7 2" xfId="920"/>
    <cellStyle name="요약 7 2 2" xfId="1286"/>
    <cellStyle name="요약 7 3" xfId="1285"/>
    <cellStyle name="요약 8" xfId="921"/>
    <cellStyle name="요약 8 2" xfId="922"/>
    <cellStyle name="요약 8 2 2" xfId="1288"/>
    <cellStyle name="요약 8 3" xfId="1287"/>
    <cellStyle name="요약 9" xfId="923"/>
    <cellStyle name="요약 9 2" xfId="924"/>
    <cellStyle name="요약 9 2 2" xfId="1290"/>
    <cellStyle name="요약 9 3" xfId="1289"/>
    <cellStyle name="입력 2" xfId="925"/>
    <cellStyle name="입력 2 2" xfId="926"/>
    <cellStyle name="입력 3" xfId="927"/>
    <cellStyle name="입력 3 2" xfId="928"/>
    <cellStyle name="입력 4" xfId="929"/>
    <cellStyle name="입력 4 2" xfId="930"/>
    <cellStyle name="입력 5" xfId="931"/>
    <cellStyle name="입력 5 2" xfId="932"/>
    <cellStyle name="입력 6" xfId="933"/>
    <cellStyle name="입력 6 2" xfId="934"/>
    <cellStyle name="입력 7" xfId="935"/>
    <cellStyle name="입력 7 2" xfId="936"/>
    <cellStyle name="입력 8" xfId="937"/>
    <cellStyle name="입력 8 2" xfId="938"/>
    <cellStyle name="입력 9" xfId="939"/>
    <cellStyle name="입력 9 2" xfId="940"/>
    <cellStyle name="제목 1 2" xfId="941"/>
    <cellStyle name="제목 1 2 2" xfId="942"/>
    <cellStyle name="제목 1 3" xfId="943"/>
    <cellStyle name="제목 1 3 2" xfId="944"/>
    <cellStyle name="제목 1 4" xfId="945"/>
    <cellStyle name="제목 1 4 2" xfId="946"/>
    <cellStyle name="제목 1 5" xfId="947"/>
    <cellStyle name="제목 1 5 2" xfId="948"/>
    <cellStyle name="제목 1 6" xfId="949"/>
    <cellStyle name="제목 1 6 2" xfId="950"/>
    <cellStyle name="제목 1 7" xfId="951"/>
    <cellStyle name="제목 1 7 2" xfId="952"/>
    <cellStyle name="제목 1 8" xfId="953"/>
    <cellStyle name="제목 1 8 2" xfId="954"/>
    <cellStyle name="제목 1 9" xfId="955"/>
    <cellStyle name="제목 1 9 2" xfId="956"/>
    <cellStyle name="제목 10" xfId="957"/>
    <cellStyle name="제목 10 2" xfId="958"/>
    <cellStyle name="제목 11" xfId="959"/>
    <cellStyle name="제목 11 2" xfId="960"/>
    <cellStyle name="제목 12" xfId="961"/>
    <cellStyle name="제목 12 2" xfId="962"/>
    <cellStyle name="제목 2 2" xfId="963"/>
    <cellStyle name="제목 2 2 2" xfId="964"/>
    <cellStyle name="제목 2 3" xfId="965"/>
    <cellStyle name="제목 2 3 2" xfId="966"/>
    <cellStyle name="제목 2 4" xfId="967"/>
    <cellStyle name="제목 2 4 2" xfId="968"/>
    <cellStyle name="제목 2 5" xfId="969"/>
    <cellStyle name="제목 2 5 2" xfId="970"/>
    <cellStyle name="제목 2 6" xfId="971"/>
    <cellStyle name="제목 2 6 2" xfId="972"/>
    <cellStyle name="제목 2 7" xfId="973"/>
    <cellStyle name="제목 2 7 2" xfId="974"/>
    <cellStyle name="제목 2 8" xfId="975"/>
    <cellStyle name="제목 2 8 2" xfId="976"/>
    <cellStyle name="제목 2 9" xfId="977"/>
    <cellStyle name="제목 2 9 2" xfId="978"/>
    <cellStyle name="제목 3 2" xfId="979"/>
    <cellStyle name="제목 3 2 2" xfId="980"/>
    <cellStyle name="제목 3 3" xfId="981"/>
    <cellStyle name="제목 3 3 2" xfId="982"/>
    <cellStyle name="제목 3 4" xfId="983"/>
    <cellStyle name="제목 3 4 2" xfId="984"/>
    <cellStyle name="제목 3 5" xfId="985"/>
    <cellStyle name="제목 3 5 2" xfId="986"/>
    <cellStyle name="제목 3 6" xfId="987"/>
    <cellStyle name="제목 3 6 2" xfId="988"/>
    <cellStyle name="제목 3 7" xfId="989"/>
    <cellStyle name="제목 3 7 2" xfId="990"/>
    <cellStyle name="제목 3 8" xfId="991"/>
    <cellStyle name="제목 3 8 2" xfId="992"/>
    <cellStyle name="제목 3 9" xfId="993"/>
    <cellStyle name="제목 3 9 2" xfId="994"/>
    <cellStyle name="제목 4 2" xfId="995"/>
    <cellStyle name="제목 4 2 2" xfId="996"/>
    <cellStyle name="제목 4 3" xfId="997"/>
    <cellStyle name="제목 4 3 2" xfId="998"/>
    <cellStyle name="제목 4 4" xfId="999"/>
    <cellStyle name="제목 4 4 2" xfId="1000"/>
    <cellStyle name="제목 4 5" xfId="1001"/>
    <cellStyle name="제목 4 5 2" xfId="1002"/>
    <cellStyle name="제목 4 6" xfId="1003"/>
    <cellStyle name="제목 4 6 2" xfId="1004"/>
    <cellStyle name="제목 4 7" xfId="1005"/>
    <cellStyle name="제목 4 7 2" xfId="1006"/>
    <cellStyle name="제목 4 8" xfId="1007"/>
    <cellStyle name="제목 4 8 2" xfId="1008"/>
    <cellStyle name="제목 4 9" xfId="1009"/>
    <cellStyle name="제목 4 9 2" xfId="1010"/>
    <cellStyle name="제목 5" xfId="1011"/>
    <cellStyle name="제목 5 2" xfId="1012"/>
    <cellStyle name="제목 6" xfId="1013"/>
    <cellStyle name="제목 6 2" xfId="1014"/>
    <cellStyle name="제목 7" xfId="1015"/>
    <cellStyle name="제목 7 2" xfId="1016"/>
    <cellStyle name="제목 8" xfId="1017"/>
    <cellStyle name="제목 8 2" xfId="1018"/>
    <cellStyle name="제목 9" xfId="1019"/>
    <cellStyle name="제목 9 2" xfId="1020"/>
    <cellStyle name="좋음 2" xfId="1021"/>
    <cellStyle name="좋음 2 2" xfId="1022"/>
    <cellStyle name="좋음 3" xfId="1023"/>
    <cellStyle name="좋음 3 2" xfId="1024"/>
    <cellStyle name="좋음 4" xfId="1025"/>
    <cellStyle name="좋음 4 2" xfId="1026"/>
    <cellStyle name="좋음 5" xfId="1027"/>
    <cellStyle name="좋음 5 2" xfId="1028"/>
    <cellStyle name="좋음 6" xfId="1029"/>
    <cellStyle name="좋음 6 2" xfId="1030"/>
    <cellStyle name="좋음 7" xfId="1031"/>
    <cellStyle name="좋음 7 2" xfId="1032"/>
    <cellStyle name="좋음 8" xfId="1033"/>
    <cellStyle name="좋음 8 2" xfId="1034"/>
    <cellStyle name="좋음 9" xfId="1035"/>
    <cellStyle name="좋음 9 2" xfId="1036"/>
    <cellStyle name="출력 2" xfId="1037"/>
    <cellStyle name="출력 2 2" xfId="1038"/>
    <cellStyle name="출력 2 2 2" xfId="1292"/>
    <cellStyle name="출력 2 3" xfId="1291"/>
    <cellStyle name="출력 3" xfId="1039"/>
    <cellStyle name="출력 3 2" xfId="1040"/>
    <cellStyle name="출력 3 2 2" xfId="1294"/>
    <cellStyle name="출력 3 3" xfId="1293"/>
    <cellStyle name="출력 4" xfId="1041"/>
    <cellStyle name="출력 4 2" xfId="1042"/>
    <cellStyle name="출력 4 2 2" xfId="1296"/>
    <cellStyle name="출력 4 3" xfId="1295"/>
    <cellStyle name="출력 5" xfId="1043"/>
    <cellStyle name="출력 5 2" xfId="1044"/>
    <cellStyle name="출력 5 2 2" xfId="1298"/>
    <cellStyle name="출력 5 3" xfId="1297"/>
    <cellStyle name="출력 6" xfId="1045"/>
    <cellStyle name="출력 6 2" xfId="1046"/>
    <cellStyle name="출력 6 2 2" xfId="1300"/>
    <cellStyle name="출력 6 3" xfId="1299"/>
    <cellStyle name="출력 7" xfId="1047"/>
    <cellStyle name="출력 7 2" xfId="1048"/>
    <cellStyle name="출력 7 2 2" xfId="1302"/>
    <cellStyle name="출력 7 3" xfId="1301"/>
    <cellStyle name="출력 8" xfId="1049"/>
    <cellStyle name="출력 8 2" xfId="1050"/>
    <cellStyle name="출력 8 2 2" xfId="1304"/>
    <cellStyle name="출력 8 3" xfId="1303"/>
    <cellStyle name="출력 9" xfId="1051"/>
    <cellStyle name="출력 9 2" xfId="1052"/>
    <cellStyle name="출력 9 2 2" xfId="1306"/>
    <cellStyle name="출력 9 3" xfId="1305"/>
    <cellStyle name="콤마 [0]_1202" xfId="1053"/>
    <cellStyle name="콤마_1202" xfId="1054"/>
    <cellStyle name="통화 [0]_1202" xfId="1055"/>
    <cellStyle name="통화_1202" xfId="1056"/>
    <cellStyle name="표준 2" xfId="1057"/>
    <cellStyle name="표준 2 2" xfId="1058"/>
    <cellStyle name="표준 2 3" xfId="1059"/>
    <cellStyle name="표준 3" xfId="1060"/>
    <cellStyle name="표준 3 2" xfId="1061"/>
    <cellStyle name="표준 3_150716 Non-commercial invoice (attached list sample)(1)" xfId="1062"/>
    <cellStyle name="표준 4" xfId="1063"/>
    <cellStyle name="표준 4 2" xfId="1064"/>
    <cellStyle name="표준 4_150716 Non-commercial invoice (attached list sample)(1)" xfId="1065"/>
    <cellStyle name="표준 5" xfId="1066"/>
    <cellStyle name="표준 6" xfId="1067"/>
    <cellStyle name="표준 7" xfId="1068"/>
    <cellStyle name="표준 8" xfId="1069"/>
    <cellStyle name="표준_(정보부문)월별인원계획" xfId="1070"/>
    <cellStyle name="一般_ACC cost" xfId="1071"/>
    <cellStyle name="入力 2" xfId="1072"/>
    <cellStyle name="入力 2 2" xfId="1073"/>
    <cellStyle name="入力 3" xfId="1074"/>
    <cellStyle name="出力 2" xfId="1075"/>
    <cellStyle name="出力 2 2" xfId="1076"/>
    <cellStyle name="出力 2 2 2" xfId="1308"/>
    <cellStyle name="出力 2 3" xfId="1307"/>
    <cellStyle name="出力 3" xfId="1077"/>
    <cellStyle name="出力 3 2" xfId="1309"/>
    <cellStyle name="常规 2" xfId="1078"/>
    <cellStyle name="常规_2007年3月受入不良" xfId="1079"/>
    <cellStyle name="悪い 2" xfId="1080"/>
    <cellStyle name="悪い 2 2" xfId="1081"/>
    <cellStyle name="悪い 3" xfId="1082"/>
    <cellStyle name="支給品" xfId="1083"/>
    <cellStyle name="未定義" xfId="1084"/>
    <cellStyle name="桁区切り 10" xfId="1085"/>
    <cellStyle name="桁区切り 10 2" xfId="1086"/>
    <cellStyle name="桁区切り 11" xfId="1087"/>
    <cellStyle name="桁区切り 11 2" xfId="1088"/>
    <cellStyle name="桁区切り 12" xfId="1089"/>
    <cellStyle name="桁区切り 12 2" xfId="1090"/>
    <cellStyle name="桁区切り 13" xfId="1091"/>
    <cellStyle name="桁区切り 13 2" xfId="1092"/>
    <cellStyle name="桁区切り 14" xfId="1093"/>
    <cellStyle name="桁区切り 14 2" xfId="1094"/>
    <cellStyle name="桁区切り 15" xfId="1095"/>
    <cellStyle name="桁区切り 15 2" xfId="1096"/>
    <cellStyle name="桁区切り 16" xfId="1097"/>
    <cellStyle name="桁区切り 16 2" xfId="1098"/>
    <cellStyle name="桁区切り 17" xfId="1099"/>
    <cellStyle name="桁区切り 17 2" xfId="1100"/>
    <cellStyle name="桁区切り 18" xfId="1101"/>
    <cellStyle name="桁区切り 18 2" xfId="1102"/>
    <cellStyle name="桁区切り 19" xfId="1103"/>
    <cellStyle name="桁区切り 19 2" xfId="1104"/>
    <cellStyle name="桁区切り 2" xfId="12"/>
    <cellStyle name="桁区切り 2 19" xfId="13"/>
    <cellStyle name="桁区切り 2 2" xfId="1106"/>
    <cellStyle name="桁区切り 2 2 2" xfId="1107"/>
    <cellStyle name="桁区切り 2 3" xfId="6"/>
    <cellStyle name="桁区切り 2 4" xfId="1105"/>
    <cellStyle name="桁区切り 20" xfId="1108"/>
    <cellStyle name="桁区切り 20 2" xfId="1109"/>
    <cellStyle name="桁区切り 21" xfId="1110"/>
    <cellStyle name="桁区切り 21 2" xfId="1111"/>
    <cellStyle name="桁区切り 22" xfId="1112"/>
    <cellStyle name="桁区切り 22 2" xfId="1113"/>
    <cellStyle name="桁区切り 23" xfId="1114"/>
    <cellStyle name="桁区切り 23 2" xfId="1115"/>
    <cellStyle name="桁区切り 24" xfId="1116"/>
    <cellStyle name="桁区切り 24 2" xfId="1117"/>
    <cellStyle name="桁区切り 25" xfId="1118"/>
    <cellStyle name="桁区切り 25 2" xfId="1119"/>
    <cellStyle name="桁区切り 26" xfId="1120"/>
    <cellStyle name="桁区切り 26 2" xfId="1121"/>
    <cellStyle name="桁区切り 27" xfId="1122"/>
    <cellStyle name="桁区切り 27 2" xfId="1123"/>
    <cellStyle name="桁区切り 28" xfId="1124"/>
    <cellStyle name="桁区切り 28 2" xfId="1125"/>
    <cellStyle name="桁区切り 29" xfId="1126"/>
    <cellStyle name="桁区切り 29 2" xfId="1127"/>
    <cellStyle name="桁区切り 3" xfId="14"/>
    <cellStyle name="桁区切り 3 2" xfId="1128"/>
    <cellStyle name="桁区切り 30" xfId="1129"/>
    <cellStyle name="桁区切り 30 2" xfId="1130"/>
    <cellStyle name="桁区切り 31" xfId="1131"/>
    <cellStyle name="桁区切り 31 2" xfId="1132"/>
    <cellStyle name="桁区切り 32" xfId="1133"/>
    <cellStyle name="桁区切り 32 2" xfId="1134"/>
    <cellStyle name="桁区切り 33" xfId="1135"/>
    <cellStyle name="桁区切り 4" xfId="1136"/>
    <cellStyle name="桁区切り 5" xfId="1137"/>
    <cellStyle name="桁区切り 6" xfId="1138"/>
    <cellStyle name="桁区切り 7" xfId="1139"/>
    <cellStyle name="桁区切り 7 2" xfId="1140"/>
    <cellStyle name="桁区切り 8" xfId="1141"/>
    <cellStyle name="桁区切り 8 2" xfId="1142"/>
    <cellStyle name="桁区切り 9" xfId="1143"/>
    <cellStyle name="桁区切り 9 2" xfId="1144"/>
    <cellStyle name="桁蟻唇Ｆ [0.00]_laroux" xfId="1145"/>
    <cellStyle name="桁蟻唇Ｆ_laroux" xfId="1146"/>
    <cellStyle name="標準 10" xfId="1147"/>
    <cellStyle name="標準 10 2" xfId="1148"/>
    <cellStyle name="標準 11" xfId="1149"/>
    <cellStyle name="標準 12" xfId="1150"/>
    <cellStyle name="標準 12 2" xfId="1151"/>
    <cellStyle name="標準 13" xfId="1152"/>
    <cellStyle name="標準 13 2" xfId="1153"/>
    <cellStyle name="標準 14" xfId="1154"/>
    <cellStyle name="標準 14 2" xfId="1155"/>
    <cellStyle name="標準 15" xfId="1156"/>
    <cellStyle name="標準 15 2" xfId="1157"/>
    <cellStyle name="標準 16" xfId="1158"/>
    <cellStyle name="標準 16 2" xfId="1159"/>
    <cellStyle name="標準 17" xfId="1160"/>
    <cellStyle name="標準 17 2" xfId="1161"/>
    <cellStyle name="標準 18" xfId="1162"/>
    <cellStyle name="標準 18 2" xfId="1163"/>
    <cellStyle name="標準 19" xfId="1164"/>
    <cellStyle name="標準 19 2" xfId="1165"/>
    <cellStyle name="標準 2" xfId="15"/>
    <cellStyle name="標準 2 2" xfId="16"/>
    <cellStyle name="標準 2 2 2" xfId="1168"/>
    <cellStyle name="標準 2 2 3" xfId="1169"/>
    <cellStyle name="標準 2 2 4" xfId="1170"/>
    <cellStyle name="標準 2 2 5" xfId="1167"/>
    <cellStyle name="標準 2 3" xfId="1171"/>
    <cellStyle name="標準 2 4" xfId="1172"/>
    <cellStyle name="標準 2 5" xfId="1173"/>
    <cellStyle name="標準 2 5 2" xfId="1174"/>
    <cellStyle name="標準 2 6" xfId="1175"/>
    <cellStyle name="標準 2 7" xfId="1166"/>
    <cellStyle name="標準 2_CMAB871" xfId="1176"/>
    <cellStyle name="標準 20" xfId="1177"/>
    <cellStyle name="標準 20 2" xfId="1178"/>
    <cellStyle name="標準 21" xfId="1179"/>
    <cellStyle name="標準 21 2" xfId="1180"/>
    <cellStyle name="標準 21 2 2" xfId="1181"/>
    <cellStyle name="標準 21 3" xfId="1182"/>
    <cellStyle name="標準 22" xfId="1183"/>
    <cellStyle name="標準 22 2" xfId="1184"/>
    <cellStyle name="標準 23" xfId="1185"/>
    <cellStyle name="標準 23 2" xfId="1186"/>
    <cellStyle name="標準 24" xfId="1187"/>
    <cellStyle name="標準 24 2" xfId="1188"/>
    <cellStyle name="標準 25" xfId="1189"/>
    <cellStyle name="標準 25 2" xfId="1190"/>
    <cellStyle name="標準 26" xfId="1191"/>
    <cellStyle name="標準 26 2" xfId="1192"/>
    <cellStyle name="標準 27" xfId="1193"/>
    <cellStyle name="標準 27 2" xfId="1194"/>
    <cellStyle name="標準 28" xfId="1195"/>
    <cellStyle name="標準 28 2" xfId="1196"/>
    <cellStyle name="標準 29" xfId="1197"/>
    <cellStyle name="標準 29 2" xfId="1198"/>
    <cellStyle name="標準 3" xfId="17"/>
    <cellStyle name="標準 3 2" xfId="1200"/>
    <cellStyle name="標準 3 2 2" xfId="1201"/>
    <cellStyle name="標準 3 3" xfId="1202"/>
    <cellStyle name="標準 3 4" xfId="1203"/>
    <cellStyle name="標準 30" xfId="1204"/>
    <cellStyle name="標準 30 2" xfId="1205"/>
    <cellStyle name="標準 31" xfId="1206"/>
    <cellStyle name="標準 31 2" xfId="1207"/>
    <cellStyle name="標準 32" xfId="1208"/>
    <cellStyle name="標準 32 2" xfId="1209"/>
    <cellStyle name="標準 33" xfId="1210"/>
    <cellStyle name="標準 33 2" xfId="1211"/>
    <cellStyle name="標準 34" xfId="1212"/>
    <cellStyle name="標準 34 2" xfId="1213"/>
    <cellStyle name="標準 35" xfId="1214"/>
    <cellStyle name="標準 36" xfId="1215"/>
    <cellStyle name="標準 36 2" xfId="1216"/>
    <cellStyle name="標準 37" xfId="1217"/>
    <cellStyle name="標準 37 2" xfId="1218"/>
    <cellStyle name="標準 38" xfId="1219"/>
    <cellStyle name="標準 38 2" xfId="1220"/>
    <cellStyle name="標準 39" xfId="1221"/>
    <cellStyle name="標準 39 2" xfId="1222"/>
    <cellStyle name="標準 4" xfId="1223"/>
    <cellStyle name="標準 40" xfId="1224"/>
    <cellStyle name="標準 41" xfId="1225"/>
    <cellStyle name="標準 42" xfId="18"/>
    <cellStyle name="標準 5" xfId="19"/>
    <cellStyle name="標準 5 2" xfId="20"/>
    <cellStyle name="標準 5 3" xfId="1226"/>
    <cellStyle name="標準 6" xfId="1227"/>
    <cellStyle name="標準 7" xfId="1228"/>
    <cellStyle name="標準 8" xfId="1229"/>
    <cellStyle name="標準 9" xfId="1230"/>
    <cellStyle name="標準_CMAB756" xfId="1231"/>
    <cellStyle name="標準_INVOICE　RAHAMAN" xfId="1"/>
    <cellStyle name="標準09" xfId="1232"/>
    <cellStyle name="標準11" xfId="1233"/>
    <cellStyle name="標準14" xfId="1234"/>
    <cellStyle name="機器" xfId="1235"/>
    <cellStyle name="脱浦 [0.00]_laroux" xfId="1236"/>
    <cellStyle name="脱浦_laroux" xfId="1237"/>
    <cellStyle name="良い 2" xfId="1238"/>
    <cellStyle name="良い 2 2" xfId="1239"/>
    <cellStyle name="良い 3" xfId="1240"/>
    <cellStyle name="見出し 1 2" xfId="1241"/>
    <cellStyle name="見出し 1 2 2" xfId="1242"/>
    <cellStyle name="見出し 1 3" xfId="1243"/>
    <cellStyle name="見出し 2 2" xfId="1244"/>
    <cellStyle name="見出し 2 2 2" xfId="1245"/>
    <cellStyle name="見出し 2 3" xfId="1246"/>
    <cellStyle name="見出し 3 2" xfId="1247"/>
    <cellStyle name="見出し 3 2 2" xfId="1248"/>
    <cellStyle name="見出し 3 3" xfId="1249"/>
    <cellStyle name="見出し 4 2" xfId="1250"/>
    <cellStyle name="見出し 4 2 2" xfId="1251"/>
    <cellStyle name="見出し 4 3" xfId="1252"/>
    <cellStyle name="計算 2" xfId="1253"/>
    <cellStyle name="計算 2 2" xfId="1254"/>
    <cellStyle name="計算 3" xfId="1255"/>
    <cellStyle name="説明文 2" xfId="1256"/>
    <cellStyle name="説明文 2 2" xfId="1257"/>
    <cellStyle name="説明文 3" xfId="1258"/>
    <cellStyle name="警告文 2" xfId="1259"/>
    <cellStyle name="警告文 2 2" xfId="1260"/>
    <cellStyle name="警告文 3" xfId="1261"/>
    <cellStyle name="貨幣_MK comp" xfId="1262"/>
    <cellStyle name="通貨 2" xfId="1263"/>
    <cellStyle name="通貨 2 2" xfId="1264"/>
    <cellStyle name="通貨 2 3" xfId="1265"/>
    <cellStyle name="通貨 3" xfId="1266"/>
    <cellStyle name="通貨 4" xfId="1267"/>
    <cellStyle name="通貨 4 2" xfId="1268"/>
    <cellStyle name="通貨 5" xfId="1269"/>
    <cellStyle name="集計 2" xfId="1270"/>
    <cellStyle name="集計 2 2" xfId="1271"/>
    <cellStyle name="集計 2 2 2" xfId="1311"/>
    <cellStyle name="集計 2 3" xfId="1310"/>
    <cellStyle name="集計 3" xfId="1272"/>
    <cellStyle name="集計 3 2" xfId="1312"/>
  </cellStyles>
  <dxfs count="3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9EDF4"/>
      <color rgb="FFD0E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export fee'!$B$8</c:f>
              <c:strCache>
                <c:ptCount val="1"/>
                <c:pt idx="0">
                  <c:v>Total export fee
(Forwarder service fee + Transportation fee)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export fee'!$C$4:$N$4</c:f>
              <c:numCache>
                <c:formatCode>mmm\-yy</c:formatCode>
                <c:ptCount val="12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'Total export fee'!$C$8:$N$8</c:f>
              <c:numCache>
                <c:formatCode>_(* #,##0.00_);_(* \(#,##0.00\);_(* "-"??_);_(@_)</c:formatCode>
                <c:ptCount val="12"/>
                <c:pt idx="0" formatCode="#,##0_);\(#,##0\)">
                  <c:v>1848.4094557522121</c:v>
                </c:pt>
                <c:pt idx="1">
                  <c:v>4576.3220355555559</c:v>
                </c:pt>
                <c:pt idx="2">
                  <c:v>5123.7389066666665</c:v>
                </c:pt>
                <c:pt idx="3">
                  <c:v>99040.266270000022</c:v>
                </c:pt>
                <c:pt idx="4">
                  <c:v>17345.63147</c:v>
                </c:pt>
                <c:pt idx="5">
                  <c:v>74381.273755000002</c:v>
                </c:pt>
                <c:pt idx="6">
                  <c:v>37573.52392</c:v>
                </c:pt>
                <c:pt idx="7">
                  <c:v>61826.998180000002</c:v>
                </c:pt>
                <c:pt idx="8">
                  <c:v>22801.830419999998</c:v>
                </c:pt>
                <c:pt idx="9">
                  <c:v>44525.737999999998</c:v>
                </c:pt>
                <c:pt idx="10">
                  <c:v>26764.657660000001</c:v>
                </c:pt>
                <c:pt idx="11">
                  <c:v>78456.85100000001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010976"/>
        <c:axId val="441008624"/>
      </c:barChart>
      <c:dateAx>
        <c:axId val="4410109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441008624"/>
        <c:crosses val="autoZero"/>
        <c:auto val="1"/>
        <c:lblOffset val="100"/>
        <c:baseTimeUnit val="months"/>
      </c:dateAx>
      <c:valAx>
        <c:axId val="441008624"/>
        <c:scaling>
          <c:orientation val="minMax"/>
        </c:scaling>
        <c:delete val="0"/>
        <c:axPos val="l"/>
        <c:majorGridlines/>
        <c:numFmt formatCode="#,##0_);\(#,##0\)" sourceLinked="1"/>
        <c:majorTickMark val="out"/>
        <c:minorTickMark val="none"/>
        <c:tickLblPos val="nextTo"/>
        <c:crossAx val="441010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Selectivity rate (%)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Lbls>
            <c:dLbl>
              <c:idx val="2"/>
              <c:layout>
                <c:manualLayout>
                  <c:x val="0.198591234685247"/>
                  <c:y val="-7.08209513443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'Sep-20'!$AB$4:$AD$4</c:f>
              <c:strCache>
                <c:ptCount val="3"/>
                <c:pt idx="0">
                  <c:v>Green</c:v>
                </c:pt>
                <c:pt idx="1">
                  <c:v>Yellow</c:v>
                </c:pt>
                <c:pt idx="2">
                  <c:v>Red</c:v>
                </c:pt>
              </c:strCache>
            </c:strRef>
          </c:cat>
          <c:val>
            <c:numRef>
              <c:f>'Sep-20'!$AB$8:$AD$8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'Aug-20'!$AB$4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'Aug-20'!$AB$7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'Aug-20'!$AC$4</c:f>
              <c:strCache>
                <c:ptCount val="1"/>
                <c:pt idx="0">
                  <c:v>Yellow</c:v>
                </c:pt>
              </c:strCache>
            </c:strRef>
          </c:tx>
          <c:invertIfNegative val="0"/>
          <c:val>
            <c:numRef>
              <c:f>'Aug-20'!$AC$7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'Aug-20'!$AD$4</c:f>
              <c:strCache>
                <c:ptCount val="1"/>
                <c:pt idx="0">
                  <c:v>Red</c:v>
                </c:pt>
              </c:strCache>
            </c:strRef>
          </c:tx>
          <c:invertIfNegative val="0"/>
          <c:val>
            <c:numRef>
              <c:f>'Aug-20'!$AD$7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951112"/>
        <c:axId val="483948368"/>
      </c:barChart>
      <c:catAx>
        <c:axId val="48395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483948368"/>
        <c:crosses val="autoZero"/>
        <c:auto val="1"/>
        <c:lblAlgn val="ctr"/>
        <c:lblOffset val="100"/>
        <c:noMultiLvlLbl val="0"/>
      </c:catAx>
      <c:valAx>
        <c:axId val="483948368"/>
        <c:scaling>
          <c:orientation val="minMax"/>
        </c:scaling>
        <c:delete val="0"/>
        <c:axPos val="l"/>
        <c:majorGridlines/>
        <c:numFmt formatCode="#,##0_);\(#,##0\)" sourceLinked="1"/>
        <c:majorTickMark val="out"/>
        <c:minorTickMark val="none"/>
        <c:tickLblPos val="nextTo"/>
        <c:crossAx val="483951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Selectivity rate (%)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Lbls>
            <c:dLbl>
              <c:idx val="2"/>
              <c:layout>
                <c:manualLayout>
                  <c:x val="0.198591234685247"/>
                  <c:y val="-7.08209513443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'Aug-20'!$AB$4:$AD$4</c:f>
              <c:strCache>
                <c:ptCount val="3"/>
                <c:pt idx="0">
                  <c:v>Green</c:v>
                </c:pt>
                <c:pt idx="1">
                  <c:v>Yellow</c:v>
                </c:pt>
                <c:pt idx="2">
                  <c:v>Red</c:v>
                </c:pt>
              </c:strCache>
            </c:strRef>
          </c:cat>
          <c:val>
            <c:numRef>
              <c:f>'Aug-20'!$AB$8:$AD$8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'Jul-20'!$AB$4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'Jul-20'!$AB$7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'Jul-20'!$AC$4</c:f>
              <c:strCache>
                <c:ptCount val="1"/>
                <c:pt idx="0">
                  <c:v>Yellow</c:v>
                </c:pt>
              </c:strCache>
            </c:strRef>
          </c:tx>
          <c:invertIfNegative val="0"/>
          <c:val>
            <c:numRef>
              <c:f>'Jul-20'!$AC$7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'Jul-20'!$AD$4</c:f>
              <c:strCache>
                <c:ptCount val="1"/>
                <c:pt idx="0">
                  <c:v>Red</c:v>
                </c:pt>
              </c:strCache>
            </c:strRef>
          </c:tx>
          <c:invertIfNegative val="0"/>
          <c:val>
            <c:numRef>
              <c:f>'Jul-20'!$AD$7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355048"/>
        <c:axId val="447354264"/>
      </c:barChart>
      <c:catAx>
        <c:axId val="44735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447354264"/>
        <c:crosses val="autoZero"/>
        <c:auto val="1"/>
        <c:lblAlgn val="ctr"/>
        <c:lblOffset val="100"/>
        <c:noMultiLvlLbl val="0"/>
      </c:catAx>
      <c:valAx>
        <c:axId val="447354264"/>
        <c:scaling>
          <c:orientation val="minMax"/>
        </c:scaling>
        <c:delete val="0"/>
        <c:axPos val="l"/>
        <c:majorGridlines/>
        <c:numFmt formatCode="#,##0_);\(#,##0\)" sourceLinked="1"/>
        <c:majorTickMark val="out"/>
        <c:minorTickMark val="none"/>
        <c:tickLblPos val="nextTo"/>
        <c:crossAx val="44735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Selectivity rate (%)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Lbls>
            <c:dLbl>
              <c:idx val="2"/>
              <c:layout>
                <c:manualLayout>
                  <c:x val="0.198591234685247"/>
                  <c:y val="-7.08209513443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'Jul-20'!$AB$4:$AD$4</c:f>
              <c:strCache>
                <c:ptCount val="3"/>
                <c:pt idx="0">
                  <c:v>Green</c:v>
                </c:pt>
                <c:pt idx="1">
                  <c:v>Yellow</c:v>
                </c:pt>
                <c:pt idx="2">
                  <c:v>Red</c:v>
                </c:pt>
              </c:strCache>
            </c:strRef>
          </c:cat>
          <c:val>
            <c:numRef>
              <c:f>'Jul-20'!$AB$8:$AD$8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'May-20'!$AB$4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'May-20'!$AB$7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'May-20'!$AC$4</c:f>
              <c:strCache>
                <c:ptCount val="1"/>
                <c:pt idx="0">
                  <c:v>Yellow</c:v>
                </c:pt>
              </c:strCache>
            </c:strRef>
          </c:tx>
          <c:invertIfNegative val="0"/>
          <c:val>
            <c:numRef>
              <c:f>'May-20'!$AC$7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'May-20'!$AD$4</c:f>
              <c:strCache>
                <c:ptCount val="1"/>
                <c:pt idx="0">
                  <c:v>Red</c:v>
                </c:pt>
              </c:strCache>
            </c:strRef>
          </c:tx>
          <c:invertIfNegative val="0"/>
          <c:val>
            <c:numRef>
              <c:f>'May-20'!$AD$7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356616"/>
        <c:axId val="447357008"/>
      </c:barChart>
      <c:catAx>
        <c:axId val="44735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447357008"/>
        <c:crosses val="autoZero"/>
        <c:auto val="1"/>
        <c:lblAlgn val="ctr"/>
        <c:lblOffset val="100"/>
        <c:noMultiLvlLbl val="0"/>
      </c:catAx>
      <c:valAx>
        <c:axId val="447357008"/>
        <c:scaling>
          <c:orientation val="minMax"/>
        </c:scaling>
        <c:delete val="0"/>
        <c:axPos val="l"/>
        <c:majorGridlines/>
        <c:numFmt formatCode="#,##0_);\(#,##0\)" sourceLinked="1"/>
        <c:majorTickMark val="out"/>
        <c:minorTickMark val="none"/>
        <c:tickLblPos val="nextTo"/>
        <c:crossAx val="44735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Selectivity rate (%)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Lbls>
            <c:dLbl>
              <c:idx val="2"/>
              <c:layout>
                <c:manualLayout>
                  <c:x val="0.198591234685247"/>
                  <c:y val="-7.08209513443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'May-20'!$AB$4:$AD$4</c:f>
              <c:strCache>
                <c:ptCount val="3"/>
                <c:pt idx="0">
                  <c:v>Green</c:v>
                </c:pt>
                <c:pt idx="1">
                  <c:v>Yellow</c:v>
                </c:pt>
                <c:pt idx="2">
                  <c:v>Red</c:v>
                </c:pt>
              </c:strCache>
            </c:strRef>
          </c:cat>
          <c:val>
            <c:numRef>
              <c:f>'May-20'!$AB$8:$AD$8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'Jun-20'!$AB$4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'Jun-20'!$AB$7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'Jun-20'!$AC$4</c:f>
              <c:strCache>
                <c:ptCount val="1"/>
                <c:pt idx="0">
                  <c:v>Yellow</c:v>
                </c:pt>
              </c:strCache>
            </c:strRef>
          </c:tx>
          <c:invertIfNegative val="0"/>
          <c:val>
            <c:numRef>
              <c:f>'Jun-20'!$AC$7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'Jun-20'!$AD$4</c:f>
              <c:strCache>
                <c:ptCount val="1"/>
                <c:pt idx="0">
                  <c:v>Red</c:v>
                </c:pt>
              </c:strCache>
            </c:strRef>
          </c:tx>
          <c:invertIfNegative val="0"/>
          <c:val>
            <c:numRef>
              <c:f>'Jun-20'!$AD$7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881144"/>
        <c:axId val="487881536"/>
      </c:barChart>
      <c:catAx>
        <c:axId val="48788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487881536"/>
        <c:crosses val="autoZero"/>
        <c:auto val="1"/>
        <c:lblAlgn val="ctr"/>
        <c:lblOffset val="100"/>
        <c:noMultiLvlLbl val="0"/>
      </c:catAx>
      <c:valAx>
        <c:axId val="487881536"/>
        <c:scaling>
          <c:orientation val="minMax"/>
        </c:scaling>
        <c:delete val="0"/>
        <c:axPos val="l"/>
        <c:majorGridlines/>
        <c:numFmt formatCode="#,##0_);\(#,##0\)" sourceLinked="1"/>
        <c:majorTickMark val="out"/>
        <c:minorTickMark val="none"/>
        <c:tickLblPos val="nextTo"/>
        <c:crossAx val="487881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Selectivity rate (%)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Lbls>
            <c:dLbl>
              <c:idx val="2"/>
              <c:layout>
                <c:manualLayout>
                  <c:x val="0.198591234685247"/>
                  <c:y val="-7.08209513443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'Jun-20'!$AB$4:$AD$4</c:f>
              <c:strCache>
                <c:ptCount val="3"/>
                <c:pt idx="0">
                  <c:v>Green</c:v>
                </c:pt>
                <c:pt idx="1">
                  <c:v>Yellow</c:v>
                </c:pt>
                <c:pt idx="2">
                  <c:v>Red</c:v>
                </c:pt>
              </c:strCache>
            </c:strRef>
          </c:cat>
          <c:val>
            <c:numRef>
              <c:f>'Jun-20'!$AB$8:$AD$8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'Apr-20'!$AC$4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'Apr-20'!$AC$7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'Apr-20'!$AD$4</c:f>
              <c:strCache>
                <c:ptCount val="1"/>
                <c:pt idx="0">
                  <c:v>Yellow</c:v>
                </c:pt>
              </c:strCache>
            </c:strRef>
          </c:tx>
          <c:invertIfNegative val="0"/>
          <c:val>
            <c:numRef>
              <c:f>'Apr-20'!$AD$7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'Apr-20'!$AE$4</c:f>
              <c:strCache>
                <c:ptCount val="1"/>
                <c:pt idx="0">
                  <c:v>Red</c:v>
                </c:pt>
              </c:strCache>
            </c:strRef>
          </c:tx>
          <c:invertIfNegative val="0"/>
          <c:val>
            <c:numRef>
              <c:f>'Apr-20'!$AE$7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878792"/>
        <c:axId val="487879184"/>
      </c:barChart>
      <c:catAx>
        <c:axId val="48787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487879184"/>
        <c:crosses val="autoZero"/>
        <c:auto val="1"/>
        <c:lblAlgn val="ctr"/>
        <c:lblOffset val="100"/>
        <c:noMultiLvlLbl val="0"/>
      </c:catAx>
      <c:valAx>
        <c:axId val="487879184"/>
        <c:scaling>
          <c:orientation val="minMax"/>
        </c:scaling>
        <c:delete val="0"/>
        <c:axPos val="l"/>
        <c:majorGridlines/>
        <c:numFmt formatCode="#,##0_);\(#,##0\)" sourceLinked="1"/>
        <c:majorTickMark val="out"/>
        <c:minorTickMark val="none"/>
        <c:tickLblPos val="nextTo"/>
        <c:crossAx val="487878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export fee'!$B$17</c:f>
              <c:strCache>
                <c:ptCount val="1"/>
                <c:pt idx="0">
                  <c:v>Total invoice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export fee'!$C$16:$N$16</c:f>
              <c:numCache>
                <c:formatCode>mmm\-yy</c:formatCode>
                <c:ptCount val="12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'Total export fee'!$C$17:$N$17</c:f>
              <c:numCache>
                <c:formatCode>_(* #,##0_);_(* \(#,##0\);_(* "-"??_);_(@_)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11</c:v>
                </c:pt>
                <c:pt idx="3">
                  <c:v>0</c:v>
                </c:pt>
                <c:pt idx="4">
                  <c:v>6</c:v>
                </c:pt>
                <c:pt idx="5">
                  <c:v>13</c:v>
                </c:pt>
                <c:pt idx="6">
                  <c:v>13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prstDash val="dash"/>
            </a:ln>
          </c:spPr>
        </c:dropLines>
        <c:smooth val="0"/>
        <c:axId val="441011368"/>
        <c:axId val="441009016"/>
      </c:lineChart>
      <c:dateAx>
        <c:axId val="4410113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441009016"/>
        <c:crosses val="autoZero"/>
        <c:auto val="1"/>
        <c:lblOffset val="100"/>
        <c:baseTimeUnit val="months"/>
      </c:dateAx>
      <c:valAx>
        <c:axId val="44100901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441011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Selectivity rate (%)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Lbls>
            <c:dLbl>
              <c:idx val="2"/>
              <c:layout>
                <c:manualLayout>
                  <c:x val="0.198591234685247"/>
                  <c:y val="-7.08209513443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'Apr-20'!$AC$4:$AE$4</c:f>
              <c:strCache>
                <c:ptCount val="3"/>
                <c:pt idx="0">
                  <c:v>Green</c:v>
                </c:pt>
                <c:pt idx="1">
                  <c:v>Yellow</c:v>
                </c:pt>
                <c:pt idx="2">
                  <c:v>Red</c:v>
                </c:pt>
              </c:strCache>
            </c:strRef>
          </c:cat>
          <c:val>
            <c:numRef>
              <c:f>'Apr-20'!$AC$8:$AE$8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export fee (2)'!$B$10</c:f>
              <c:strCache>
                <c:ptCount val="1"/>
                <c:pt idx="0">
                  <c:v>Total export fee
(Forwarder service fee + Transportation fee)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2.132775042613517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2.852048843395008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export fee (2)'!$E$4:$P$4</c:f>
              <c:numCache>
                <c:formatCode>mmm\-yy</c:formatCode>
                <c:ptCount val="12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  <c:pt idx="3">
                  <c:v>43282</c:v>
                </c:pt>
                <c:pt idx="4">
                  <c:v>43313</c:v>
                </c:pt>
                <c:pt idx="5">
                  <c:v>43344</c:v>
                </c:pt>
                <c:pt idx="6">
                  <c:v>43374</c:v>
                </c:pt>
                <c:pt idx="7">
                  <c:v>43405</c:v>
                </c:pt>
                <c:pt idx="8">
                  <c:v>43435</c:v>
                </c:pt>
                <c:pt idx="9">
                  <c:v>43466</c:v>
                </c:pt>
                <c:pt idx="10">
                  <c:v>43497</c:v>
                </c:pt>
                <c:pt idx="11">
                  <c:v>43525</c:v>
                </c:pt>
              </c:numCache>
            </c:numRef>
          </c:cat>
          <c:val>
            <c:numRef>
              <c:f>'Total export fee (2)'!$E$10:$P$10</c:f>
              <c:numCache>
                <c:formatCode>#,##0_);\(#,##0\)</c:formatCode>
                <c:ptCount val="12"/>
                <c:pt idx="0">
                  <c:v>80352.603000000003</c:v>
                </c:pt>
                <c:pt idx="1">
                  <c:v>45135.041000000005</c:v>
                </c:pt>
                <c:pt idx="2">
                  <c:v>46361</c:v>
                </c:pt>
                <c:pt idx="3" formatCode="_(* #,##0_);_(* \(#,##0\);_(* &quot;-&quot;??_);_(@_)">
                  <c:v>33535.891000000003</c:v>
                </c:pt>
                <c:pt idx="4" formatCode="_(* #,##0_);_(* \(#,##0\);_(* &quot;-&quot;??_);_(@_)">
                  <c:v>64858.491000000002</c:v>
                </c:pt>
                <c:pt idx="5" formatCode="_(* #,##0_);_(* \(#,##0\);_(* &quot;-&quot;??_);_(@_)">
                  <c:v>41458.192999999999</c:v>
                </c:pt>
                <c:pt idx="6" formatCode="_(* #,##0_);_(* \(#,##0\);_(* &quot;-&quot;??_);_(@_)">
                  <c:v>62957.743999999999</c:v>
                </c:pt>
                <c:pt idx="7" formatCode="_(* #,##0_);_(* \(#,##0\);_(* &quot;-&quot;??_);_(@_)">
                  <c:v>41002.116999999998</c:v>
                </c:pt>
                <c:pt idx="8" formatCode="_(* #,##0_);_(* \(#,##0\);_(* &quot;-&quot;??_);_(@_)">
                  <c:v>50808.898000000001</c:v>
                </c:pt>
                <c:pt idx="9" formatCode="_(* #,##0_);_(* \(#,##0\);_(* &quot;-&quot;??_);_(@_)">
                  <c:v>43924.913999999997</c:v>
                </c:pt>
                <c:pt idx="10" formatCode="_(* #,##0_);_(* \(#,##0\);_(* &quot;-&quot;??_);_(@_)">
                  <c:v>63705.956999999995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712704"/>
        <c:axId val="482709568"/>
      </c:barChart>
      <c:dateAx>
        <c:axId val="4827127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482709568"/>
        <c:crosses val="autoZero"/>
        <c:auto val="1"/>
        <c:lblOffset val="100"/>
        <c:baseTimeUnit val="months"/>
      </c:dateAx>
      <c:valAx>
        <c:axId val="482709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Unit:</a:t>
                </a:r>
                <a:r>
                  <a:rPr lang="en-US" baseline="0"/>
                  <a:t> 1000 VND</a:t>
                </a:r>
                <a:endParaRPr lang="en-US"/>
              </a:p>
            </c:rich>
          </c:tx>
          <c:overlay val="0"/>
        </c:title>
        <c:numFmt formatCode="#,##0_);\(#,##0\)" sourceLinked="1"/>
        <c:majorTickMark val="none"/>
        <c:minorTickMark val="none"/>
        <c:tickLblPos val="nextTo"/>
        <c:crossAx val="482712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export fee (2)'!$B$19</c:f>
              <c:strCache>
                <c:ptCount val="1"/>
                <c:pt idx="0">
                  <c:v>Total invoice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export fee (2)'!$E$18:$P$18</c:f>
              <c:numCache>
                <c:formatCode>mmm\-yy</c:formatCode>
                <c:ptCount val="12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  <c:pt idx="3">
                  <c:v>43282</c:v>
                </c:pt>
                <c:pt idx="4">
                  <c:v>43313</c:v>
                </c:pt>
                <c:pt idx="5">
                  <c:v>43344</c:v>
                </c:pt>
                <c:pt idx="6">
                  <c:v>43374</c:v>
                </c:pt>
                <c:pt idx="7">
                  <c:v>43405</c:v>
                </c:pt>
                <c:pt idx="8">
                  <c:v>43435</c:v>
                </c:pt>
                <c:pt idx="9">
                  <c:v>43466</c:v>
                </c:pt>
                <c:pt idx="10">
                  <c:v>43497</c:v>
                </c:pt>
                <c:pt idx="11">
                  <c:v>43525</c:v>
                </c:pt>
              </c:numCache>
            </c:numRef>
          </c:cat>
          <c:val>
            <c:numRef>
              <c:f>'Total export fee (2)'!$E$19:$P$19</c:f>
              <c:numCache>
                <c:formatCode>_(* #,##0_);_(* \(#,##0\);_(* "-"??_);_(@_)</c:formatCode>
                <c:ptCount val="12"/>
                <c:pt idx="0">
                  <c:v>9</c:v>
                </c:pt>
                <c:pt idx="1">
                  <c:v>6</c:v>
                </c:pt>
                <c:pt idx="2">
                  <c:v>18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15</c:v>
                </c:pt>
                <c:pt idx="7">
                  <c:v>11</c:v>
                </c:pt>
                <c:pt idx="8">
                  <c:v>12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710744"/>
        <c:axId val="482711528"/>
      </c:barChart>
      <c:dateAx>
        <c:axId val="4827107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482711528"/>
        <c:crosses val="autoZero"/>
        <c:auto val="1"/>
        <c:lblOffset val="100"/>
        <c:baseTimeUnit val="months"/>
      </c:dateAx>
      <c:valAx>
        <c:axId val="48271152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48271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export fee (2)'!$B$20</c:f>
              <c:strCache>
                <c:ptCount val="1"/>
                <c:pt idx="0">
                  <c:v>Weight (kg)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export fee (2)'!$E$18:$P$18</c:f>
              <c:numCache>
                <c:formatCode>mmm\-yy</c:formatCode>
                <c:ptCount val="12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  <c:pt idx="3">
                  <c:v>43282</c:v>
                </c:pt>
                <c:pt idx="4">
                  <c:v>43313</c:v>
                </c:pt>
                <c:pt idx="5">
                  <c:v>43344</c:v>
                </c:pt>
                <c:pt idx="6">
                  <c:v>43374</c:v>
                </c:pt>
                <c:pt idx="7">
                  <c:v>43405</c:v>
                </c:pt>
                <c:pt idx="8">
                  <c:v>43435</c:v>
                </c:pt>
                <c:pt idx="9">
                  <c:v>43466</c:v>
                </c:pt>
                <c:pt idx="10">
                  <c:v>43497</c:v>
                </c:pt>
                <c:pt idx="11">
                  <c:v>43525</c:v>
                </c:pt>
              </c:numCache>
            </c:numRef>
          </c:cat>
          <c:val>
            <c:numRef>
              <c:f>'Total export fee (2)'!$E$20:$P$20</c:f>
              <c:numCache>
                <c:formatCode>_(* #,##0_);_(* \(#,##0\);_(* "-"??_);_(@_)</c:formatCode>
                <c:ptCount val="12"/>
                <c:pt idx="0">
                  <c:v>357</c:v>
                </c:pt>
                <c:pt idx="1">
                  <c:v>227</c:v>
                </c:pt>
                <c:pt idx="2">
                  <c:v>199</c:v>
                </c:pt>
                <c:pt idx="3">
                  <c:v>152</c:v>
                </c:pt>
                <c:pt idx="4">
                  <c:v>288</c:v>
                </c:pt>
                <c:pt idx="5">
                  <c:v>218</c:v>
                </c:pt>
                <c:pt idx="6">
                  <c:v>279</c:v>
                </c:pt>
                <c:pt idx="7">
                  <c:v>154</c:v>
                </c:pt>
                <c:pt idx="8">
                  <c:v>258</c:v>
                </c:pt>
                <c:pt idx="9">
                  <c:v>283</c:v>
                </c:pt>
                <c:pt idx="10">
                  <c:v>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710352"/>
        <c:axId val="482711920"/>
      </c:barChart>
      <c:dateAx>
        <c:axId val="4827103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482711920"/>
        <c:crosses val="autoZero"/>
        <c:auto val="1"/>
        <c:lblOffset val="100"/>
        <c:baseTimeUnit val="months"/>
      </c:dateAx>
      <c:valAx>
        <c:axId val="48271192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482710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FEE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Yusen</c:v>
                </c:pt>
              </c:strCache>
            </c:strRef>
          </c:tx>
          <c:invertIfNegative val="0"/>
          <c:cat>
            <c:multiLvlStrRef>
              <c:f>Sheet1!$B$3:$Y$4</c:f>
              <c:multiLvlStrCache>
                <c:ptCount val="24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</c:lvl>
                <c:lvl>
                  <c:pt idx="0">
                    <c:v>Apr-18</c:v>
                  </c:pt>
                  <c:pt idx="2">
                    <c:v>May-18</c:v>
                  </c:pt>
                  <c:pt idx="4">
                    <c:v>Jun-18</c:v>
                  </c:pt>
                  <c:pt idx="6">
                    <c:v>Jul-18</c:v>
                  </c:pt>
                  <c:pt idx="8">
                    <c:v>Aug-18</c:v>
                  </c:pt>
                  <c:pt idx="10">
                    <c:v>Sep-18</c:v>
                  </c:pt>
                  <c:pt idx="12">
                    <c:v>Oct-18</c:v>
                  </c:pt>
                  <c:pt idx="14">
                    <c:v>Nov-18</c:v>
                  </c:pt>
                  <c:pt idx="16">
                    <c:v>Dec-18</c:v>
                  </c:pt>
                  <c:pt idx="18">
                    <c:v>Jan-19</c:v>
                  </c:pt>
                  <c:pt idx="20">
                    <c:v>Feb-19</c:v>
                  </c:pt>
                  <c:pt idx="22">
                    <c:v>Mar-19</c:v>
                  </c:pt>
                </c:lvl>
              </c:multiLvlStrCache>
            </c:multiLvlStrRef>
          </c:cat>
          <c:val>
            <c:numRef>
              <c:f>Sheet1!$B$5:$Y$5</c:f>
              <c:numCache>
                <c:formatCode>_(* #,##0_);_(* \(#,##0\);_(* "-"??_);_(@_)</c:formatCode>
                <c:ptCount val="24"/>
                <c:pt idx="0">
                  <c:v>1300</c:v>
                </c:pt>
                <c:pt idx="2">
                  <c:v>1560</c:v>
                </c:pt>
                <c:pt idx="4">
                  <c:v>1820</c:v>
                </c:pt>
              </c:numCache>
            </c:numRef>
          </c:val>
        </c:ser>
        <c:ser>
          <c:idx val="2"/>
          <c:order val="1"/>
          <c:tx>
            <c:strRef>
              <c:f>Sheet1!$A$6</c:f>
              <c:strCache>
                <c:ptCount val="1"/>
                <c:pt idx="0">
                  <c:v>Nippon</c:v>
                </c:pt>
              </c:strCache>
            </c:strRef>
          </c:tx>
          <c:invertIfNegative val="0"/>
          <c:cat>
            <c:multiLvlStrRef>
              <c:f>Sheet1!$B$3:$Y$4</c:f>
              <c:multiLvlStrCache>
                <c:ptCount val="24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</c:lvl>
                <c:lvl>
                  <c:pt idx="0">
                    <c:v>Apr-18</c:v>
                  </c:pt>
                  <c:pt idx="2">
                    <c:v>May-18</c:v>
                  </c:pt>
                  <c:pt idx="4">
                    <c:v>Jun-18</c:v>
                  </c:pt>
                  <c:pt idx="6">
                    <c:v>Jul-18</c:v>
                  </c:pt>
                  <c:pt idx="8">
                    <c:v>Aug-18</c:v>
                  </c:pt>
                  <c:pt idx="10">
                    <c:v>Sep-18</c:v>
                  </c:pt>
                  <c:pt idx="12">
                    <c:v>Oct-18</c:v>
                  </c:pt>
                  <c:pt idx="14">
                    <c:v>Nov-18</c:v>
                  </c:pt>
                  <c:pt idx="16">
                    <c:v>Dec-18</c:v>
                  </c:pt>
                  <c:pt idx="18">
                    <c:v>Jan-19</c:v>
                  </c:pt>
                  <c:pt idx="20">
                    <c:v>Feb-19</c:v>
                  </c:pt>
                  <c:pt idx="22">
                    <c:v>Mar-19</c:v>
                  </c:pt>
                </c:lvl>
              </c:multiLvlStrCache>
            </c:multiLvlStrRef>
          </c:cat>
          <c:val>
            <c:numRef>
              <c:f>Sheet1!$B$6:$Y$6</c:f>
              <c:numCache>
                <c:formatCode>_(* #,##0_);_(* \(#,##0\);_(* "-"??_);_(@_)</c:formatCode>
                <c:ptCount val="24"/>
              </c:numCache>
            </c:numRef>
          </c:val>
        </c:ser>
        <c:ser>
          <c:idx val="4"/>
          <c:order val="2"/>
          <c:tx>
            <c:strRef>
              <c:f>Sheet1!$A$7</c:f>
              <c:strCache>
                <c:ptCount val="1"/>
                <c:pt idx="0">
                  <c:v>OCS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anchor="t" anchorCtr="0"/>
              <a:lstStyle/>
              <a:p>
                <a:pPr>
                  <a:defRPr sz="80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Sheet1!$B$3:$Y$4</c:f>
              <c:multiLvlStrCache>
                <c:ptCount val="24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</c:lvl>
                <c:lvl>
                  <c:pt idx="0">
                    <c:v>Apr-18</c:v>
                  </c:pt>
                  <c:pt idx="2">
                    <c:v>May-18</c:v>
                  </c:pt>
                  <c:pt idx="4">
                    <c:v>Jun-18</c:v>
                  </c:pt>
                  <c:pt idx="6">
                    <c:v>Jul-18</c:v>
                  </c:pt>
                  <c:pt idx="8">
                    <c:v>Aug-18</c:v>
                  </c:pt>
                  <c:pt idx="10">
                    <c:v>Sep-18</c:v>
                  </c:pt>
                  <c:pt idx="12">
                    <c:v>Oct-18</c:v>
                  </c:pt>
                  <c:pt idx="14">
                    <c:v>Nov-18</c:v>
                  </c:pt>
                  <c:pt idx="16">
                    <c:v>Dec-18</c:v>
                  </c:pt>
                  <c:pt idx="18">
                    <c:v>Jan-19</c:v>
                  </c:pt>
                  <c:pt idx="20">
                    <c:v>Feb-19</c:v>
                  </c:pt>
                  <c:pt idx="22">
                    <c:v>Mar-19</c:v>
                  </c:pt>
                </c:lvl>
              </c:multiLvlStrCache>
            </c:multiLvlStrRef>
          </c:cat>
          <c:val>
            <c:numRef>
              <c:f>Sheet1!$B$7:$Y$7</c:f>
              <c:numCache>
                <c:formatCode>_(* #,##0_);_(* \(#,##0\);_(* "-"??_);_(@_)</c:formatCode>
                <c:ptCount val="24"/>
                <c:pt idx="0">
                  <c:v>19521</c:v>
                </c:pt>
                <c:pt idx="1">
                  <c:v>6988</c:v>
                </c:pt>
                <c:pt idx="2">
                  <c:v>39753</c:v>
                </c:pt>
                <c:pt idx="3">
                  <c:v>3822</c:v>
                </c:pt>
                <c:pt idx="4">
                  <c:v>29675</c:v>
                </c:pt>
                <c:pt idx="5">
                  <c:v>14867</c:v>
                </c:pt>
                <c:pt idx="6">
                  <c:v>25851</c:v>
                </c:pt>
                <c:pt idx="7">
                  <c:v>7685</c:v>
                </c:pt>
                <c:pt idx="8">
                  <c:v>20667</c:v>
                </c:pt>
                <c:pt idx="9">
                  <c:v>1203</c:v>
                </c:pt>
                <c:pt idx="10">
                  <c:v>34845</c:v>
                </c:pt>
                <c:pt idx="11">
                  <c:v>6613</c:v>
                </c:pt>
                <c:pt idx="12">
                  <c:v>44441</c:v>
                </c:pt>
                <c:pt idx="13">
                  <c:v>16314</c:v>
                </c:pt>
                <c:pt idx="14">
                  <c:v>24855</c:v>
                </c:pt>
                <c:pt idx="15">
                  <c:v>16147</c:v>
                </c:pt>
                <c:pt idx="16">
                  <c:v>27272</c:v>
                </c:pt>
                <c:pt idx="17">
                  <c:v>23537</c:v>
                </c:pt>
                <c:pt idx="18">
                  <c:v>32767</c:v>
                </c:pt>
                <c:pt idx="19">
                  <c:v>11158</c:v>
                </c:pt>
                <c:pt idx="20">
                  <c:v>18268</c:v>
                </c:pt>
                <c:pt idx="21">
                  <c:v>13117</c:v>
                </c:pt>
                <c:pt idx="22">
                  <c:v>29079</c:v>
                </c:pt>
                <c:pt idx="23">
                  <c:v>7051</c:v>
                </c:pt>
              </c:numCache>
            </c:numRef>
          </c:val>
        </c:ser>
        <c:ser>
          <c:idx val="5"/>
          <c:order val="3"/>
          <c:tx>
            <c:strRef>
              <c:f>Sheet1!$A$8</c:f>
              <c:strCache>
                <c:ptCount val="1"/>
                <c:pt idx="0">
                  <c:v>DHL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Sheet1!$B$3:$Y$4</c:f>
              <c:multiLvlStrCache>
                <c:ptCount val="24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</c:lvl>
                <c:lvl>
                  <c:pt idx="0">
                    <c:v>Apr-18</c:v>
                  </c:pt>
                  <c:pt idx="2">
                    <c:v>May-18</c:v>
                  </c:pt>
                  <c:pt idx="4">
                    <c:v>Jun-18</c:v>
                  </c:pt>
                  <c:pt idx="6">
                    <c:v>Jul-18</c:v>
                  </c:pt>
                  <c:pt idx="8">
                    <c:v>Aug-18</c:v>
                  </c:pt>
                  <c:pt idx="10">
                    <c:v>Sep-18</c:v>
                  </c:pt>
                  <c:pt idx="12">
                    <c:v>Oct-18</c:v>
                  </c:pt>
                  <c:pt idx="14">
                    <c:v>Nov-18</c:v>
                  </c:pt>
                  <c:pt idx="16">
                    <c:v>Dec-18</c:v>
                  </c:pt>
                  <c:pt idx="18">
                    <c:v>Jan-19</c:v>
                  </c:pt>
                  <c:pt idx="20">
                    <c:v>Feb-19</c:v>
                  </c:pt>
                  <c:pt idx="22">
                    <c:v>Mar-19</c:v>
                  </c:pt>
                </c:lvl>
              </c:multiLvlStrCache>
            </c:multiLvlStrRef>
          </c:cat>
          <c:val>
            <c:numRef>
              <c:f>Sheet1!$B$8:$Y$8</c:f>
              <c:numCache>
                <c:formatCode>_(* #,##0_);_(* \(#,##0\);_(* "-"??_);_(@_)</c:formatCode>
                <c:ptCount val="24"/>
                <c:pt idx="12">
                  <c:v>2203</c:v>
                </c:pt>
                <c:pt idx="18">
                  <c:v>2351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89957944"/>
        <c:axId val="389958728"/>
      </c:barChart>
      <c:catAx>
        <c:axId val="389957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89958728"/>
        <c:crosses val="autoZero"/>
        <c:auto val="1"/>
        <c:lblAlgn val="ctr"/>
        <c:lblOffset val="100"/>
        <c:noMultiLvlLbl val="0"/>
      </c:catAx>
      <c:valAx>
        <c:axId val="38995872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none"/>
        <c:minorTickMark val="none"/>
        <c:tickLblPos val="nextTo"/>
        <c:crossAx val="38995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MEA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Sheet1!$B$14:$M$14</c:f>
              <c:numCache>
                <c:formatCode>[$-409]mmm\-yy;@</c:formatCode>
                <c:ptCount val="12"/>
                <c:pt idx="0">
                  <c:v>43191</c:v>
                </c:pt>
                <c:pt idx="1">
                  <c:v>43239</c:v>
                </c:pt>
                <c:pt idx="2">
                  <c:v>43271</c:v>
                </c:pt>
                <c:pt idx="3">
                  <c:v>43302</c:v>
                </c:pt>
                <c:pt idx="4">
                  <c:v>43334</c:v>
                </c:pt>
                <c:pt idx="5">
                  <c:v>43366</c:v>
                </c:pt>
                <c:pt idx="6">
                  <c:v>43397</c:v>
                </c:pt>
                <c:pt idx="7">
                  <c:v>43429</c:v>
                </c:pt>
                <c:pt idx="8">
                  <c:v>43460</c:v>
                </c:pt>
                <c:pt idx="9">
                  <c:v>43492</c:v>
                </c:pt>
                <c:pt idx="10">
                  <c:v>43524</c:v>
                </c:pt>
                <c:pt idx="11">
                  <c:v>43553</c:v>
                </c:pt>
              </c:numCache>
            </c:numRef>
          </c:cat>
          <c:val>
            <c:numRef>
              <c:f>Sheet1!$B$15:$M$15</c:f>
              <c:numCache>
                <c:formatCode>_(* #,##0_);_(* \(#,##0\);_(* "-"??_);_(@_)</c:formatCode>
                <c:ptCount val="12"/>
                <c:pt idx="0">
                  <c:v>84</c:v>
                </c:pt>
                <c:pt idx="1">
                  <c:v>216</c:v>
                </c:pt>
                <c:pt idx="2">
                  <c:v>148</c:v>
                </c:pt>
                <c:pt idx="3">
                  <c:v>130</c:v>
                </c:pt>
                <c:pt idx="4">
                  <c:v>89</c:v>
                </c:pt>
                <c:pt idx="5">
                  <c:v>199</c:v>
                </c:pt>
                <c:pt idx="6">
                  <c:v>211</c:v>
                </c:pt>
                <c:pt idx="7">
                  <c:v>109</c:v>
                </c:pt>
                <c:pt idx="8">
                  <c:v>276</c:v>
                </c:pt>
                <c:pt idx="9">
                  <c:v>250.4</c:v>
                </c:pt>
                <c:pt idx="10">
                  <c:v>87</c:v>
                </c:pt>
                <c:pt idx="11">
                  <c:v>177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MAT</c:v>
                </c:pt>
              </c:strCache>
            </c:strRef>
          </c:tx>
          <c:marker>
            <c:symbol val="none"/>
          </c:marker>
          <c:dLbls>
            <c:dLbl>
              <c:idx val="9"/>
              <c:layout>
                <c:manualLayout>
                  <c:x val="-3.0555555555555555E-2"/>
                  <c:y val="-2.0915032679738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Sheet1!$B$14:$M$14</c:f>
              <c:numCache>
                <c:formatCode>[$-409]mmm\-yy;@</c:formatCode>
                <c:ptCount val="12"/>
                <c:pt idx="0">
                  <c:v>43191</c:v>
                </c:pt>
                <c:pt idx="1">
                  <c:v>43239</c:v>
                </c:pt>
                <c:pt idx="2">
                  <c:v>43271</c:v>
                </c:pt>
                <c:pt idx="3">
                  <c:v>43302</c:v>
                </c:pt>
                <c:pt idx="4">
                  <c:v>43334</c:v>
                </c:pt>
                <c:pt idx="5">
                  <c:v>43366</c:v>
                </c:pt>
                <c:pt idx="6">
                  <c:v>43397</c:v>
                </c:pt>
                <c:pt idx="7">
                  <c:v>43429</c:v>
                </c:pt>
                <c:pt idx="8">
                  <c:v>43460</c:v>
                </c:pt>
                <c:pt idx="9">
                  <c:v>43492</c:v>
                </c:pt>
                <c:pt idx="10">
                  <c:v>43524</c:v>
                </c:pt>
                <c:pt idx="11">
                  <c:v>43553</c:v>
                </c:pt>
              </c:numCache>
            </c:numRef>
          </c:cat>
          <c:val>
            <c:numRef>
              <c:f>Sheet1!$B$16:$M$16</c:f>
              <c:numCache>
                <c:formatCode>_(* #,##0_);_(* \(#,##0\);_(* "-"??_);_(@_)</c:formatCode>
                <c:ptCount val="12"/>
                <c:pt idx="0">
                  <c:v>17</c:v>
                </c:pt>
                <c:pt idx="1">
                  <c:v>11</c:v>
                </c:pt>
                <c:pt idx="2">
                  <c:v>51</c:v>
                </c:pt>
                <c:pt idx="3">
                  <c:v>22</c:v>
                </c:pt>
                <c:pt idx="4">
                  <c:v>3</c:v>
                </c:pt>
                <c:pt idx="5">
                  <c:v>19</c:v>
                </c:pt>
                <c:pt idx="6">
                  <c:v>73</c:v>
                </c:pt>
                <c:pt idx="7">
                  <c:v>45</c:v>
                </c:pt>
                <c:pt idx="8">
                  <c:v>147</c:v>
                </c:pt>
                <c:pt idx="9">
                  <c:v>101</c:v>
                </c:pt>
                <c:pt idx="10">
                  <c:v>88</c:v>
                </c:pt>
                <c:pt idx="11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59512"/>
        <c:axId val="389957552"/>
      </c:lineChart>
      <c:dateAx>
        <c:axId val="38995951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crossAx val="389957552"/>
        <c:crosses val="autoZero"/>
        <c:auto val="1"/>
        <c:lblOffset val="100"/>
        <c:baseTimeUnit val="months"/>
      </c:dateAx>
      <c:valAx>
        <c:axId val="38995755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38995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'Dec-20'!$AB$4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'Dec-20'!$AB$7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'Dec-20'!$AC$4</c:f>
              <c:strCache>
                <c:ptCount val="1"/>
                <c:pt idx="0">
                  <c:v>Yellow</c:v>
                </c:pt>
              </c:strCache>
            </c:strRef>
          </c:tx>
          <c:invertIfNegative val="0"/>
          <c:val>
            <c:numRef>
              <c:f>'Dec-20'!$AC$7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'Dec-20'!$AD$4</c:f>
              <c:strCache>
                <c:ptCount val="1"/>
                <c:pt idx="0">
                  <c:v>Red</c:v>
                </c:pt>
              </c:strCache>
            </c:strRef>
          </c:tx>
          <c:invertIfNegative val="0"/>
          <c:val>
            <c:numRef>
              <c:f>'Dec-20'!$AD$7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669216"/>
        <c:axId val="495668040"/>
      </c:barChart>
      <c:catAx>
        <c:axId val="49566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495668040"/>
        <c:crosses val="autoZero"/>
        <c:auto val="1"/>
        <c:lblAlgn val="ctr"/>
        <c:lblOffset val="100"/>
        <c:noMultiLvlLbl val="0"/>
      </c:catAx>
      <c:valAx>
        <c:axId val="495668040"/>
        <c:scaling>
          <c:orientation val="minMax"/>
        </c:scaling>
        <c:delete val="0"/>
        <c:axPos val="l"/>
        <c:majorGridlines/>
        <c:numFmt formatCode="#,##0_);\(#,##0\)" sourceLinked="1"/>
        <c:majorTickMark val="out"/>
        <c:minorTickMark val="none"/>
        <c:tickLblPos val="nextTo"/>
        <c:crossAx val="49566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Selectivity rate (%)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Lbls>
            <c:dLbl>
              <c:idx val="2"/>
              <c:layout>
                <c:manualLayout>
                  <c:x val="0.198591234685247"/>
                  <c:y val="-7.08209513443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'Dec-20'!$AB$4:$AD$4</c:f>
              <c:strCache>
                <c:ptCount val="3"/>
                <c:pt idx="0">
                  <c:v>Green</c:v>
                </c:pt>
                <c:pt idx="1">
                  <c:v>Yellow</c:v>
                </c:pt>
                <c:pt idx="2">
                  <c:v>Red</c:v>
                </c:pt>
              </c:strCache>
            </c:strRef>
          </c:cat>
          <c:val>
            <c:numRef>
              <c:f>'Dec-20'!$AB$8:$AD$8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'Nov-20'!$AB$4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'Nov-20'!$AB$7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'Nov-20'!$AC$4</c:f>
              <c:strCache>
                <c:ptCount val="1"/>
                <c:pt idx="0">
                  <c:v>Yellow</c:v>
                </c:pt>
              </c:strCache>
            </c:strRef>
          </c:tx>
          <c:invertIfNegative val="0"/>
          <c:val>
            <c:numRef>
              <c:f>'Nov-20'!$AC$7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'Nov-20'!$AD$4</c:f>
              <c:strCache>
                <c:ptCount val="1"/>
                <c:pt idx="0">
                  <c:v>Red</c:v>
                </c:pt>
              </c:strCache>
            </c:strRef>
          </c:tx>
          <c:invertIfNegative val="0"/>
          <c:val>
            <c:numRef>
              <c:f>'Nov-20'!$AD$7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671176"/>
        <c:axId val="495670000"/>
      </c:barChart>
      <c:catAx>
        <c:axId val="49567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495670000"/>
        <c:crosses val="autoZero"/>
        <c:auto val="1"/>
        <c:lblAlgn val="ctr"/>
        <c:lblOffset val="100"/>
        <c:noMultiLvlLbl val="0"/>
      </c:catAx>
      <c:valAx>
        <c:axId val="495670000"/>
        <c:scaling>
          <c:orientation val="minMax"/>
        </c:scaling>
        <c:delete val="0"/>
        <c:axPos val="l"/>
        <c:majorGridlines/>
        <c:numFmt formatCode="#,##0_);\(#,##0\)" sourceLinked="1"/>
        <c:majorTickMark val="out"/>
        <c:minorTickMark val="none"/>
        <c:tickLblPos val="nextTo"/>
        <c:crossAx val="49567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Selectivity rate (%)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Lbls>
            <c:dLbl>
              <c:idx val="2"/>
              <c:layout>
                <c:manualLayout>
                  <c:x val="0.198591234685247"/>
                  <c:y val="-7.08209513443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'Nov-20'!$AB$4:$AD$4</c:f>
              <c:strCache>
                <c:ptCount val="3"/>
                <c:pt idx="0">
                  <c:v>Green</c:v>
                </c:pt>
                <c:pt idx="1">
                  <c:v>Yellow</c:v>
                </c:pt>
                <c:pt idx="2">
                  <c:v>Red</c:v>
                </c:pt>
              </c:strCache>
            </c:strRef>
          </c:cat>
          <c:val>
            <c:numRef>
              <c:f>'Nov-20'!$AB$8:$AD$8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'Oct-20'!$AB$4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'Oct-20'!$AB$7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'Oct-20'!$AC$4</c:f>
              <c:strCache>
                <c:ptCount val="1"/>
                <c:pt idx="0">
                  <c:v>Yellow</c:v>
                </c:pt>
              </c:strCache>
            </c:strRef>
          </c:tx>
          <c:invertIfNegative val="0"/>
          <c:val>
            <c:numRef>
              <c:f>'Oct-20'!$AC$7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'Oct-20'!$AD$4</c:f>
              <c:strCache>
                <c:ptCount val="1"/>
                <c:pt idx="0">
                  <c:v>Red</c:v>
                </c:pt>
              </c:strCache>
            </c:strRef>
          </c:tx>
          <c:invertIfNegative val="0"/>
          <c:val>
            <c:numRef>
              <c:f>'Oct-20'!$AD$7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58456"/>
        <c:axId val="449153840"/>
      </c:barChart>
      <c:catAx>
        <c:axId val="915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449153840"/>
        <c:crosses val="autoZero"/>
        <c:auto val="1"/>
        <c:lblAlgn val="ctr"/>
        <c:lblOffset val="100"/>
        <c:noMultiLvlLbl val="0"/>
      </c:catAx>
      <c:valAx>
        <c:axId val="449153840"/>
        <c:scaling>
          <c:orientation val="minMax"/>
        </c:scaling>
        <c:delete val="0"/>
        <c:axPos val="l"/>
        <c:majorGridlines/>
        <c:numFmt formatCode="#,##0_);\(#,##0\)" sourceLinked="1"/>
        <c:majorTickMark val="out"/>
        <c:minorTickMark val="none"/>
        <c:tickLblPos val="nextTo"/>
        <c:crossAx val="9158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Selectivity rate (%)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Lbls>
            <c:dLbl>
              <c:idx val="2"/>
              <c:layout>
                <c:manualLayout>
                  <c:x val="0.198591234685247"/>
                  <c:y val="-7.08209513443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'Oct-20'!$AB$4:$AD$4</c:f>
              <c:strCache>
                <c:ptCount val="3"/>
                <c:pt idx="0">
                  <c:v>Green</c:v>
                </c:pt>
                <c:pt idx="1">
                  <c:v>Yellow</c:v>
                </c:pt>
                <c:pt idx="2">
                  <c:v>Red</c:v>
                </c:pt>
              </c:strCache>
            </c:strRef>
          </c:cat>
          <c:val>
            <c:numRef>
              <c:f>'Oct-20'!$AB$8:$AD$8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'Sep-20'!$AB$4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'Sep-20'!$AB$7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'Sep-20'!$AC$4</c:f>
              <c:strCache>
                <c:ptCount val="1"/>
                <c:pt idx="0">
                  <c:v>Yellow</c:v>
                </c:pt>
              </c:strCache>
            </c:strRef>
          </c:tx>
          <c:invertIfNegative val="0"/>
          <c:val>
            <c:numRef>
              <c:f>'Sep-20'!$AC$7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'Sep-20'!$AD$4</c:f>
              <c:strCache>
                <c:ptCount val="1"/>
                <c:pt idx="0">
                  <c:v>Red</c:v>
                </c:pt>
              </c:strCache>
            </c:strRef>
          </c:tx>
          <c:invertIfNegative val="0"/>
          <c:val>
            <c:numRef>
              <c:f>'Sep-20'!$AD$7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950328"/>
        <c:axId val="483949936"/>
      </c:barChart>
      <c:catAx>
        <c:axId val="48395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483949936"/>
        <c:crosses val="autoZero"/>
        <c:auto val="1"/>
        <c:lblAlgn val="ctr"/>
        <c:lblOffset val="100"/>
        <c:noMultiLvlLbl val="0"/>
      </c:catAx>
      <c:valAx>
        <c:axId val="483949936"/>
        <c:scaling>
          <c:orientation val="minMax"/>
        </c:scaling>
        <c:delete val="0"/>
        <c:axPos val="l"/>
        <c:majorGridlines/>
        <c:numFmt formatCode="#,##0_);\(#,##0\)" sourceLinked="1"/>
        <c:majorTickMark val="out"/>
        <c:minorTickMark val="none"/>
        <c:tickLblPos val="nextTo"/>
        <c:crossAx val="483950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214591</xdr:colOff>
      <xdr:row>2</xdr:row>
      <xdr:rowOff>161924</xdr:rowOff>
    </xdr:from>
    <xdr:to>
      <xdr:col>22</xdr:col>
      <xdr:colOff>576541</xdr:colOff>
      <xdr:row>8</xdr:row>
      <xdr:rowOff>128586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66675</xdr:colOff>
      <xdr:row>18</xdr:row>
      <xdr:rowOff>142874</xdr:rowOff>
    </xdr:from>
    <xdr:to>
      <xdr:col>12</xdr:col>
      <xdr:colOff>133349</xdr:colOff>
      <xdr:row>30</xdr:row>
      <xdr:rowOff>100011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2</xdr:row>
      <xdr:rowOff>93803</xdr:rowOff>
    </xdr:from>
    <xdr:to>
      <xdr:col>39</xdr:col>
      <xdr:colOff>363681</xdr:colOff>
      <xdr:row>6</xdr:row>
      <xdr:rowOff>329046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569379</xdr:colOff>
      <xdr:row>2</xdr:row>
      <xdr:rowOff>0</xdr:rowOff>
    </xdr:from>
    <xdr:to>
      <xdr:col>45</xdr:col>
      <xdr:colOff>370749</xdr:colOff>
      <xdr:row>6</xdr:row>
      <xdr:rowOff>294409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299357</xdr:colOff>
      <xdr:row>3</xdr:row>
      <xdr:rowOff>69272</xdr:rowOff>
    </xdr:from>
    <xdr:to>
      <xdr:col>29</xdr:col>
      <xdr:colOff>507174</xdr:colOff>
      <xdr:row>10</xdr:row>
      <xdr:rowOff>27732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238126</xdr:colOff>
      <xdr:row>20</xdr:row>
      <xdr:rowOff>190499</xdr:rowOff>
    </xdr:from>
    <xdr:to>
      <xdr:col>6</xdr:col>
      <xdr:colOff>369795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381560</xdr:colOff>
      <xdr:row>21</xdr:row>
      <xdr:rowOff>3362</xdr:rowOff>
    </xdr:from>
    <xdr:to>
      <xdr:col>14</xdr:col>
      <xdr:colOff>100853</xdr:colOff>
      <xdr:row>31</xdr:row>
      <xdr:rowOff>50987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66675</xdr:rowOff>
    </xdr:from>
    <xdr:to>
      <xdr:col>8</xdr:col>
      <xdr:colOff>514350</xdr:colOff>
      <xdr:row>48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17</xdr:row>
      <xdr:rowOff>28574</xdr:rowOff>
    </xdr:from>
    <xdr:to>
      <xdr:col>6</xdr:col>
      <xdr:colOff>161925</xdr:colOff>
      <xdr:row>29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93803</xdr:rowOff>
    </xdr:from>
    <xdr:to>
      <xdr:col>38</xdr:col>
      <xdr:colOff>363681</xdr:colOff>
      <xdr:row>6</xdr:row>
      <xdr:rowOff>329046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569379</xdr:colOff>
      <xdr:row>2</xdr:row>
      <xdr:rowOff>0</xdr:rowOff>
    </xdr:from>
    <xdr:to>
      <xdr:col>44</xdr:col>
      <xdr:colOff>370749</xdr:colOff>
      <xdr:row>6</xdr:row>
      <xdr:rowOff>294409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93803</xdr:rowOff>
    </xdr:from>
    <xdr:to>
      <xdr:col>38</xdr:col>
      <xdr:colOff>363681</xdr:colOff>
      <xdr:row>6</xdr:row>
      <xdr:rowOff>329046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569379</xdr:colOff>
      <xdr:row>2</xdr:row>
      <xdr:rowOff>0</xdr:rowOff>
    </xdr:from>
    <xdr:to>
      <xdr:col>44</xdr:col>
      <xdr:colOff>370749</xdr:colOff>
      <xdr:row>6</xdr:row>
      <xdr:rowOff>294409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93803</xdr:rowOff>
    </xdr:from>
    <xdr:to>
      <xdr:col>38</xdr:col>
      <xdr:colOff>363681</xdr:colOff>
      <xdr:row>6</xdr:row>
      <xdr:rowOff>329046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569379</xdr:colOff>
      <xdr:row>2</xdr:row>
      <xdr:rowOff>0</xdr:rowOff>
    </xdr:from>
    <xdr:to>
      <xdr:col>44</xdr:col>
      <xdr:colOff>370749</xdr:colOff>
      <xdr:row>6</xdr:row>
      <xdr:rowOff>294409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93803</xdr:rowOff>
    </xdr:from>
    <xdr:to>
      <xdr:col>38</xdr:col>
      <xdr:colOff>363681</xdr:colOff>
      <xdr:row>6</xdr:row>
      <xdr:rowOff>329046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569379</xdr:colOff>
      <xdr:row>2</xdr:row>
      <xdr:rowOff>0</xdr:rowOff>
    </xdr:from>
    <xdr:to>
      <xdr:col>44</xdr:col>
      <xdr:colOff>370749</xdr:colOff>
      <xdr:row>6</xdr:row>
      <xdr:rowOff>294409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93803</xdr:rowOff>
    </xdr:from>
    <xdr:to>
      <xdr:col>38</xdr:col>
      <xdr:colOff>363681</xdr:colOff>
      <xdr:row>6</xdr:row>
      <xdr:rowOff>329046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569379</xdr:colOff>
      <xdr:row>2</xdr:row>
      <xdr:rowOff>0</xdr:rowOff>
    </xdr:from>
    <xdr:to>
      <xdr:col>44</xdr:col>
      <xdr:colOff>370749</xdr:colOff>
      <xdr:row>6</xdr:row>
      <xdr:rowOff>294409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93803</xdr:rowOff>
    </xdr:from>
    <xdr:to>
      <xdr:col>38</xdr:col>
      <xdr:colOff>363681</xdr:colOff>
      <xdr:row>6</xdr:row>
      <xdr:rowOff>329046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569379</xdr:colOff>
      <xdr:row>2</xdr:row>
      <xdr:rowOff>0</xdr:rowOff>
    </xdr:from>
    <xdr:to>
      <xdr:col>44</xdr:col>
      <xdr:colOff>370749</xdr:colOff>
      <xdr:row>6</xdr:row>
      <xdr:rowOff>294409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93803</xdr:rowOff>
    </xdr:from>
    <xdr:to>
      <xdr:col>38</xdr:col>
      <xdr:colOff>363681</xdr:colOff>
      <xdr:row>6</xdr:row>
      <xdr:rowOff>329046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569379</xdr:colOff>
      <xdr:row>2</xdr:row>
      <xdr:rowOff>0</xdr:rowOff>
    </xdr:from>
    <xdr:to>
      <xdr:col>44</xdr:col>
      <xdr:colOff>370749</xdr:colOff>
      <xdr:row>6</xdr:row>
      <xdr:rowOff>294409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93803</xdr:rowOff>
    </xdr:from>
    <xdr:to>
      <xdr:col>38</xdr:col>
      <xdr:colOff>363681</xdr:colOff>
      <xdr:row>6</xdr:row>
      <xdr:rowOff>329046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569379</xdr:colOff>
      <xdr:row>2</xdr:row>
      <xdr:rowOff>0</xdr:rowOff>
    </xdr:from>
    <xdr:to>
      <xdr:col>44</xdr:col>
      <xdr:colOff>370749</xdr:colOff>
      <xdr:row>6</xdr:row>
      <xdr:rowOff>294409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\v14062\Desktop\thong%20ke%20nhap%20khau%202018%20(Updat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2017"/>
      <sheetName val="APR-18"/>
      <sheetName val="MAY-18 "/>
      <sheetName val="JUN-18"/>
      <sheetName val="JULY-18 "/>
      <sheetName val="AUG-18 "/>
      <sheetName val="SEP-18"/>
      <sheetName val="OCT-18"/>
      <sheetName val="NOV-18"/>
      <sheetName val="DEC-18"/>
      <sheetName val="JAN-19"/>
      <sheetName val="FEB-19"/>
      <sheetName val="FEB-19 (2)"/>
      <sheetName val="Import fee"/>
      <sheetName val="Total fee"/>
      <sheetName val="Total fee for sampl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5">
          <cell r="C15">
            <v>12019.707</v>
          </cell>
        </row>
        <row r="23">
          <cell r="C23">
            <v>74152.569999999992</v>
          </cell>
          <cell r="D23">
            <v>93054.051999999996</v>
          </cell>
          <cell r="E23">
            <v>63597.913</v>
          </cell>
          <cell r="F23">
            <v>91484.909</v>
          </cell>
          <cell r="G23">
            <v>89220.900999999998</v>
          </cell>
          <cell r="H23">
            <v>49332.455000000002</v>
          </cell>
          <cell r="I23">
            <v>77456.896999999997</v>
          </cell>
          <cell r="J23">
            <v>122770.101</v>
          </cell>
          <cell r="K23">
            <v>142988.62700000001</v>
          </cell>
          <cell r="L23">
            <v>155734.84299999999</v>
          </cell>
          <cell r="M23">
            <v>111861.85400000001</v>
          </cell>
          <cell r="N23">
            <v>84638.820999999996</v>
          </cell>
        </row>
        <row r="36">
          <cell r="C36">
            <v>49479.292000000001</v>
          </cell>
          <cell r="E36">
            <v>0</v>
          </cell>
          <cell r="F36">
            <v>18333.966</v>
          </cell>
          <cell r="G36">
            <v>49385.968999999997</v>
          </cell>
          <cell r="H36">
            <v>0</v>
          </cell>
          <cell r="I36">
            <v>20144.048999999999</v>
          </cell>
          <cell r="J36">
            <v>16138.282999999998</v>
          </cell>
          <cell r="K36">
            <v>4303.9350000000004</v>
          </cell>
          <cell r="L36">
            <v>21263.286</v>
          </cell>
          <cell r="M36">
            <v>26695.437999999998</v>
          </cell>
          <cell r="N36">
            <v>2098.7350000000001</v>
          </cell>
        </row>
      </sheetData>
      <sheetData sheetId="16">
        <row r="3">
          <cell r="B3">
            <v>43191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7"/>
  <sheetViews>
    <sheetView topLeftCell="A19" zoomScale="70" zoomScaleNormal="70" workbookViewId="0">
      <selection activeCell="G20" sqref="G20"/>
    </sheetView>
  </sheetViews>
  <sheetFormatPr defaultRowHeight="15"/>
  <cols>
    <col min="1" max="1" width="4.5703125" customWidth="1"/>
    <col min="2" max="2" width="17.28515625" customWidth="1"/>
    <col min="3" max="3" width="12.7109375" customWidth="1"/>
    <col min="4" max="4" width="16.7109375" customWidth="1"/>
    <col min="5" max="5" width="13" style="1" customWidth="1"/>
    <col min="6" max="6" width="24.5703125" customWidth="1"/>
    <col min="7" max="7" width="28.42578125" customWidth="1"/>
    <col min="8" max="8" width="14" style="95" customWidth="1"/>
    <col min="10" max="10" width="18.85546875" customWidth="1"/>
    <col min="11" max="11" width="13" customWidth="1"/>
    <col min="12" max="12" width="18" customWidth="1"/>
    <col min="14" max="14" width="15.28515625" customWidth="1"/>
    <col min="15" max="15" width="15" customWidth="1"/>
  </cols>
  <sheetData>
    <row r="3" spans="1:15">
      <c r="A3" s="92" t="s">
        <v>0</v>
      </c>
      <c r="B3" s="91" t="s">
        <v>1</v>
      </c>
      <c r="C3" s="91"/>
      <c r="D3" s="91"/>
      <c r="E3" s="96"/>
      <c r="F3" s="989" t="s">
        <v>9</v>
      </c>
      <c r="G3" s="989"/>
      <c r="H3" s="989"/>
      <c r="I3" s="989" t="s">
        <v>5</v>
      </c>
      <c r="J3" s="989" t="s">
        <v>10</v>
      </c>
      <c r="K3" s="989"/>
      <c r="L3" s="989" t="s">
        <v>11</v>
      </c>
      <c r="M3" s="990" t="s">
        <v>2</v>
      </c>
      <c r="N3" s="990" t="s">
        <v>35</v>
      </c>
      <c r="O3" s="989" t="s">
        <v>8</v>
      </c>
    </row>
    <row r="4" spans="1:15">
      <c r="A4" s="93"/>
      <c r="B4" s="92" t="s">
        <v>12</v>
      </c>
      <c r="C4" s="92" t="s">
        <v>13</v>
      </c>
      <c r="D4" s="92" t="s">
        <v>14</v>
      </c>
      <c r="E4" s="40" t="s">
        <v>37</v>
      </c>
      <c r="F4" s="92" t="s">
        <v>15</v>
      </c>
      <c r="G4" s="92" t="s">
        <v>16</v>
      </c>
      <c r="H4" s="94" t="s">
        <v>34</v>
      </c>
      <c r="I4" s="990"/>
      <c r="J4" s="40" t="s">
        <v>17</v>
      </c>
      <c r="K4" s="92" t="s">
        <v>3</v>
      </c>
      <c r="L4" s="990"/>
      <c r="M4" s="991"/>
      <c r="N4" s="991"/>
      <c r="O4" s="990"/>
    </row>
    <row r="5" spans="1:15" ht="15.75">
      <c r="A5" s="63" t="s">
        <v>47</v>
      </c>
      <c r="B5" s="20" t="s">
        <v>57</v>
      </c>
      <c r="C5" s="36">
        <v>42859</v>
      </c>
      <c r="D5" s="19" t="s">
        <v>18</v>
      </c>
      <c r="E5" s="56"/>
      <c r="F5" s="41" t="s">
        <v>56</v>
      </c>
      <c r="G5" s="56" t="s">
        <v>48</v>
      </c>
      <c r="H5" s="49" t="s">
        <v>44</v>
      </c>
      <c r="I5" s="45">
        <v>42951</v>
      </c>
      <c r="J5" s="52">
        <v>301271548230</v>
      </c>
      <c r="K5" s="29" t="s">
        <v>20</v>
      </c>
      <c r="L5" s="23" t="s">
        <v>4</v>
      </c>
      <c r="M5" s="23" t="s">
        <v>19</v>
      </c>
      <c r="N5" s="19" t="s">
        <v>29</v>
      </c>
      <c r="O5" s="19"/>
    </row>
    <row r="6" spans="1:15" ht="15.75">
      <c r="A6" s="65" t="s">
        <v>47</v>
      </c>
      <c r="B6" s="17" t="s">
        <v>57</v>
      </c>
      <c r="C6" s="37">
        <v>42859</v>
      </c>
      <c r="D6" s="21" t="s">
        <v>18</v>
      </c>
      <c r="E6" s="50"/>
      <c r="F6" s="42" t="s">
        <v>56</v>
      </c>
      <c r="G6" s="50" t="s">
        <v>49</v>
      </c>
      <c r="H6" s="48" t="s">
        <v>44</v>
      </c>
      <c r="I6" s="46">
        <v>42951</v>
      </c>
      <c r="J6" s="53">
        <v>301271548230</v>
      </c>
      <c r="K6" s="30" t="s">
        <v>20</v>
      </c>
      <c r="L6" s="24" t="s">
        <v>4</v>
      </c>
      <c r="M6" s="24" t="s">
        <v>19</v>
      </c>
      <c r="N6" s="21" t="s">
        <v>29</v>
      </c>
      <c r="O6" s="21"/>
    </row>
    <row r="7" spans="1:15" ht="15.75">
      <c r="A7" s="65" t="s">
        <v>47</v>
      </c>
      <c r="B7" s="17" t="s">
        <v>57</v>
      </c>
      <c r="C7" s="37">
        <v>42859</v>
      </c>
      <c r="D7" s="21" t="s">
        <v>18</v>
      </c>
      <c r="E7" s="50"/>
      <c r="F7" s="42" t="s">
        <v>56</v>
      </c>
      <c r="G7" s="50" t="s">
        <v>50</v>
      </c>
      <c r="H7" s="48" t="s">
        <v>44</v>
      </c>
      <c r="I7" s="46">
        <v>42951</v>
      </c>
      <c r="J7" s="53">
        <v>301271548230</v>
      </c>
      <c r="K7" s="30" t="s">
        <v>20</v>
      </c>
      <c r="L7" s="24" t="s">
        <v>4</v>
      </c>
      <c r="M7" s="24" t="s">
        <v>19</v>
      </c>
      <c r="N7" s="21" t="s">
        <v>29</v>
      </c>
      <c r="O7" s="22"/>
    </row>
    <row r="8" spans="1:15" ht="15.75">
      <c r="A8" s="65" t="s">
        <v>47</v>
      </c>
      <c r="B8" s="17" t="s">
        <v>57</v>
      </c>
      <c r="C8" s="37">
        <v>42859</v>
      </c>
      <c r="D8" s="21" t="s">
        <v>18</v>
      </c>
      <c r="E8" s="18"/>
      <c r="F8" s="42" t="s">
        <v>56</v>
      </c>
      <c r="G8" s="50" t="s">
        <v>51</v>
      </c>
      <c r="H8" s="48" t="s">
        <v>44</v>
      </c>
      <c r="I8" s="46">
        <v>42951</v>
      </c>
      <c r="J8" s="53">
        <v>301271548230</v>
      </c>
      <c r="K8" s="30" t="s">
        <v>20</v>
      </c>
      <c r="L8" s="24" t="s">
        <v>4</v>
      </c>
      <c r="M8" s="24" t="s">
        <v>19</v>
      </c>
      <c r="N8" s="21" t="s">
        <v>29</v>
      </c>
      <c r="O8" s="16"/>
    </row>
    <row r="9" spans="1:15" ht="15.75">
      <c r="A9" s="65" t="s">
        <v>47</v>
      </c>
      <c r="B9" s="17" t="s">
        <v>57</v>
      </c>
      <c r="C9" s="37">
        <v>42859</v>
      </c>
      <c r="D9" s="21" t="s">
        <v>18</v>
      </c>
      <c r="E9" s="50"/>
      <c r="F9" s="42" t="s">
        <v>56</v>
      </c>
      <c r="G9" s="50" t="s">
        <v>52</v>
      </c>
      <c r="H9" s="48" t="s">
        <v>44</v>
      </c>
      <c r="I9" s="46">
        <v>42951</v>
      </c>
      <c r="J9" s="53">
        <v>301271548230</v>
      </c>
      <c r="K9" s="30" t="s">
        <v>20</v>
      </c>
      <c r="L9" s="24" t="s">
        <v>4</v>
      </c>
      <c r="M9" s="24" t="s">
        <v>19</v>
      </c>
      <c r="N9" s="21" t="s">
        <v>29</v>
      </c>
      <c r="O9" s="15"/>
    </row>
    <row r="10" spans="1:15" ht="15.75">
      <c r="A10" s="65" t="s">
        <v>47</v>
      </c>
      <c r="B10" s="17" t="s">
        <v>57</v>
      </c>
      <c r="C10" s="37">
        <v>42859</v>
      </c>
      <c r="D10" s="21" t="s">
        <v>18</v>
      </c>
      <c r="E10" s="50"/>
      <c r="F10" s="42" t="s">
        <v>56</v>
      </c>
      <c r="G10" s="50" t="s">
        <v>53</v>
      </c>
      <c r="H10" s="48" t="s">
        <v>44</v>
      </c>
      <c r="I10" s="46">
        <v>42951</v>
      </c>
      <c r="J10" s="53">
        <v>301271548230</v>
      </c>
      <c r="K10" s="30" t="s">
        <v>20</v>
      </c>
      <c r="L10" s="24" t="s">
        <v>4</v>
      </c>
      <c r="M10" s="24" t="s">
        <v>19</v>
      </c>
      <c r="N10" s="21" t="s">
        <v>29</v>
      </c>
      <c r="O10" s="76"/>
    </row>
    <row r="11" spans="1:15" ht="15.75">
      <c r="A11" s="65" t="s">
        <v>47</v>
      </c>
      <c r="B11" s="17" t="s">
        <v>57</v>
      </c>
      <c r="C11" s="37">
        <v>42859</v>
      </c>
      <c r="D11" s="21" t="s">
        <v>18</v>
      </c>
      <c r="E11" s="50"/>
      <c r="F11" s="42" t="s">
        <v>56</v>
      </c>
      <c r="G11" s="78" t="s">
        <v>54</v>
      </c>
      <c r="H11" s="48" t="s">
        <v>44</v>
      </c>
      <c r="I11" s="46">
        <v>42951</v>
      </c>
      <c r="J11" s="53">
        <v>301271548230</v>
      </c>
      <c r="K11" s="30" t="s">
        <v>20</v>
      </c>
      <c r="L11" s="24" t="s">
        <v>4</v>
      </c>
      <c r="M11" s="24" t="s">
        <v>19</v>
      </c>
      <c r="N11" s="21" t="s">
        <v>29</v>
      </c>
      <c r="O11" s="76"/>
    </row>
    <row r="12" spans="1:15" ht="15.75">
      <c r="A12" s="67" t="s">
        <v>47</v>
      </c>
      <c r="B12" s="3" t="s">
        <v>57</v>
      </c>
      <c r="C12" s="38">
        <v>42859</v>
      </c>
      <c r="D12" s="22" t="s">
        <v>18</v>
      </c>
      <c r="E12" s="55"/>
      <c r="F12" s="43" t="s">
        <v>56</v>
      </c>
      <c r="G12" s="79" t="s">
        <v>55</v>
      </c>
      <c r="H12" s="51" t="s">
        <v>44</v>
      </c>
      <c r="I12" s="47">
        <v>42951</v>
      </c>
      <c r="J12" s="54">
        <v>301271548230</v>
      </c>
      <c r="K12" s="31" t="s">
        <v>20</v>
      </c>
      <c r="L12" s="6" t="s">
        <v>4</v>
      </c>
      <c r="M12" s="6" t="s">
        <v>19</v>
      </c>
      <c r="N12" s="22" t="s">
        <v>29</v>
      </c>
      <c r="O12" s="21"/>
    </row>
    <row r="13" spans="1:15" ht="15.75">
      <c r="A13" s="63" t="s">
        <v>103</v>
      </c>
      <c r="B13" s="11" t="s">
        <v>102</v>
      </c>
      <c r="C13" s="36">
        <v>42859</v>
      </c>
      <c r="D13" s="15" t="s">
        <v>18</v>
      </c>
      <c r="E13" s="56"/>
      <c r="F13" s="25" t="s">
        <v>82</v>
      </c>
      <c r="G13" s="64" t="s">
        <v>58</v>
      </c>
      <c r="H13" s="59">
        <v>101.4</v>
      </c>
      <c r="I13" s="45">
        <v>42951</v>
      </c>
      <c r="J13" s="70">
        <v>301271745630</v>
      </c>
      <c r="K13" s="29" t="s">
        <v>20</v>
      </c>
      <c r="L13" s="23" t="s">
        <v>4</v>
      </c>
      <c r="M13" s="23" t="s">
        <v>19</v>
      </c>
      <c r="N13" s="19" t="s">
        <v>29</v>
      </c>
      <c r="O13" s="21"/>
    </row>
    <row r="14" spans="1:15" ht="15.75">
      <c r="A14" s="65" t="s">
        <v>103</v>
      </c>
      <c r="B14" s="12" t="s">
        <v>102</v>
      </c>
      <c r="C14" s="37">
        <v>42859</v>
      </c>
      <c r="D14" s="76" t="s">
        <v>18</v>
      </c>
      <c r="E14" s="50"/>
      <c r="F14" s="33" t="s">
        <v>83</v>
      </c>
      <c r="G14" s="66" t="s">
        <v>59</v>
      </c>
      <c r="H14" s="58">
        <v>101.4</v>
      </c>
      <c r="I14" s="46">
        <v>42951</v>
      </c>
      <c r="J14" s="71">
        <v>301271745630</v>
      </c>
      <c r="K14" s="30" t="s">
        <v>20</v>
      </c>
      <c r="L14" s="24" t="s">
        <v>4</v>
      </c>
      <c r="M14" s="24" t="s">
        <v>19</v>
      </c>
      <c r="N14" s="21" t="s">
        <v>29</v>
      </c>
      <c r="O14" s="21"/>
    </row>
    <row r="15" spans="1:15" ht="15.75">
      <c r="A15" s="65" t="s">
        <v>103</v>
      </c>
      <c r="B15" s="12" t="s">
        <v>102</v>
      </c>
      <c r="C15" s="37">
        <v>42859</v>
      </c>
      <c r="D15" s="76" t="s">
        <v>18</v>
      </c>
      <c r="E15" s="50"/>
      <c r="F15" s="33" t="s">
        <v>84</v>
      </c>
      <c r="G15" s="66" t="s">
        <v>60</v>
      </c>
      <c r="H15" s="58">
        <v>101.4</v>
      </c>
      <c r="I15" s="46">
        <v>42951</v>
      </c>
      <c r="J15" s="71">
        <v>301271745630</v>
      </c>
      <c r="K15" s="30" t="s">
        <v>20</v>
      </c>
      <c r="L15" s="24" t="s">
        <v>4</v>
      </c>
      <c r="M15" s="24" t="s">
        <v>19</v>
      </c>
      <c r="N15" s="21" t="s">
        <v>29</v>
      </c>
      <c r="O15" s="21"/>
    </row>
    <row r="16" spans="1:15" ht="15.75">
      <c r="A16" s="65" t="s">
        <v>103</v>
      </c>
      <c r="B16" s="12" t="s">
        <v>102</v>
      </c>
      <c r="C16" s="37">
        <v>42859</v>
      </c>
      <c r="D16" s="76" t="s">
        <v>18</v>
      </c>
      <c r="E16" s="50"/>
      <c r="F16" s="33" t="s">
        <v>82</v>
      </c>
      <c r="G16" s="66" t="s">
        <v>61</v>
      </c>
      <c r="H16" s="58">
        <v>101.4</v>
      </c>
      <c r="I16" s="46">
        <v>42951</v>
      </c>
      <c r="J16" s="71">
        <v>301271745630</v>
      </c>
      <c r="K16" s="30" t="s">
        <v>20</v>
      </c>
      <c r="L16" s="24" t="s">
        <v>4</v>
      </c>
      <c r="M16" s="24" t="s">
        <v>19</v>
      </c>
      <c r="N16" s="21" t="s">
        <v>29</v>
      </c>
      <c r="O16" s="21"/>
    </row>
    <row r="17" spans="1:15" ht="15.75">
      <c r="A17" s="65" t="s">
        <v>103</v>
      </c>
      <c r="B17" s="12" t="s">
        <v>102</v>
      </c>
      <c r="C17" s="37">
        <v>42859</v>
      </c>
      <c r="D17" s="76" t="s">
        <v>18</v>
      </c>
      <c r="E17" s="50"/>
      <c r="F17" s="33" t="s">
        <v>83</v>
      </c>
      <c r="G17" s="66" t="s">
        <v>62</v>
      </c>
      <c r="H17" s="58">
        <v>101.4</v>
      </c>
      <c r="I17" s="46">
        <v>42951</v>
      </c>
      <c r="J17" s="71">
        <v>301271745630</v>
      </c>
      <c r="K17" s="30" t="s">
        <v>20</v>
      </c>
      <c r="L17" s="24" t="s">
        <v>4</v>
      </c>
      <c r="M17" s="24" t="s">
        <v>19</v>
      </c>
      <c r="N17" s="21" t="s">
        <v>29</v>
      </c>
      <c r="O17" s="22"/>
    </row>
    <row r="18" spans="1:15" ht="15.75">
      <c r="A18" s="65" t="s">
        <v>103</v>
      </c>
      <c r="B18" s="12" t="s">
        <v>102</v>
      </c>
      <c r="C18" s="37">
        <v>42859</v>
      </c>
      <c r="D18" s="76" t="s">
        <v>18</v>
      </c>
      <c r="E18" s="50"/>
      <c r="F18" s="33" t="s">
        <v>85</v>
      </c>
      <c r="G18" s="66" t="s">
        <v>62</v>
      </c>
      <c r="H18" s="58">
        <v>101.4</v>
      </c>
      <c r="I18" s="46">
        <v>42951</v>
      </c>
      <c r="J18" s="71">
        <v>301271745630</v>
      </c>
      <c r="K18" s="30" t="s">
        <v>20</v>
      </c>
      <c r="L18" s="24" t="s">
        <v>4</v>
      </c>
      <c r="M18" s="24" t="s">
        <v>19</v>
      </c>
      <c r="N18" s="21" t="s">
        <v>29</v>
      </c>
      <c r="O18" s="4"/>
    </row>
    <row r="19" spans="1:15" ht="15.75">
      <c r="A19" s="65" t="s">
        <v>103</v>
      </c>
      <c r="B19" s="12" t="s">
        <v>102</v>
      </c>
      <c r="C19" s="37">
        <v>42859</v>
      </c>
      <c r="D19" s="76" t="s">
        <v>18</v>
      </c>
      <c r="E19" s="50"/>
      <c r="F19" s="33" t="s">
        <v>84</v>
      </c>
      <c r="G19" s="66" t="s">
        <v>63</v>
      </c>
      <c r="H19" s="58">
        <v>101.4</v>
      </c>
      <c r="I19" s="46">
        <v>42951</v>
      </c>
      <c r="J19" s="71">
        <v>301271745630</v>
      </c>
      <c r="K19" s="30" t="s">
        <v>20</v>
      </c>
      <c r="L19" s="24" t="s">
        <v>4</v>
      </c>
      <c r="M19" s="24" t="s">
        <v>19</v>
      </c>
      <c r="N19" s="21" t="s">
        <v>29</v>
      </c>
      <c r="O19" s="19"/>
    </row>
    <row r="20" spans="1:15" ht="15.75">
      <c r="A20" s="65" t="s">
        <v>103</v>
      </c>
      <c r="B20" s="12" t="s">
        <v>102</v>
      </c>
      <c r="C20" s="37">
        <v>42859</v>
      </c>
      <c r="D20" s="76" t="s">
        <v>18</v>
      </c>
      <c r="E20" s="50"/>
      <c r="F20" s="33" t="s">
        <v>86</v>
      </c>
      <c r="G20" s="66" t="s">
        <v>64</v>
      </c>
      <c r="H20" s="58">
        <v>101.4</v>
      </c>
      <c r="I20" s="46">
        <v>42951</v>
      </c>
      <c r="J20" s="71">
        <v>301271745630</v>
      </c>
      <c r="K20" s="30" t="s">
        <v>20</v>
      </c>
      <c r="L20" s="24" t="s">
        <v>4</v>
      </c>
      <c r="M20" s="24" t="s">
        <v>19</v>
      </c>
      <c r="N20" s="21" t="s">
        <v>29</v>
      </c>
      <c r="O20" s="21"/>
    </row>
    <row r="21" spans="1:15" ht="15.75">
      <c r="A21" s="65" t="s">
        <v>103</v>
      </c>
      <c r="B21" s="12" t="s">
        <v>102</v>
      </c>
      <c r="C21" s="37">
        <v>42859</v>
      </c>
      <c r="D21" s="76" t="s">
        <v>18</v>
      </c>
      <c r="E21" s="50"/>
      <c r="F21" s="33" t="s">
        <v>86</v>
      </c>
      <c r="G21" s="66" t="s">
        <v>65</v>
      </c>
      <c r="H21" s="58">
        <v>101.4</v>
      </c>
      <c r="I21" s="46">
        <v>42951</v>
      </c>
      <c r="J21" s="71">
        <v>301271745630</v>
      </c>
      <c r="K21" s="30" t="s">
        <v>20</v>
      </c>
      <c r="L21" s="24" t="s">
        <v>4</v>
      </c>
      <c r="M21" s="24" t="s">
        <v>19</v>
      </c>
      <c r="N21" s="21" t="s">
        <v>29</v>
      </c>
      <c r="O21" s="21"/>
    </row>
    <row r="22" spans="1:15" ht="15.75">
      <c r="A22" s="65" t="s">
        <v>103</v>
      </c>
      <c r="B22" s="12" t="s">
        <v>102</v>
      </c>
      <c r="C22" s="37">
        <v>42859</v>
      </c>
      <c r="D22" s="76" t="s">
        <v>18</v>
      </c>
      <c r="E22" s="50"/>
      <c r="F22" s="33" t="s">
        <v>87</v>
      </c>
      <c r="G22" s="66" t="s">
        <v>66</v>
      </c>
      <c r="H22" s="58">
        <v>101.4</v>
      </c>
      <c r="I22" s="46">
        <v>42951</v>
      </c>
      <c r="J22" s="71">
        <v>301271745630</v>
      </c>
      <c r="K22" s="30" t="s">
        <v>20</v>
      </c>
      <c r="L22" s="24" t="s">
        <v>4</v>
      </c>
      <c r="M22" s="24" t="s">
        <v>19</v>
      </c>
      <c r="N22" s="21" t="s">
        <v>29</v>
      </c>
      <c r="O22" s="21"/>
    </row>
    <row r="23" spans="1:15" ht="15.75">
      <c r="A23" s="65" t="s">
        <v>103</v>
      </c>
      <c r="B23" s="12" t="s">
        <v>102</v>
      </c>
      <c r="C23" s="37">
        <v>42859</v>
      </c>
      <c r="D23" s="76" t="s">
        <v>18</v>
      </c>
      <c r="E23" s="50"/>
      <c r="F23" s="33" t="s">
        <v>87</v>
      </c>
      <c r="G23" s="66" t="s">
        <v>67</v>
      </c>
      <c r="H23" s="58">
        <v>101.4</v>
      </c>
      <c r="I23" s="46">
        <v>42951</v>
      </c>
      <c r="J23" s="71">
        <v>301271745630</v>
      </c>
      <c r="K23" s="30" t="s">
        <v>20</v>
      </c>
      <c r="L23" s="24" t="s">
        <v>4</v>
      </c>
      <c r="M23" s="24" t="s">
        <v>19</v>
      </c>
      <c r="N23" s="21" t="s">
        <v>29</v>
      </c>
      <c r="O23" s="21"/>
    </row>
    <row r="24" spans="1:15" ht="15.75">
      <c r="A24" s="65" t="s">
        <v>103</v>
      </c>
      <c r="B24" s="12" t="s">
        <v>102</v>
      </c>
      <c r="C24" s="37">
        <v>42859</v>
      </c>
      <c r="D24" s="76" t="s">
        <v>18</v>
      </c>
      <c r="E24" s="50"/>
      <c r="F24" s="33" t="s">
        <v>88</v>
      </c>
      <c r="G24" s="66" t="s">
        <v>68</v>
      </c>
      <c r="H24" s="58">
        <v>101.4</v>
      </c>
      <c r="I24" s="46">
        <v>42951</v>
      </c>
      <c r="J24" s="71">
        <v>301271745630</v>
      </c>
      <c r="K24" s="30" t="s">
        <v>20</v>
      </c>
      <c r="L24" s="24" t="s">
        <v>4</v>
      </c>
      <c r="M24" s="24" t="s">
        <v>19</v>
      </c>
      <c r="N24" s="21" t="s">
        <v>29</v>
      </c>
      <c r="O24" s="22"/>
    </row>
    <row r="25" spans="1:15" ht="28.5">
      <c r="A25" s="65" t="s">
        <v>103</v>
      </c>
      <c r="B25" s="12" t="s">
        <v>102</v>
      </c>
      <c r="C25" s="37">
        <v>42859</v>
      </c>
      <c r="D25" s="76" t="s">
        <v>18</v>
      </c>
      <c r="E25" s="50"/>
      <c r="F25" s="33" t="s">
        <v>89</v>
      </c>
      <c r="G25" s="66" t="s">
        <v>69</v>
      </c>
      <c r="H25" s="58">
        <v>101.4</v>
      </c>
      <c r="I25" s="46">
        <v>42951</v>
      </c>
      <c r="J25" s="71">
        <v>301271745630</v>
      </c>
      <c r="K25" s="30" t="s">
        <v>20</v>
      </c>
      <c r="L25" s="24" t="s">
        <v>4</v>
      </c>
      <c r="M25" s="24" t="s">
        <v>19</v>
      </c>
      <c r="N25" s="21" t="s">
        <v>29</v>
      </c>
      <c r="O25" s="4"/>
    </row>
    <row r="26" spans="1:15" ht="28.5">
      <c r="A26" s="65" t="s">
        <v>103</v>
      </c>
      <c r="B26" s="12" t="s">
        <v>102</v>
      </c>
      <c r="C26" s="37">
        <v>42859</v>
      </c>
      <c r="D26" s="76" t="s">
        <v>18</v>
      </c>
      <c r="E26" s="50"/>
      <c r="F26" s="33" t="s">
        <v>90</v>
      </c>
      <c r="G26" s="66" t="s">
        <v>70</v>
      </c>
      <c r="H26" s="58">
        <v>101.4</v>
      </c>
      <c r="I26" s="46">
        <v>42951</v>
      </c>
      <c r="J26" s="71">
        <v>301271745630</v>
      </c>
      <c r="K26" s="30" t="s">
        <v>20</v>
      </c>
      <c r="L26" s="24" t="s">
        <v>4</v>
      </c>
      <c r="M26" s="24" t="s">
        <v>19</v>
      </c>
      <c r="N26" s="21" t="s">
        <v>29</v>
      </c>
      <c r="O26" s="19"/>
    </row>
    <row r="27" spans="1:15">
      <c r="A27" s="65" t="s">
        <v>103</v>
      </c>
      <c r="B27" s="12" t="s">
        <v>102</v>
      </c>
      <c r="C27" s="37">
        <v>42859</v>
      </c>
      <c r="D27" s="76" t="s">
        <v>18</v>
      </c>
      <c r="E27" s="21"/>
      <c r="F27" s="33" t="s">
        <v>91</v>
      </c>
      <c r="G27" s="66" t="s">
        <v>71</v>
      </c>
      <c r="H27" s="58">
        <v>101.4</v>
      </c>
      <c r="I27" s="46">
        <v>42951</v>
      </c>
      <c r="J27" s="71">
        <v>301271745630</v>
      </c>
      <c r="K27" s="30" t="s">
        <v>20</v>
      </c>
      <c r="L27" s="24" t="s">
        <v>4</v>
      </c>
      <c r="M27" s="24" t="s">
        <v>19</v>
      </c>
      <c r="N27" s="21" t="s">
        <v>29</v>
      </c>
      <c r="O27" s="21"/>
    </row>
    <row r="28" spans="1:15" ht="15.75">
      <c r="A28" s="65" t="s">
        <v>103</v>
      </c>
      <c r="B28" s="12" t="s">
        <v>102</v>
      </c>
      <c r="C28" s="37">
        <v>42859</v>
      </c>
      <c r="D28" s="76" t="s">
        <v>18</v>
      </c>
      <c r="E28" s="50"/>
      <c r="F28" s="33" t="s">
        <v>92</v>
      </c>
      <c r="G28" s="66" t="s">
        <v>72</v>
      </c>
      <c r="H28" s="58">
        <v>101.4</v>
      </c>
      <c r="I28" s="46">
        <v>42951</v>
      </c>
      <c r="J28" s="71">
        <v>301271745630</v>
      </c>
      <c r="K28" s="30" t="s">
        <v>20</v>
      </c>
      <c r="L28" s="24" t="s">
        <v>4</v>
      </c>
      <c r="M28" s="24" t="s">
        <v>19</v>
      </c>
      <c r="N28" s="21" t="s">
        <v>29</v>
      </c>
      <c r="O28" s="21"/>
    </row>
    <row r="29" spans="1:15" ht="15.75">
      <c r="A29" s="65" t="s">
        <v>103</v>
      </c>
      <c r="B29" s="12" t="s">
        <v>102</v>
      </c>
      <c r="C29" s="37">
        <v>42859</v>
      </c>
      <c r="D29" s="76" t="s">
        <v>18</v>
      </c>
      <c r="E29" s="50"/>
      <c r="F29" s="34" t="s">
        <v>93</v>
      </c>
      <c r="G29" s="34" t="s">
        <v>73</v>
      </c>
      <c r="H29" s="58">
        <v>101.4</v>
      </c>
      <c r="I29" s="46">
        <v>42951</v>
      </c>
      <c r="J29" s="71">
        <v>301271745630</v>
      </c>
      <c r="K29" s="30" t="s">
        <v>20</v>
      </c>
      <c r="L29" s="24" t="s">
        <v>4</v>
      </c>
      <c r="M29" s="24" t="s">
        <v>19</v>
      </c>
      <c r="N29" s="21" t="s">
        <v>29</v>
      </c>
      <c r="O29" s="21"/>
    </row>
    <row r="30" spans="1:15" ht="15.75">
      <c r="A30" s="65" t="s">
        <v>103</v>
      </c>
      <c r="B30" s="12" t="s">
        <v>102</v>
      </c>
      <c r="C30" s="37">
        <v>42859</v>
      </c>
      <c r="D30" s="76" t="s">
        <v>18</v>
      </c>
      <c r="E30" s="50"/>
      <c r="F30" s="34" t="s">
        <v>94</v>
      </c>
      <c r="G30" s="34" t="s">
        <v>74</v>
      </c>
      <c r="H30" s="58">
        <v>101.4</v>
      </c>
      <c r="I30" s="46">
        <v>42951</v>
      </c>
      <c r="J30" s="71">
        <v>301271745630</v>
      </c>
      <c r="K30" s="30" t="s">
        <v>20</v>
      </c>
      <c r="L30" s="24" t="s">
        <v>4</v>
      </c>
      <c r="M30" s="24" t="s">
        <v>19</v>
      </c>
      <c r="N30" s="21" t="s">
        <v>29</v>
      </c>
      <c r="O30" s="22"/>
    </row>
    <row r="31" spans="1:15" ht="28.5">
      <c r="A31" s="65" t="s">
        <v>103</v>
      </c>
      <c r="B31" s="12" t="s">
        <v>102</v>
      </c>
      <c r="C31" s="37">
        <v>42859</v>
      </c>
      <c r="D31" s="76" t="s">
        <v>18</v>
      </c>
      <c r="E31" s="50"/>
      <c r="F31" s="33" t="s">
        <v>95</v>
      </c>
      <c r="G31" s="66" t="s">
        <v>75</v>
      </c>
      <c r="H31" s="58">
        <v>101.4</v>
      </c>
      <c r="I31" s="46">
        <v>42951</v>
      </c>
      <c r="J31" s="71">
        <v>301271745630</v>
      </c>
      <c r="K31" s="30" t="s">
        <v>20</v>
      </c>
      <c r="L31" s="24" t="s">
        <v>4</v>
      </c>
      <c r="M31" s="24" t="s">
        <v>19</v>
      </c>
      <c r="N31" s="21" t="s">
        <v>29</v>
      </c>
      <c r="O31" s="19"/>
    </row>
    <row r="32" spans="1:15">
      <c r="A32" s="65" t="s">
        <v>103</v>
      </c>
      <c r="B32" s="12" t="s">
        <v>102</v>
      </c>
      <c r="C32" s="37">
        <v>42859</v>
      </c>
      <c r="D32" s="76" t="s">
        <v>18</v>
      </c>
      <c r="E32" s="21"/>
      <c r="F32" s="66" t="s">
        <v>96</v>
      </c>
      <c r="G32" s="66" t="s">
        <v>76</v>
      </c>
      <c r="H32" s="58">
        <v>101.4</v>
      </c>
      <c r="I32" s="46">
        <v>42951</v>
      </c>
      <c r="J32" s="71">
        <v>301271745630</v>
      </c>
      <c r="K32" s="30" t="s">
        <v>20</v>
      </c>
      <c r="L32" s="24" t="s">
        <v>4</v>
      </c>
      <c r="M32" s="24" t="s">
        <v>19</v>
      </c>
      <c r="N32" s="21" t="s">
        <v>29</v>
      </c>
      <c r="O32" s="21"/>
    </row>
    <row r="33" spans="1:15" ht="42.75">
      <c r="A33" s="65" t="s">
        <v>103</v>
      </c>
      <c r="B33" s="12" t="s">
        <v>102</v>
      </c>
      <c r="C33" s="37">
        <v>42859</v>
      </c>
      <c r="D33" s="76" t="s">
        <v>18</v>
      </c>
      <c r="E33" s="21"/>
      <c r="F33" s="33" t="s">
        <v>97</v>
      </c>
      <c r="G33" s="66" t="s">
        <v>77</v>
      </c>
      <c r="H33" s="58">
        <v>101.4</v>
      </c>
      <c r="I33" s="46">
        <v>42951</v>
      </c>
      <c r="J33" s="71">
        <v>301271745630</v>
      </c>
      <c r="K33" s="30" t="s">
        <v>20</v>
      </c>
      <c r="L33" s="24" t="s">
        <v>4</v>
      </c>
      <c r="M33" s="24" t="s">
        <v>19</v>
      </c>
      <c r="N33" s="21" t="s">
        <v>29</v>
      </c>
      <c r="O33" s="21"/>
    </row>
    <row r="34" spans="1:15" ht="15.75">
      <c r="A34" s="65" t="s">
        <v>103</v>
      </c>
      <c r="B34" s="12" t="s">
        <v>102</v>
      </c>
      <c r="C34" s="37">
        <v>42859</v>
      </c>
      <c r="D34" s="76" t="s">
        <v>18</v>
      </c>
      <c r="E34" s="21"/>
      <c r="F34" s="50" t="s">
        <v>98</v>
      </c>
      <c r="G34" s="42" t="s">
        <v>78</v>
      </c>
      <c r="H34" s="58">
        <v>101.4</v>
      </c>
      <c r="I34" s="46">
        <v>42951</v>
      </c>
      <c r="J34" s="71">
        <v>301271745630</v>
      </c>
      <c r="K34" s="30" t="s">
        <v>20</v>
      </c>
      <c r="L34" s="24" t="s">
        <v>4</v>
      </c>
      <c r="M34" s="24" t="s">
        <v>19</v>
      </c>
      <c r="N34" s="21" t="s">
        <v>29</v>
      </c>
      <c r="O34" s="21"/>
    </row>
    <row r="35" spans="1:15" ht="15.75">
      <c r="A35" s="65" t="s">
        <v>103</v>
      </c>
      <c r="B35" s="12" t="s">
        <v>102</v>
      </c>
      <c r="C35" s="37">
        <v>42859</v>
      </c>
      <c r="D35" s="76" t="s">
        <v>18</v>
      </c>
      <c r="E35" s="21"/>
      <c r="F35" s="42" t="s">
        <v>99</v>
      </c>
      <c r="G35" s="42" t="s">
        <v>79</v>
      </c>
      <c r="H35" s="58">
        <v>101.4</v>
      </c>
      <c r="I35" s="46">
        <v>42951</v>
      </c>
      <c r="J35" s="71">
        <v>301271745630</v>
      </c>
      <c r="K35" s="30" t="s">
        <v>20</v>
      </c>
      <c r="L35" s="24" t="s">
        <v>4</v>
      </c>
      <c r="M35" s="24" t="s">
        <v>19</v>
      </c>
      <c r="N35" s="21" t="s">
        <v>29</v>
      </c>
      <c r="O35" s="21"/>
    </row>
    <row r="36" spans="1:15" ht="15.75">
      <c r="A36" s="65" t="s">
        <v>103</v>
      </c>
      <c r="B36" s="12" t="s">
        <v>102</v>
      </c>
      <c r="C36" s="37">
        <v>42859</v>
      </c>
      <c r="D36" s="76" t="s">
        <v>18</v>
      </c>
      <c r="E36" s="21"/>
      <c r="F36" s="42" t="s">
        <v>100</v>
      </c>
      <c r="G36" s="42" t="s">
        <v>80</v>
      </c>
      <c r="H36" s="58">
        <v>101.4</v>
      </c>
      <c r="I36" s="46">
        <v>42951</v>
      </c>
      <c r="J36" s="71">
        <v>301271745630</v>
      </c>
      <c r="K36" s="30" t="s">
        <v>20</v>
      </c>
      <c r="L36" s="24" t="s">
        <v>4</v>
      </c>
      <c r="M36" s="24" t="s">
        <v>19</v>
      </c>
      <c r="N36" s="21" t="s">
        <v>29</v>
      </c>
      <c r="O36" s="21"/>
    </row>
    <row r="37" spans="1:15" ht="15.75">
      <c r="A37" s="67" t="s">
        <v>103</v>
      </c>
      <c r="B37" s="13" t="s">
        <v>102</v>
      </c>
      <c r="C37" s="38">
        <v>42859</v>
      </c>
      <c r="D37" s="77" t="s">
        <v>18</v>
      </c>
      <c r="E37" s="22"/>
      <c r="F37" s="43" t="s">
        <v>101</v>
      </c>
      <c r="G37" s="43" t="s">
        <v>81</v>
      </c>
      <c r="H37" s="60">
        <v>101.4</v>
      </c>
      <c r="I37" s="47">
        <v>42951</v>
      </c>
      <c r="J37" s="69">
        <v>301271745630</v>
      </c>
      <c r="K37" s="31" t="s">
        <v>20</v>
      </c>
      <c r="L37" s="6" t="s">
        <v>4</v>
      </c>
      <c r="M37" s="6" t="s">
        <v>19</v>
      </c>
      <c r="N37" s="22" t="s">
        <v>29</v>
      </c>
      <c r="O37" s="21"/>
    </row>
    <row r="38" spans="1:15" ht="15.75">
      <c r="A38" s="63" t="s">
        <v>43</v>
      </c>
      <c r="B38" s="19" t="s">
        <v>104</v>
      </c>
      <c r="C38" s="36">
        <v>42859</v>
      </c>
      <c r="D38" s="19" t="s">
        <v>18</v>
      </c>
      <c r="E38" s="19"/>
      <c r="F38" s="41" t="s">
        <v>105</v>
      </c>
      <c r="G38" s="41" t="s">
        <v>33</v>
      </c>
      <c r="H38" s="49" t="s">
        <v>44</v>
      </c>
      <c r="I38" s="45">
        <v>42951</v>
      </c>
      <c r="J38" s="73"/>
      <c r="K38" s="20"/>
      <c r="L38" s="23" t="s">
        <v>4</v>
      </c>
      <c r="M38" s="23"/>
      <c r="N38" s="23" t="s">
        <v>6</v>
      </c>
      <c r="O38" s="21"/>
    </row>
    <row r="39" spans="1:15" ht="15.75">
      <c r="A39" s="65" t="s">
        <v>43</v>
      </c>
      <c r="B39" s="21" t="s">
        <v>104</v>
      </c>
      <c r="C39" s="37">
        <v>42859</v>
      </c>
      <c r="D39" s="21" t="s">
        <v>18</v>
      </c>
      <c r="E39" s="21"/>
      <c r="F39" s="42" t="s">
        <v>106</v>
      </c>
      <c r="G39" s="42" t="s">
        <v>33</v>
      </c>
      <c r="H39" s="48" t="s">
        <v>44</v>
      </c>
      <c r="I39" s="46">
        <v>42951</v>
      </c>
      <c r="J39" s="74"/>
      <c r="K39" s="17"/>
      <c r="L39" s="24" t="s">
        <v>4</v>
      </c>
      <c r="M39" s="24"/>
      <c r="N39" s="24" t="s">
        <v>6</v>
      </c>
      <c r="O39" s="21"/>
    </row>
    <row r="40" spans="1:15" ht="15.75">
      <c r="A40" s="65" t="s">
        <v>43</v>
      </c>
      <c r="B40" s="21" t="s">
        <v>104</v>
      </c>
      <c r="C40" s="37">
        <v>42859</v>
      </c>
      <c r="D40" s="21" t="s">
        <v>18</v>
      </c>
      <c r="E40" s="21"/>
      <c r="F40" s="42" t="s">
        <v>107</v>
      </c>
      <c r="G40" s="42" t="s">
        <v>33</v>
      </c>
      <c r="H40" s="48" t="s">
        <v>44</v>
      </c>
      <c r="I40" s="46">
        <v>42951</v>
      </c>
      <c r="J40" s="74"/>
      <c r="K40" s="17"/>
      <c r="L40" s="24" t="s">
        <v>4</v>
      </c>
      <c r="M40" s="24"/>
      <c r="N40" s="24" t="s">
        <v>6</v>
      </c>
      <c r="O40" s="21"/>
    </row>
    <row r="41" spans="1:15" ht="15.75">
      <c r="A41" s="67" t="s">
        <v>43</v>
      </c>
      <c r="B41" s="22" t="s">
        <v>104</v>
      </c>
      <c r="C41" s="38">
        <v>42859</v>
      </c>
      <c r="D41" s="22" t="s">
        <v>18</v>
      </c>
      <c r="E41" s="22"/>
      <c r="F41" s="43" t="s">
        <v>108</v>
      </c>
      <c r="G41" s="43" t="s">
        <v>33</v>
      </c>
      <c r="H41" s="51" t="s">
        <v>44</v>
      </c>
      <c r="I41" s="47">
        <v>42951</v>
      </c>
      <c r="J41" s="72"/>
      <c r="K41" s="3"/>
      <c r="L41" s="6" t="s">
        <v>4</v>
      </c>
      <c r="M41" s="6"/>
      <c r="N41" s="6" t="s">
        <v>6</v>
      </c>
      <c r="O41" s="21"/>
    </row>
    <row r="42" spans="1:15">
      <c r="A42" s="68" t="s">
        <v>111</v>
      </c>
      <c r="B42" s="4" t="s">
        <v>109</v>
      </c>
      <c r="C42" s="39">
        <v>42859</v>
      </c>
      <c r="D42" s="4" t="s">
        <v>18</v>
      </c>
      <c r="E42" s="4"/>
      <c r="F42" s="80"/>
      <c r="G42" s="4" t="s">
        <v>30</v>
      </c>
      <c r="H42" s="81" t="s">
        <v>110</v>
      </c>
      <c r="I42" s="82">
        <v>42951</v>
      </c>
      <c r="J42" s="83"/>
      <c r="K42" s="5"/>
      <c r="L42" s="14" t="s">
        <v>7</v>
      </c>
      <c r="M42" s="10"/>
      <c r="N42" s="10" t="s">
        <v>6</v>
      </c>
      <c r="O42" s="21"/>
    </row>
    <row r="43" spans="1:15">
      <c r="A43" s="63" t="s">
        <v>119</v>
      </c>
      <c r="B43" s="19" t="s">
        <v>112</v>
      </c>
      <c r="C43" s="36" t="s">
        <v>113</v>
      </c>
      <c r="D43" s="19" t="s">
        <v>18</v>
      </c>
      <c r="E43" s="86" t="s">
        <v>141</v>
      </c>
      <c r="F43" s="64" t="s">
        <v>114</v>
      </c>
      <c r="G43" s="25" t="s">
        <v>115</v>
      </c>
      <c r="H43" s="49" t="s">
        <v>116</v>
      </c>
      <c r="I43" s="36" t="s">
        <v>118</v>
      </c>
      <c r="J43" s="73" t="s">
        <v>117</v>
      </c>
      <c r="K43" s="29" t="s">
        <v>20</v>
      </c>
      <c r="L43" s="23" t="s">
        <v>4</v>
      </c>
      <c r="M43" s="23" t="s">
        <v>19</v>
      </c>
      <c r="N43" s="19" t="s">
        <v>36</v>
      </c>
      <c r="O43" s="21"/>
    </row>
    <row r="44" spans="1:15" ht="15.75">
      <c r="A44" s="63" t="s">
        <v>44</v>
      </c>
      <c r="B44" s="19" t="s">
        <v>120</v>
      </c>
      <c r="C44" s="36" t="s">
        <v>138</v>
      </c>
      <c r="D44" s="19" t="s">
        <v>18</v>
      </c>
      <c r="E44" s="87" t="s">
        <v>142</v>
      </c>
      <c r="F44" s="56" t="s">
        <v>121</v>
      </c>
      <c r="G44" s="41" t="s">
        <v>122</v>
      </c>
      <c r="H44" s="49" t="s">
        <v>139</v>
      </c>
      <c r="I44" s="36" t="s">
        <v>140</v>
      </c>
      <c r="J44" s="73">
        <v>301287582100</v>
      </c>
      <c r="K44" s="29" t="s">
        <v>20</v>
      </c>
      <c r="L44" s="23" t="s">
        <v>4</v>
      </c>
      <c r="M44" s="23" t="s">
        <v>19</v>
      </c>
      <c r="N44" s="19" t="s">
        <v>36</v>
      </c>
      <c r="O44" s="21"/>
    </row>
    <row r="45" spans="1:15" ht="15.75">
      <c r="A45" s="65" t="s">
        <v>44</v>
      </c>
      <c r="B45" s="21" t="s">
        <v>120</v>
      </c>
      <c r="C45" s="37" t="s">
        <v>138</v>
      </c>
      <c r="D45" s="21" t="s">
        <v>18</v>
      </c>
      <c r="E45" s="88" t="s">
        <v>142</v>
      </c>
      <c r="F45" s="42" t="s">
        <v>123</v>
      </c>
      <c r="G45" s="42" t="s">
        <v>124</v>
      </c>
      <c r="H45" s="48" t="s">
        <v>139</v>
      </c>
      <c r="I45" s="37" t="s">
        <v>140</v>
      </c>
      <c r="J45" s="74">
        <v>301287582100</v>
      </c>
      <c r="K45" s="30" t="s">
        <v>20</v>
      </c>
      <c r="L45" s="24" t="s">
        <v>4</v>
      </c>
      <c r="M45" s="24" t="s">
        <v>19</v>
      </c>
      <c r="N45" s="21" t="s">
        <v>36</v>
      </c>
      <c r="O45" s="21"/>
    </row>
    <row r="46" spans="1:15" ht="15.75">
      <c r="A46" s="65" t="s">
        <v>44</v>
      </c>
      <c r="B46" s="21" t="s">
        <v>120</v>
      </c>
      <c r="C46" s="37" t="s">
        <v>138</v>
      </c>
      <c r="D46" s="21" t="s">
        <v>18</v>
      </c>
      <c r="E46" s="88" t="s">
        <v>142</v>
      </c>
      <c r="F46" s="42" t="s">
        <v>125</v>
      </c>
      <c r="G46" s="42" t="s">
        <v>126</v>
      </c>
      <c r="H46" s="48" t="s">
        <v>139</v>
      </c>
      <c r="I46" s="37" t="s">
        <v>140</v>
      </c>
      <c r="J46" s="74">
        <v>301287582100</v>
      </c>
      <c r="K46" s="30" t="s">
        <v>20</v>
      </c>
      <c r="L46" s="24" t="s">
        <v>4</v>
      </c>
      <c r="M46" s="24" t="s">
        <v>19</v>
      </c>
      <c r="N46" s="21" t="s">
        <v>36</v>
      </c>
      <c r="O46" s="21"/>
    </row>
    <row r="47" spans="1:15" ht="31.5">
      <c r="A47" s="65" t="s">
        <v>44</v>
      </c>
      <c r="B47" s="21" t="s">
        <v>120</v>
      </c>
      <c r="C47" s="37" t="s">
        <v>138</v>
      </c>
      <c r="D47" s="21" t="s">
        <v>18</v>
      </c>
      <c r="E47" s="88" t="s">
        <v>142</v>
      </c>
      <c r="F47" s="89" t="s">
        <v>127</v>
      </c>
      <c r="G47" s="89" t="s">
        <v>128</v>
      </c>
      <c r="H47" s="48" t="s">
        <v>139</v>
      </c>
      <c r="I47" s="37" t="s">
        <v>140</v>
      </c>
      <c r="J47" s="74">
        <v>301287582100</v>
      </c>
      <c r="K47" s="30" t="s">
        <v>20</v>
      </c>
      <c r="L47" s="24" t="s">
        <v>4</v>
      </c>
      <c r="M47" s="24" t="s">
        <v>19</v>
      </c>
      <c r="N47" s="21" t="s">
        <v>36</v>
      </c>
      <c r="O47" s="21"/>
    </row>
    <row r="48" spans="1:15" ht="15.75">
      <c r="A48" s="65" t="s">
        <v>44</v>
      </c>
      <c r="B48" s="21" t="s">
        <v>120</v>
      </c>
      <c r="C48" s="37" t="s">
        <v>138</v>
      </c>
      <c r="D48" s="21" t="s">
        <v>18</v>
      </c>
      <c r="E48" s="88" t="s">
        <v>142</v>
      </c>
      <c r="F48" s="42" t="s">
        <v>129</v>
      </c>
      <c r="G48" s="42" t="s">
        <v>130</v>
      </c>
      <c r="H48" s="48" t="s">
        <v>139</v>
      </c>
      <c r="I48" s="37" t="s">
        <v>140</v>
      </c>
      <c r="J48" s="74">
        <v>301287582100</v>
      </c>
      <c r="K48" s="30" t="s">
        <v>20</v>
      </c>
      <c r="L48" s="24" t="s">
        <v>4</v>
      </c>
      <c r="M48" s="24" t="s">
        <v>19</v>
      </c>
      <c r="N48" s="21" t="s">
        <v>36</v>
      </c>
      <c r="O48" s="21"/>
    </row>
    <row r="49" spans="1:15" ht="15.75">
      <c r="A49" s="65" t="s">
        <v>44</v>
      </c>
      <c r="B49" s="21" t="s">
        <v>120</v>
      </c>
      <c r="C49" s="37" t="s">
        <v>138</v>
      </c>
      <c r="D49" s="21" t="s">
        <v>18</v>
      </c>
      <c r="E49" s="88" t="s">
        <v>142</v>
      </c>
      <c r="F49" s="42" t="s">
        <v>131</v>
      </c>
      <c r="G49" s="42" t="s">
        <v>132</v>
      </c>
      <c r="H49" s="48" t="s">
        <v>139</v>
      </c>
      <c r="I49" s="37" t="s">
        <v>140</v>
      </c>
      <c r="J49" s="74">
        <v>301287582100</v>
      </c>
      <c r="K49" s="30" t="s">
        <v>20</v>
      </c>
      <c r="L49" s="24" t="s">
        <v>4</v>
      </c>
      <c r="M49" s="24" t="s">
        <v>19</v>
      </c>
      <c r="N49" s="21" t="s">
        <v>36</v>
      </c>
      <c r="O49" s="21"/>
    </row>
    <row r="50" spans="1:15" ht="15.75">
      <c r="A50" s="65" t="s">
        <v>44</v>
      </c>
      <c r="B50" s="21" t="s">
        <v>120</v>
      </c>
      <c r="C50" s="37" t="s">
        <v>138</v>
      </c>
      <c r="D50" s="21" t="s">
        <v>18</v>
      </c>
      <c r="E50" s="88" t="s">
        <v>142</v>
      </c>
      <c r="F50" s="42" t="s">
        <v>133</v>
      </c>
      <c r="G50" s="42" t="s">
        <v>134</v>
      </c>
      <c r="H50" s="48" t="s">
        <v>139</v>
      </c>
      <c r="I50" s="37" t="s">
        <v>140</v>
      </c>
      <c r="J50" s="74">
        <v>301287582100</v>
      </c>
      <c r="K50" s="30" t="s">
        <v>20</v>
      </c>
      <c r="L50" s="24" t="s">
        <v>4</v>
      </c>
      <c r="M50" s="24" t="s">
        <v>19</v>
      </c>
      <c r="N50" s="21" t="s">
        <v>36</v>
      </c>
      <c r="O50" s="21"/>
    </row>
    <row r="51" spans="1:15" ht="15.75">
      <c r="A51" s="65" t="s">
        <v>44</v>
      </c>
      <c r="B51" s="21" t="s">
        <v>120</v>
      </c>
      <c r="C51" s="37" t="s">
        <v>138</v>
      </c>
      <c r="D51" s="21" t="s">
        <v>18</v>
      </c>
      <c r="E51" s="88" t="s">
        <v>142</v>
      </c>
      <c r="F51" s="42" t="s">
        <v>135</v>
      </c>
      <c r="G51" s="42" t="s">
        <v>136</v>
      </c>
      <c r="H51" s="48" t="s">
        <v>139</v>
      </c>
      <c r="I51" s="37" t="s">
        <v>140</v>
      </c>
      <c r="J51" s="74">
        <v>301287582100</v>
      </c>
      <c r="K51" s="30" t="s">
        <v>20</v>
      </c>
      <c r="L51" s="24" t="s">
        <v>4</v>
      </c>
      <c r="M51" s="24" t="s">
        <v>19</v>
      </c>
      <c r="N51" s="21" t="s">
        <v>36</v>
      </c>
      <c r="O51" s="21"/>
    </row>
    <row r="52" spans="1:15" ht="15.75">
      <c r="A52" s="67" t="s">
        <v>44</v>
      </c>
      <c r="B52" s="22" t="s">
        <v>120</v>
      </c>
      <c r="C52" s="38" t="s">
        <v>138</v>
      </c>
      <c r="D52" s="22" t="s">
        <v>18</v>
      </c>
      <c r="E52" s="90" t="s">
        <v>142</v>
      </c>
      <c r="F52" s="43" t="s">
        <v>135</v>
      </c>
      <c r="G52" s="43" t="s">
        <v>137</v>
      </c>
      <c r="H52" s="51" t="s">
        <v>139</v>
      </c>
      <c r="I52" s="38" t="s">
        <v>140</v>
      </c>
      <c r="J52" s="72">
        <v>301287582100</v>
      </c>
      <c r="K52" s="31" t="s">
        <v>20</v>
      </c>
      <c r="L52" s="6" t="s">
        <v>4</v>
      </c>
      <c r="M52" s="6" t="s">
        <v>19</v>
      </c>
      <c r="N52" s="22" t="s">
        <v>36</v>
      </c>
      <c r="O52" s="21"/>
    </row>
    <row r="53" spans="1:15" ht="15.75">
      <c r="A53" s="63" t="s">
        <v>150</v>
      </c>
      <c r="B53" s="19" t="s">
        <v>147</v>
      </c>
      <c r="C53" s="36" t="s">
        <v>148</v>
      </c>
      <c r="D53" s="19" t="s">
        <v>18</v>
      </c>
      <c r="E53" s="87" t="s">
        <v>151</v>
      </c>
      <c r="F53" s="56" t="s">
        <v>143</v>
      </c>
      <c r="G53" s="41" t="s">
        <v>144</v>
      </c>
      <c r="H53" s="49" t="s">
        <v>149</v>
      </c>
      <c r="I53" s="36" t="s">
        <v>152</v>
      </c>
      <c r="J53" s="73">
        <v>301292620700</v>
      </c>
      <c r="K53" s="29" t="s">
        <v>20</v>
      </c>
      <c r="L53" s="23" t="s">
        <v>4</v>
      </c>
      <c r="M53" s="23" t="s">
        <v>19</v>
      </c>
      <c r="N53" s="19" t="s">
        <v>36</v>
      </c>
      <c r="O53" s="21"/>
    </row>
    <row r="54" spans="1:15" ht="15.75">
      <c r="A54" s="65" t="s">
        <v>150</v>
      </c>
      <c r="B54" s="21" t="s">
        <v>147</v>
      </c>
      <c r="C54" s="37" t="s">
        <v>148</v>
      </c>
      <c r="D54" s="21" t="s">
        <v>18</v>
      </c>
      <c r="E54" s="88" t="s">
        <v>151</v>
      </c>
      <c r="F54" s="50" t="s">
        <v>143</v>
      </c>
      <c r="G54" s="42" t="s">
        <v>144</v>
      </c>
      <c r="H54" s="48" t="s">
        <v>149</v>
      </c>
      <c r="I54" s="37" t="s">
        <v>152</v>
      </c>
      <c r="J54" s="74">
        <v>301292620700</v>
      </c>
      <c r="K54" s="30" t="s">
        <v>20</v>
      </c>
      <c r="L54" s="24" t="s">
        <v>4</v>
      </c>
      <c r="M54" s="24" t="s">
        <v>19</v>
      </c>
      <c r="N54" s="21" t="s">
        <v>36</v>
      </c>
      <c r="O54" s="21"/>
    </row>
    <row r="55" spans="1:15" ht="15.75">
      <c r="A55" s="65" t="s">
        <v>150</v>
      </c>
      <c r="B55" s="21" t="s">
        <v>147</v>
      </c>
      <c r="C55" s="37" t="s">
        <v>148</v>
      </c>
      <c r="D55" s="21" t="s">
        <v>18</v>
      </c>
      <c r="E55" s="88" t="s">
        <v>151</v>
      </c>
      <c r="F55" s="50" t="s">
        <v>114</v>
      </c>
      <c r="G55" s="42" t="s">
        <v>145</v>
      </c>
      <c r="H55" s="48" t="s">
        <v>149</v>
      </c>
      <c r="I55" s="37" t="s">
        <v>152</v>
      </c>
      <c r="J55" s="74">
        <v>301292620700</v>
      </c>
      <c r="K55" s="30" t="s">
        <v>20</v>
      </c>
      <c r="L55" s="24" t="s">
        <v>4</v>
      </c>
      <c r="M55" s="24" t="s">
        <v>19</v>
      </c>
      <c r="N55" s="21" t="s">
        <v>36</v>
      </c>
      <c r="O55" s="21"/>
    </row>
    <row r="56" spans="1:15" ht="15.75">
      <c r="A56" s="67" t="s">
        <v>150</v>
      </c>
      <c r="B56" s="22" t="s">
        <v>147</v>
      </c>
      <c r="C56" s="38" t="s">
        <v>148</v>
      </c>
      <c r="D56" s="22" t="s">
        <v>18</v>
      </c>
      <c r="E56" s="90" t="s">
        <v>151</v>
      </c>
      <c r="F56" s="43" t="s">
        <v>146</v>
      </c>
      <c r="G56" s="43" t="s">
        <v>115</v>
      </c>
      <c r="H56" s="51" t="s">
        <v>149</v>
      </c>
      <c r="I56" s="38" t="s">
        <v>152</v>
      </c>
      <c r="J56" s="72">
        <v>301292620700</v>
      </c>
      <c r="K56" s="31" t="s">
        <v>20</v>
      </c>
      <c r="L56" s="6" t="s">
        <v>4</v>
      </c>
      <c r="M56" s="6" t="s">
        <v>19</v>
      </c>
      <c r="N56" s="22" t="s">
        <v>36</v>
      </c>
      <c r="O56" s="21"/>
    </row>
    <row r="57" spans="1:15" ht="15.75">
      <c r="A57" s="68" t="s">
        <v>158</v>
      </c>
      <c r="B57" s="4" t="s">
        <v>153</v>
      </c>
      <c r="C57" s="39" t="s">
        <v>154</v>
      </c>
      <c r="D57" s="4" t="s">
        <v>18</v>
      </c>
      <c r="E57" s="85" t="s">
        <v>159</v>
      </c>
      <c r="F57" s="84" t="s">
        <v>155</v>
      </c>
      <c r="G57" s="57" t="s">
        <v>156</v>
      </c>
      <c r="H57" s="81" t="s">
        <v>47</v>
      </c>
      <c r="I57" s="39" t="s">
        <v>157</v>
      </c>
      <c r="J57" s="83">
        <v>301299725440</v>
      </c>
      <c r="K57" s="35" t="s">
        <v>20</v>
      </c>
      <c r="L57" s="10" t="s">
        <v>4</v>
      </c>
      <c r="M57" s="10" t="s">
        <v>19</v>
      </c>
      <c r="N57" s="4" t="s">
        <v>36</v>
      </c>
      <c r="O57" s="21"/>
    </row>
  </sheetData>
  <mergeCells count="7">
    <mergeCell ref="O3:O4"/>
    <mergeCell ref="F3:H3"/>
    <mergeCell ref="I3:I4"/>
    <mergeCell ref="J3:K3"/>
    <mergeCell ref="L3:L4"/>
    <mergeCell ref="M3:M4"/>
    <mergeCell ref="N3:N4"/>
  </mergeCells>
  <dataValidations count="4">
    <dataValidation type="list" allowBlank="1" showInputMessage="1" showErrorMessage="1" sqref="N38:N42 M5:M57">
      <formula1>"Yusen,PCS"</formula1>
    </dataValidation>
    <dataValidation type="list" allowBlank="1" showInputMessage="1" showErrorMessage="1" sqref="D27:E27 D9:D26 D8:E8 D5:D7 E32:E42 D28:D57">
      <formula1>"Commercial, Non-Commercial"</formula1>
    </dataValidation>
    <dataValidation type="list" allowBlank="1" showInputMessage="1" showErrorMessage="1" sqref="K5:K57">
      <formula1>"Green,Yellow,Red"</formula1>
    </dataValidation>
    <dataValidation type="list" allowBlank="1" showInputMessage="1" showErrorMessage="1" sqref="L5:L57">
      <formula1>"Measurement,Material,HR-ADM,Drawing,CAE"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42"/>
  <sheetViews>
    <sheetView topLeftCell="A10" zoomScale="70" zoomScaleNormal="70" workbookViewId="0">
      <pane xSplit="5" ySplit="3" topLeftCell="J13" activePane="bottomRight" state="frozen"/>
      <selection activeCell="A10" sqref="A10"/>
      <selection pane="topRight" activeCell="F10" sqref="F10"/>
      <selection pane="bottomLeft" activeCell="A13" sqref="A13"/>
      <selection pane="bottomRight" activeCell="P13" sqref="P13"/>
    </sheetView>
  </sheetViews>
  <sheetFormatPr defaultRowHeight="15"/>
  <cols>
    <col min="1" max="1" width="9.140625" style="156" customWidth="1"/>
    <col min="2" max="2" width="22.28515625" customWidth="1"/>
    <col min="3" max="3" width="14.7109375" style="350" customWidth="1"/>
    <col min="4" max="4" width="22.42578125" customWidth="1"/>
    <col min="5" max="5" width="22.7109375" style="9" customWidth="1"/>
    <col min="6" max="6" width="41" customWidth="1"/>
    <col min="7" max="7" width="27.28515625" customWidth="1"/>
    <col min="8" max="8" width="14.85546875" customWidth="1"/>
    <col min="9" max="9" width="13" style="153" customWidth="1"/>
    <col min="10" max="10" width="14.7109375" style="267" customWidth="1"/>
    <col min="11" max="11" width="13.140625" customWidth="1"/>
    <col min="12" max="12" width="13" customWidth="1"/>
    <col min="13" max="13" width="12.42578125" style="162" customWidth="1"/>
    <col min="14" max="14" width="13.7109375" style="9" customWidth="1"/>
    <col min="15" max="15" width="32.140625" style="9" customWidth="1"/>
    <col min="16" max="16" width="23.85546875" style="1" customWidth="1"/>
    <col min="17" max="17" width="15.5703125" customWidth="1"/>
    <col min="18" max="18" width="17.7109375" style="9" customWidth="1"/>
    <col min="19" max="19" width="16.7109375" style="7" customWidth="1"/>
    <col min="20" max="20" width="18.7109375" style="404" customWidth="1"/>
    <col min="21" max="21" width="20.85546875" style="238" customWidth="1"/>
    <col min="22" max="22" width="20.42578125" style="7" customWidth="1"/>
    <col min="24" max="24" width="16.7109375" customWidth="1"/>
    <col min="25" max="25" width="14.42578125" customWidth="1"/>
    <col min="26" max="26" width="13.7109375" customWidth="1"/>
    <col min="27" max="27" width="19.7109375" bestFit="1" customWidth="1"/>
    <col min="28" max="30" width="11" customWidth="1"/>
    <col min="31" max="31" width="13.28515625" customWidth="1"/>
    <col min="32" max="32" width="16.140625" customWidth="1"/>
  </cols>
  <sheetData>
    <row r="1" spans="1:31" ht="34.5" customHeight="1">
      <c r="A1" s="1023">
        <v>43891</v>
      </c>
      <c r="B1" s="1023"/>
      <c r="C1" s="1023"/>
      <c r="D1" s="2"/>
      <c r="E1" s="409"/>
      <c r="F1" s="2"/>
      <c r="G1" s="2"/>
      <c r="H1" s="2"/>
      <c r="I1" s="152"/>
      <c r="J1" s="152"/>
      <c r="K1" s="2"/>
      <c r="L1" s="2"/>
      <c r="M1" s="160"/>
      <c r="N1" s="409"/>
      <c r="O1" s="409"/>
      <c r="P1" s="8"/>
      <c r="Q1" s="2"/>
      <c r="R1" s="409"/>
      <c r="S1" s="409"/>
      <c r="T1" s="2"/>
      <c r="U1" s="233"/>
    </row>
    <row r="2" spans="1:31" ht="34.5" customHeight="1">
      <c r="A2" s="157"/>
      <c r="B2" s="44"/>
      <c r="C2" s="349"/>
      <c r="D2" s="2"/>
      <c r="E2" s="409"/>
      <c r="F2" s="2"/>
      <c r="G2" s="2"/>
      <c r="H2" s="2"/>
      <c r="I2" s="152"/>
      <c r="J2" s="152"/>
      <c r="K2" s="2"/>
      <c r="L2" s="2"/>
      <c r="M2" s="160"/>
      <c r="N2" s="409"/>
      <c r="O2" s="409"/>
      <c r="P2" s="8"/>
      <c r="Q2" s="2"/>
      <c r="R2" s="409"/>
      <c r="S2" s="409"/>
      <c r="T2" s="2"/>
      <c r="U2" s="233"/>
    </row>
    <row r="3" spans="1:31" ht="54.75" customHeight="1">
      <c r="A3" s="157"/>
      <c r="B3" s="44"/>
      <c r="C3" s="349"/>
      <c r="D3" s="2"/>
      <c r="E3" s="409"/>
      <c r="F3" s="2"/>
      <c r="G3" s="2"/>
      <c r="H3" s="2"/>
      <c r="I3" s="152"/>
      <c r="J3" s="152"/>
      <c r="K3" s="2"/>
      <c r="L3" s="2"/>
      <c r="M3" s="160"/>
      <c r="N3" s="411" t="s">
        <v>0</v>
      </c>
      <c r="O3" s="412" t="s">
        <v>16</v>
      </c>
      <c r="P3" s="412" t="s">
        <v>27</v>
      </c>
      <c r="Q3" s="412" t="s">
        <v>14</v>
      </c>
      <c r="R3" s="412" t="s">
        <v>31</v>
      </c>
      <c r="S3" s="412" t="s">
        <v>203</v>
      </c>
      <c r="T3" s="155" t="s">
        <v>46</v>
      </c>
      <c r="U3" s="234" t="s">
        <v>45</v>
      </c>
      <c r="AA3" s="1024" t="s">
        <v>14</v>
      </c>
      <c r="AB3" s="1026" t="s">
        <v>3</v>
      </c>
      <c r="AC3" s="1027"/>
      <c r="AD3" s="1028"/>
      <c r="AE3" s="1009" t="s">
        <v>21</v>
      </c>
    </row>
    <row r="4" spans="1:31" ht="46.5" customHeight="1">
      <c r="A4" s="157"/>
      <c r="B4" s="44"/>
      <c r="C4" s="349"/>
      <c r="D4" s="2"/>
      <c r="E4" s="409"/>
      <c r="F4" s="2"/>
      <c r="G4" s="2"/>
      <c r="H4" s="2"/>
      <c r="I4" s="152"/>
      <c r="J4" s="152"/>
      <c r="K4" s="2"/>
      <c r="L4" s="2"/>
      <c r="M4" s="160"/>
      <c r="N4" s="32">
        <v>1</v>
      </c>
      <c r="O4" s="32" t="s">
        <v>28</v>
      </c>
      <c r="P4" s="32">
        <v>7</v>
      </c>
      <c r="Q4" s="32" t="s">
        <v>24</v>
      </c>
      <c r="R4" s="32" t="s">
        <v>32</v>
      </c>
      <c r="S4" s="32" t="s">
        <v>4</v>
      </c>
      <c r="T4" s="101"/>
      <c r="U4" s="235" t="s">
        <v>178</v>
      </c>
      <c r="AA4" s="1025"/>
      <c r="AB4" s="118" t="s">
        <v>20</v>
      </c>
      <c r="AC4" s="119" t="s">
        <v>22</v>
      </c>
      <c r="AD4" s="120" t="s">
        <v>23</v>
      </c>
      <c r="AE4" s="1010"/>
    </row>
    <row r="5" spans="1:31" ht="48.75" customHeight="1">
      <c r="A5" s="157"/>
      <c r="B5" s="44"/>
      <c r="C5" s="349"/>
      <c r="D5" s="2"/>
      <c r="E5" s="409"/>
      <c r="F5" s="409"/>
      <c r="G5" s="2"/>
      <c r="H5" s="2"/>
      <c r="I5" s="152"/>
      <c r="J5" s="152"/>
      <c r="K5" s="2"/>
      <c r="L5" s="2"/>
      <c r="M5" s="160"/>
      <c r="N5" s="61">
        <v>2</v>
      </c>
      <c r="O5" s="61" t="s">
        <v>180</v>
      </c>
      <c r="P5" s="61">
        <v>4</v>
      </c>
      <c r="Q5" s="61" t="s">
        <v>24</v>
      </c>
      <c r="R5" s="61" t="s">
        <v>32</v>
      </c>
      <c r="S5" s="61" t="s">
        <v>7</v>
      </c>
      <c r="T5" s="403"/>
      <c r="U5" s="236" t="s">
        <v>178</v>
      </c>
      <c r="AA5" s="121" t="s">
        <v>24</v>
      </c>
      <c r="AB5" s="121"/>
      <c r="AC5" s="121"/>
      <c r="AD5" s="121"/>
      <c r="AE5" s="121">
        <f>SUM(AB5:AD5)</f>
        <v>0</v>
      </c>
    </row>
    <row r="6" spans="1:31" ht="37.5" customHeight="1">
      <c r="A6" s="157"/>
      <c r="B6" s="44"/>
      <c r="C6" s="349"/>
      <c r="D6" s="2"/>
      <c r="E6" s="409"/>
      <c r="F6" s="2"/>
      <c r="G6" s="2"/>
      <c r="H6" s="2"/>
      <c r="I6" s="152"/>
      <c r="J6" s="152"/>
      <c r="K6" s="2"/>
      <c r="L6" s="2"/>
      <c r="M6" s="160"/>
      <c r="N6" s="32">
        <v>3</v>
      </c>
      <c r="O6" s="32" t="s">
        <v>217</v>
      </c>
      <c r="P6" s="32">
        <v>1</v>
      </c>
      <c r="Q6" s="32" t="s">
        <v>218</v>
      </c>
      <c r="R6" s="32" t="s">
        <v>32</v>
      </c>
      <c r="S6" s="32"/>
      <c r="T6" s="101" t="s">
        <v>29</v>
      </c>
      <c r="U6" s="235" t="s">
        <v>29</v>
      </c>
      <c r="AA6" s="124" t="s">
        <v>171</v>
      </c>
      <c r="AB6" s="61"/>
      <c r="AC6" s="124"/>
      <c r="AD6" s="61"/>
      <c r="AE6" s="61">
        <f>+AB6+AC6+AD6</f>
        <v>0</v>
      </c>
    </row>
    <row r="7" spans="1:31" ht="38.25" customHeight="1">
      <c r="A7" s="157"/>
      <c r="B7" s="44"/>
      <c r="C7" s="349"/>
      <c r="D7" s="2"/>
      <c r="E7" s="409"/>
      <c r="F7" s="2"/>
      <c r="G7" s="2"/>
      <c r="H7" s="2"/>
      <c r="I7" s="152"/>
      <c r="J7" s="152"/>
      <c r="K7" s="2"/>
      <c r="L7" s="2"/>
      <c r="M7" s="160"/>
      <c r="N7" s="61"/>
      <c r="O7" s="61"/>
      <c r="P7" s="61"/>
      <c r="Q7" s="61"/>
      <c r="R7" s="61"/>
      <c r="S7" s="61"/>
      <c r="T7" s="403"/>
      <c r="U7" s="236"/>
      <c r="AA7" s="121" t="s">
        <v>21</v>
      </c>
      <c r="AB7" s="121">
        <f>AB5+AB6</f>
        <v>0</v>
      </c>
      <c r="AC7" s="121">
        <f>AC5+AC6</f>
        <v>0</v>
      </c>
      <c r="AD7" s="121">
        <f>AD5+AD6</f>
        <v>0</v>
      </c>
      <c r="AE7" s="121">
        <f>AE5+AE6</f>
        <v>0</v>
      </c>
    </row>
    <row r="8" spans="1:31" ht="34.5" customHeight="1">
      <c r="A8" s="157"/>
      <c r="B8" s="44"/>
      <c r="C8" s="349"/>
      <c r="D8" s="2"/>
      <c r="E8" s="409"/>
      <c r="F8" s="2"/>
      <c r="G8" s="2"/>
      <c r="H8" s="2"/>
      <c r="I8" s="152"/>
      <c r="J8" s="152"/>
      <c r="K8" s="2"/>
      <c r="L8" s="2"/>
      <c r="M8" s="160"/>
      <c r="N8" s="32"/>
      <c r="O8" s="32"/>
      <c r="P8" s="32"/>
      <c r="Q8" s="32"/>
      <c r="R8" s="32"/>
      <c r="S8" s="32"/>
      <c r="T8" s="101"/>
      <c r="U8" s="235"/>
      <c r="AB8" s="138" t="e">
        <f>+AB7/$AE$7</f>
        <v>#DIV/0!</v>
      </c>
      <c r="AC8" s="138" t="e">
        <f t="shared" ref="AC8:AD8" si="0">+AC7/$AE$7</f>
        <v>#DIV/0!</v>
      </c>
      <c r="AD8" s="138" t="e">
        <f t="shared" si="0"/>
        <v>#DIV/0!</v>
      </c>
    </row>
    <row r="9" spans="1:31" ht="34.5" customHeight="1">
      <c r="A9" s="157"/>
      <c r="B9" s="44"/>
      <c r="C9" s="349"/>
      <c r="D9" s="2"/>
      <c r="E9" s="409"/>
      <c r="F9" s="2"/>
      <c r="G9" s="2"/>
      <c r="H9" s="2"/>
      <c r="I9" s="152"/>
      <c r="J9" s="152"/>
      <c r="K9" s="2"/>
      <c r="L9" s="2"/>
      <c r="M9" s="160"/>
      <c r="N9" s="409"/>
      <c r="O9" s="409"/>
      <c r="P9" s="8"/>
      <c r="Q9" s="2"/>
      <c r="R9" s="409"/>
      <c r="S9" s="409"/>
      <c r="T9" s="2"/>
      <c r="U9" s="233"/>
    </row>
    <row r="10" spans="1:31" ht="26.25" customHeight="1">
      <c r="T10" s="404" t="s">
        <v>198</v>
      </c>
      <c r="U10" s="237">
        <v>23370</v>
      </c>
    </row>
    <row r="11" spans="1:31" ht="30.75" customHeight="1">
      <c r="A11" s="1011" t="s">
        <v>0</v>
      </c>
      <c r="B11" s="1013" t="s">
        <v>1</v>
      </c>
      <c r="C11" s="1015" t="s">
        <v>13</v>
      </c>
      <c r="D11" s="1013" t="s">
        <v>14</v>
      </c>
      <c r="E11" s="1013" t="s">
        <v>37</v>
      </c>
      <c r="F11" s="365" t="s">
        <v>9</v>
      </c>
      <c r="G11" s="366"/>
      <c r="H11" s="366"/>
      <c r="I11" s="366"/>
      <c r="J11" s="366"/>
      <c r="K11" s="366"/>
      <c r="L11" s="366"/>
      <c r="M11" s="367"/>
      <c r="N11" s="1017" t="s">
        <v>5</v>
      </c>
      <c r="O11" s="155" t="s">
        <v>205</v>
      </c>
      <c r="P11" s="1032" t="s">
        <v>10</v>
      </c>
      <c r="Q11" s="1033"/>
      <c r="R11" s="1034" t="s">
        <v>203</v>
      </c>
      <c r="S11" s="1013" t="s">
        <v>2</v>
      </c>
      <c r="T11" s="1019" t="s">
        <v>35</v>
      </c>
      <c r="U11" s="1078" t="s">
        <v>190</v>
      </c>
      <c r="V11" s="1071" t="s">
        <v>184</v>
      </c>
      <c r="X11" s="1021" t="s">
        <v>206</v>
      </c>
    </row>
    <row r="12" spans="1:31" ht="23.25" customHeight="1">
      <c r="A12" s="1012"/>
      <c r="B12" s="1014"/>
      <c r="C12" s="1016"/>
      <c r="D12" s="1014"/>
      <c r="E12" s="1014"/>
      <c r="F12" s="151" t="s">
        <v>15</v>
      </c>
      <c r="G12" s="151" t="s">
        <v>16</v>
      </c>
      <c r="H12" s="151" t="s">
        <v>193</v>
      </c>
      <c r="I12" s="154" t="s">
        <v>195</v>
      </c>
      <c r="J12" s="268" t="s">
        <v>194</v>
      </c>
      <c r="K12" s="151" t="s">
        <v>195</v>
      </c>
      <c r="L12" s="151" t="s">
        <v>21</v>
      </c>
      <c r="M12" s="161" t="s">
        <v>34</v>
      </c>
      <c r="N12" s="1018"/>
      <c r="O12" s="158"/>
      <c r="P12" s="410" t="s">
        <v>17</v>
      </c>
      <c r="Q12" s="411" t="s">
        <v>3</v>
      </c>
      <c r="R12" s="1013"/>
      <c r="S12" s="1014"/>
      <c r="T12" s="1020"/>
      <c r="U12" s="1079"/>
      <c r="V12" s="1013"/>
      <c r="X12" s="1022"/>
    </row>
    <row r="13" spans="1:31" s="9" customFormat="1" ht="15.75">
      <c r="A13" s="250">
        <v>15</v>
      </c>
      <c r="B13" s="20" t="s">
        <v>322</v>
      </c>
      <c r="C13" s="357">
        <v>43963</v>
      </c>
      <c r="D13" s="20" t="s">
        <v>18</v>
      </c>
      <c r="E13" s="183" t="s">
        <v>323</v>
      </c>
      <c r="F13" s="248" t="s">
        <v>315</v>
      </c>
      <c r="G13" s="172" t="s">
        <v>316</v>
      </c>
      <c r="H13" s="164">
        <v>12</v>
      </c>
      <c r="I13" s="382" t="s">
        <v>6</v>
      </c>
      <c r="J13" s="383">
        <v>5</v>
      </c>
      <c r="K13" s="185" t="s">
        <v>197</v>
      </c>
      <c r="L13" s="165">
        <f>J13*H13</f>
        <v>60</v>
      </c>
      <c r="M13" s="1072">
        <v>28.2</v>
      </c>
      <c r="N13" s="244">
        <v>43963</v>
      </c>
      <c r="O13" s="197" t="s">
        <v>324</v>
      </c>
      <c r="P13" s="263"/>
      <c r="Q13" s="197"/>
      <c r="R13" s="197" t="s">
        <v>4</v>
      </c>
      <c r="S13" s="197"/>
      <c r="T13" s="197" t="s">
        <v>178</v>
      </c>
      <c r="U13" s="1086">
        <f>280.75*$U$10</f>
        <v>6561127.5</v>
      </c>
      <c r="V13" s="197"/>
      <c r="W13"/>
      <c r="X13" s="239">
        <f>L13/1000</f>
        <v>0.06</v>
      </c>
      <c r="Y13"/>
      <c r="Z13"/>
      <c r="AA13"/>
      <c r="AB13"/>
      <c r="AC13"/>
      <c r="AD13"/>
      <c r="AE13"/>
    </row>
    <row r="14" spans="1:31" s="9" customFormat="1" ht="15.75">
      <c r="A14" s="251">
        <v>15</v>
      </c>
      <c r="B14" s="17" t="s">
        <v>322</v>
      </c>
      <c r="C14" s="358">
        <v>43963</v>
      </c>
      <c r="D14" s="17" t="s">
        <v>18</v>
      </c>
      <c r="E14" s="187" t="s">
        <v>323</v>
      </c>
      <c r="F14" s="246" t="s">
        <v>317</v>
      </c>
      <c r="G14" s="89" t="s">
        <v>156</v>
      </c>
      <c r="H14" s="166">
        <v>11</v>
      </c>
      <c r="I14" s="384" t="s">
        <v>6</v>
      </c>
      <c r="J14" s="385">
        <v>3</v>
      </c>
      <c r="K14" s="189" t="s">
        <v>197</v>
      </c>
      <c r="L14" s="167">
        <f t="shared" ref="L14:L39" si="1">J14*H14</f>
        <v>33</v>
      </c>
      <c r="M14" s="1073"/>
      <c r="N14" s="245">
        <v>43963</v>
      </c>
      <c r="O14" s="198" t="s">
        <v>324</v>
      </c>
      <c r="P14" s="264"/>
      <c r="Q14" s="198"/>
      <c r="R14" s="198" t="s">
        <v>4</v>
      </c>
      <c r="S14" s="198"/>
      <c r="T14" s="198" t="s">
        <v>178</v>
      </c>
      <c r="U14" s="1087"/>
      <c r="V14" s="198"/>
      <c r="W14"/>
      <c r="X14" s="239">
        <f t="shared" ref="X14:X77" si="2">L14/1000</f>
        <v>3.3000000000000002E-2</v>
      </c>
      <c r="Y14"/>
      <c r="Z14"/>
      <c r="AA14"/>
      <c r="AB14"/>
      <c r="AC14"/>
      <c r="AD14"/>
      <c r="AE14"/>
    </row>
    <row r="15" spans="1:31" s="9" customFormat="1" ht="15.75">
      <c r="A15" s="251">
        <v>15</v>
      </c>
      <c r="B15" s="17" t="s">
        <v>322</v>
      </c>
      <c r="C15" s="358">
        <v>43963</v>
      </c>
      <c r="D15" s="17" t="s">
        <v>18</v>
      </c>
      <c r="E15" s="187" t="s">
        <v>323</v>
      </c>
      <c r="F15" s="246" t="s">
        <v>318</v>
      </c>
      <c r="G15" s="89" t="s">
        <v>246</v>
      </c>
      <c r="H15" s="166">
        <v>10</v>
      </c>
      <c r="I15" s="384" t="s">
        <v>6</v>
      </c>
      <c r="J15" s="385">
        <v>3</v>
      </c>
      <c r="K15" s="189" t="s">
        <v>197</v>
      </c>
      <c r="L15" s="167">
        <f t="shared" si="1"/>
        <v>30</v>
      </c>
      <c r="M15" s="1073"/>
      <c r="N15" s="245">
        <v>43963</v>
      </c>
      <c r="O15" s="198" t="s">
        <v>324</v>
      </c>
      <c r="P15" s="264"/>
      <c r="Q15" s="198"/>
      <c r="R15" s="198" t="s">
        <v>4</v>
      </c>
      <c r="S15" s="198"/>
      <c r="T15" s="198" t="s">
        <v>178</v>
      </c>
      <c r="U15" s="1087"/>
      <c r="V15" s="198"/>
      <c r="W15"/>
      <c r="X15" s="239">
        <f t="shared" si="2"/>
        <v>0.03</v>
      </c>
      <c r="Y15"/>
      <c r="Z15"/>
      <c r="AA15"/>
      <c r="AB15"/>
      <c r="AC15"/>
      <c r="AD15"/>
      <c r="AE15"/>
    </row>
    <row r="16" spans="1:31" s="9" customFormat="1" ht="15.75">
      <c r="A16" s="251">
        <v>15</v>
      </c>
      <c r="B16" s="17" t="s">
        <v>322</v>
      </c>
      <c r="C16" s="358">
        <v>43963</v>
      </c>
      <c r="D16" s="17" t="s">
        <v>18</v>
      </c>
      <c r="E16" s="187" t="s">
        <v>323</v>
      </c>
      <c r="F16" s="246" t="s">
        <v>319</v>
      </c>
      <c r="G16" s="89" t="s">
        <v>316</v>
      </c>
      <c r="H16" s="166">
        <v>12</v>
      </c>
      <c r="I16" s="384" t="s">
        <v>6</v>
      </c>
      <c r="J16" s="385">
        <v>5</v>
      </c>
      <c r="K16" s="189" t="s">
        <v>197</v>
      </c>
      <c r="L16" s="167">
        <f t="shared" si="1"/>
        <v>60</v>
      </c>
      <c r="M16" s="1073"/>
      <c r="N16" s="245">
        <v>43963</v>
      </c>
      <c r="O16" s="198" t="s">
        <v>324</v>
      </c>
      <c r="P16" s="264"/>
      <c r="Q16" s="198"/>
      <c r="R16" s="198" t="s">
        <v>4</v>
      </c>
      <c r="S16" s="198"/>
      <c r="T16" s="198" t="s">
        <v>178</v>
      </c>
      <c r="U16" s="1087"/>
      <c r="V16" s="198"/>
      <c r="W16"/>
      <c r="X16" s="239">
        <f t="shared" si="2"/>
        <v>0.06</v>
      </c>
      <c r="Y16"/>
      <c r="Z16"/>
      <c r="AA16"/>
      <c r="AB16"/>
      <c r="AC16"/>
      <c r="AD16"/>
      <c r="AE16"/>
    </row>
    <row r="17" spans="1:31" s="9" customFormat="1" ht="15.75">
      <c r="A17" s="252">
        <v>15</v>
      </c>
      <c r="B17" s="3" t="s">
        <v>322</v>
      </c>
      <c r="C17" s="359">
        <v>43963</v>
      </c>
      <c r="D17" s="3" t="s">
        <v>18</v>
      </c>
      <c r="E17" s="192" t="s">
        <v>323</v>
      </c>
      <c r="F17" s="249" t="s">
        <v>320</v>
      </c>
      <c r="G17" s="168" t="s">
        <v>321</v>
      </c>
      <c r="H17" s="169">
        <v>2</v>
      </c>
      <c r="I17" s="386" t="s">
        <v>6</v>
      </c>
      <c r="J17" s="387">
        <v>3</v>
      </c>
      <c r="K17" s="195" t="s">
        <v>197</v>
      </c>
      <c r="L17" s="170">
        <f t="shared" si="1"/>
        <v>6</v>
      </c>
      <c r="M17" s="1074"/>
      <c r="N17" s="247">
        <v>43963</v>
      </c>
      <c r="O17" s="201" t="s">
        <v>324</v>
      </c>
      <c r="P17" s="343"/>
      <c r="Q17" s="201"/>
      <c r="R17" s="201" t="s">
        <v>4</v>
      </c>
      <c r="S17" s="201"/>
      <c r="T17" s="201" t="s">
        <v>178</v>
      </c>
      <c r="U17" s="1088"/>
      <c r="V17" s="201"/>
      <c r="W17"/>
      <c r="X17" s="239">
        <f t="shared" si="2"/>
        <v>6.0000000000000001E-3</v>
      </c>
      <c r="Y17"/>
      <c r="Z17"/>
      <c r="AA17"/>
      <c r="AB17"/>
      <c r="AC17"/>
      <c r="AD17"/>
      <c r="AE17"/>
    </row>
    <row r="18" spans="1:31" s="9" customFormat="1" ht="15.75" hidden="1">
      <c r="A18" s="206">
        <v>16</v>
      </c>
      <c r="B18" s="5" t="s">
        <v>325</v>
      </c>
      <c r="C18" s="361">
        <v>43965</v>
      </c>
      <c r="D18" s="5" t="s">
        <v>18</v>
      </c>
      <c r="E18" s="402" t="s">
        <v>326</v>
      </c>
      <c r="F18" s="425" t="s">
        <v>282</v>
      </c>
      <c r="G18" s="426" t="s">
        <v>180</v>
      </c>
      <c r="H18" s="427">
        <v>8</v>
      </c>
      <c r="I18" s="428" t="s">
        <v>207</v>
      </c>
      <c r="J18" s="429">
        <v>1.5</v>
      </c>
      <c r="K18" s="203" t="s">
        <v>197</v>
      </c>
      <c r="L18" s="159">
        <f t="shared" si="1"/>
        <v>12</v>
      </c>
      <c r="M18" s="418">
        <v>1.6</v>
      </c>
      <c r="N18" s="391">
        <v>43965</v>
      </c>
      <c r="O18" s="204" t="s">
        <v>324</v>
      </c>
      <c r="P18" s="430"/>
      <c r="Q18" s="204"/>
      <c r="R18" s="204" t="s">
        <v>7</v>
      </c>
      <c r="S18" s="204"/>
      <c r="T18" s="204" t="s">
        <v>178</v>
      </c>
      <c r="U18" s="204">
        <v>878945.7</v>
      </c>
      <c r="V18" s="204"/>
      <c r="W18"/>
      <c r="X18" s="239">
        <f t="shared" si="2"/>
        <v>1.2E-2</v>
      </c>
      <c r="Y18"/>
      <c r="Z18"/>
      <c r="AA18"/>
      <c r="AB18"/>
      <c r="AC18"/>
      <c r="AD18"/>
      <c r="AE18"/>
    </row>
    <row r="19" spans="1:31" s="9" customFormat="1" ht="15.75">
      <c r="A19" s="250">
        <v>17</v>
      </c>
      <c r="B19" s="20" t="s">
        <v>330</v>
      </c>
      <c r="C19" s="357">
        <v>43966</v>
      </c>
      <c r="D19" s="20" t="s">
        <v>18</v>
      </c>
      <c r="E19" s="183" t="s">
        <v>331</v>
      </c>
      <c r="F19" s="248" t="s">
        <v>327</v>
      </c>
      <c r="G19" s="248" t="s">
        <v>179</v>
      </c>
      <c r="H19" s="164">
        <v>2</v>
      </c>
      <c r="I19" s="382" t="s">
        <v>6</v>
      </c>
      <c r="J19" s="383">
        <v>6</v>
      </c>
      <c r="K19" s="185" t="s">
        <v>197</v>
      </c>
      <c r="L19" s="165">
        <f t="shared" si="1"/>
        <v>12</v>
      </c>
      <c r="M19" s="1072">
        <v>22.6</v>
      </c>
      <c r="N19" s="244">
        <v>43966</v>
      </c>
      <c r="O19" s="197" t="s">
        <v>324</v>
      </c>
      <c r="P19" s="263"/>
      <c r="Q19" s="197"/>
      <c r="R19" s="197" t="s">
        <v>4</v>
      </c>
      <c r="S19" s="197"/>
      <c r="T19" s="197" t="s">
        <v>178</v>
      </c>
      <c r="U19" s="197">
        <v>5132052</v>
      </c>
      <c r="V19" s="197"/>
      <c r="W19"/>
      <c r="X19" s="239">
        <f t="shared" si="2"/>
        <v>1.2E-2</v>
      </c>
      <c r="Y19"/>
      <c r="Z19"/>
      <c r="AA19"/>
      <c r="AB19"/>
      <c r="AC19"/>
      <c r="AD19"/>
      <c r="AE19"/>
    </row>
    <row r="20" spans="1:31" s="9" customFormat="1" ht="15.75">
      <c r="A20" s="251">
        <v>17</v>
      </c>
      <c r="B20" s="17" t="s">
        <v>330</v>
      </c>
      <c r="C20" s="358">
        <v>43966</v>
      </c>
      <c r="D20" s="17" t="s">
        <v>18</v>
      </c>
      <c r="E20" s="187" t="s">
        <v>331</v>
      </c>
      <c r="F20" s="246" t="s">
        <v>328</v>
      </c>
      <c r="G20" s="246" t="s">
        <v>179</v>
      </c>
      <c r="H20" s="166">
        <v>9</v>
      </c>
      <c r="I20" s="384" t="s">
        <v>6</v>
      </c>
      <c r="J20" s="385">
        <v>2</v>
      </c>
      <c r="K20" s="189" t="s">
        <v>197</v>
      </c>
      <c r="L20" s="167">
        <f t="shared" si="1"/>
        <v>18</v>
      </c>
      <c r="M20" s="1073"/>
      <c r="N20" s="245">
        <v>43966</v>
      </c>
      <c r="O20" s="198" t="s">
        <v>324</v>
      </c>
      <c r="P20" s="264"/>
      <c r="Q20" s="198"/>
      <c r="R20" s="198" t="s">
        <v>4</v>
      </c>
      <c r="S20" s="198"/>
      <c r="T20" s="198" t="s">
        <v>178</v>
      </c>
      <c r="U20" s="198"/>
      <c r="V20" s="198"/>
      <c r="W20"/>
      <c r="X20" s="239">
        <f t="shared" si="2"/>
        <v>1.7999999999999999E-2</v>
      </c>
      <c r="Y20"/>
      <c r="Z20"/>
      <c r="AA20"/>
      <c r="AB20"/>
      <c r="AC20"/>
      <c r="AD20"/>
      <c r="AE20"/>
    </row>
    <row r="21" spans="1:31" s="9" customFormat="1" ht="15.75">
      <c r="A21" s="252">
        <v>17</v>
      </c>
      <c r="B21" s="3" t="s">
        <v>330</v>
      </c>
      <c r="C21" s="359">
        <v>43966</v>
      </c>
      <c r="D21" s="3" t="s">
        <v>18</v>
      </c>
      <c r="E21" s="192" t="s">
        <v>331</v>
      </c>
      <c r="F21" s="249" t="s">
        <v>329</v>
      </c>
      <c r="G21" s="249" t="s">
        <v>179</v>
      </c>
      <c r="H21" s="169">
        <v>60</v>
      </c>
      <c r="I21" s="386" t="s">
        <v>6</v>
      </c>
      <c r="J21" s="387">
        <v>2</v>
      </c>
      <c r="K21" s="195" t="s">
        <v>197</v>
      </c>
      <c r="L21" s="170">
        <f t="shared" si="1"/>
        <v>120</v>
      </c>
      <c r="M21" s="1074"/>
      <c r="N21" s="247">
        <v>43966</v>
      </c>
      <c r="O21" s="201" t="s">
        <v>324</v>
      </c>
      <c r="P21" s="343"/>
      <c r="Q21" s="201"/>
      <c r="R21" s="201" t="s">
        <v>4</v>
      </c>
      <c r="S21" s="201"/>
      <c r="T21" s="201" t="s">
        <v>178</v>
      </c>
      <c r="U21" s="453"/>
      <c r="V21" s="414"/>
      <c r="W21"/>
      <c r="X21" s="239">
        <f t="shared" si="2"/>
        <v>0.12</v>
      </c>
      <c r="Y21"/>
      <c r="Z21"/>
      <c r="AA21"/>
      <c r="AB21"/>
      <c r="AC21"/>
      <c r="AD21"/>
      <c r="AE21"/>
    </row>
    <row r="22" spans="1:31" s="9" customFormat="1" ht="15.75" hidden="1">
      <c r="A22" s="206">
        <v>18</v>
      </c>
      <c r="B22" s="5" t="s">
        <v>332</v>
      </c>
      <c r="C22" s="361">
        <v>43970</v>
      </c>
      <c r="D22" s="5" t="s">
        <v>18</v>
      </c>
      <c r="E22" s="402" t="s">
        <v>333</v>
      </c>
      <c r="F22" s="431" t="s">
        <v>334</v>
      </c>
      <c r="G22" s="432" t="s">
        <v>335</v>
      </c>
      <c r="H22" s="427">
        <v>1</v>
      </c>
      <c r="I22" s="433" t="s">
        <v>336</v>
      </c>
      <c r="J22" s="434">
        <v>10</v>
      </c>
      <c r="K22" s="435" t="s">
        <v>197</v>
      </c>
      <c r="L22" s="170">
        <f>J22*H22</f>
        <v>10</v>
      </c>
      <c r="M22" s="418">
        <v>3.1</v>
      </c>
      <c r="N22" s="391">
        <v>43970</v>
      </c>
      <c r="O22" s="204" t="s">
        <v>324</v>
      </c>
      <c r="P22" s="204"/>
      <c r="Q22" s="204"/>
      <c r="R22" s="204" t="s">
        <v>7</v>
      </c>
      <c r="S22" s="204"/>
      <c r="T22" s="204" t="s">
        <v>178</v>
      </c>
      <c r="U22" s="436">
        <v>1179250.2</v>
      </c>
      <c r="V22" s="436"/>
      <c r="W22"/>
      <c r="X22" s="239"/>
      <c r="Y22"/>
      <c r="Z22"/>
      <c r="AA22"/>
      <c r="AB22"/>
      <c r="AC22"/>
      <c r="AD22"/>
      <c r="AE22"/>
    </row>
    <row r="23" spans="1:31" s="9" customFormat="1" ht="15.75" hidden="1">
      <c r="A23" s="250">
        <v>19</v>
      </c>
      <c r="B23" s="20" t="s">
        <v>337</v>
      </c>
      <c r="C23" s="357">
        <v>43973</v>
      </c>
      <c r="D23" s="20" t="s">
        <v>18</v>
      </c>
      <c r="E23" s="183" t="s">
        <v>338</v>
      </c>
      <c r="F23" s="437" t="s">
        <v>339</v>
      </c>
      <c r="G23" s="438" t="s">
        <v>180</v>
      </c>
      <c r="H23" s="439">
        <v>5</v>
      </c>
      <c r="I23" s="440" t="s">
        <v>207</v>
      </c>
      <c r="J23" s="441">
        <v>3</v>
      </c>
      <c r="K23" s="441" t="s">
        <v>197</v>
      </c>
      <c r="L23" s="167">
        <f t="shared" si="1"/>
        <v>15</v>
      </c>
      <c r="M23" s="417">
        <v>1.7</v>
      </c>
      <c r="N23" s="245">
        <v>43973</v>
      </c>
      <c r="O23" s="198" t="s">
        <v>324</v>
      </c>
      <c r="P23" s="264"/>
      <c r="Q23" s="198"/>
      <c r="R23" s="198" t="s">
        <v>7</v>
      </c>
      <c r="S23" s="198"/>
      <c r="T23" s="198" t="s">
        <v>178</v>
      </c>
      <c r="U23" s="446">
        <f>37.61*U10</f>
        <v>878945.7</v>
      </c>
      <c r="V23" s="413"/>
      <c r="W23"/>
      <c r="X23" s="239">
        <f t="shared" si="2"/>
        <v>1.4999999999999999E-2</v>
      </c>
      <c r="Y23"/>
      <c r="Z23"/>
      <c r="AA23"/>
      <c r="AB23"/>
      <c r="AC23"/>
      <c r="AD23"/>
      <c r="AE23"/>
    </row>
    <row r="24" spans="1:31" s="9" customFormat="1" ht="15.75">
      <c r="A24" s="250">
        <v>20</v>
      </c>
      <c r="B24" s="442" t="s">
        <v>340</v>
      </c>
      <c r="C24" s="357">
        <v>43973</v>
      </c>
      <c r="D24" s="443" t="s">
        <v>18</v>
      </c>
      <c r="E24" s="183" t="s">
        <v>341</v>
      </c>
      <c r="F24" s="248" t="s">
        <v>342</v>
      </c>
      <c r="G24" s="172" t="s">
        <v>179</v>
      </c>
      <c r="H24" s="164">
        <v>7</v>
      </c>
      <c r="I24" s="382" t="s">
        <v>207</v>
      </c>
      <c r="J24" s="383">
        <v>6</v>
      </c>
      <c r="K24" s="185" t="s">
        <v>197</v>
      </c>
      <c r="L24" s="165">
        <f t="shared" si="1"/>
        <v>42</v>
      </c>
      <c r="M24" s="1072">
        <v>29.2</v>
      </c>
      <c r="N24" s="244">
        <v>43973</v>
      </c>
      <c r="O24" s="197" t="s">
        <v>324</v>
      </c>
      <c r="P24" s="263"/>
      <c r="Q24" s="197"/>
      <c r="R24" s="197" t="s">
        <v>4</v>
      </c>
      <c r="S24" s="197"/>
      <c r="T24" s="197" t="s">
        <v>178</v>
      </c>
      <c r="U24" s="1086">
        <f>282.48*U10</f>
        <v>6601557.6000000006</v>
      </c>
      <c r="V24" s="415"/>
      <c r="W24"/>
      <c r="X24" s="239">
        <f t="shared" si="2"/>
        <v>4.2000000000000003E-2</v>
      </c>
      <c r="Y24"/>
      <c r="Z24"/>
      <c r="AA24"/>
      <c r="AB24"/>
      <c r="AC24"/>
      <c r="AD24"/>
      <c r="AE24"/>
    </row>
    <row r="25" spans="1:31" s="9" customFormat="1" ht="15.75">
      <c r="A25" s="251">
        <v>20</v>
      </c>
      <c r="B25" s="395" t="s">
        <v>340</v>
      </c>
      <c r="C25" s="358">
        <v>43973</v>
      </c>
      <c r="D25" s="396" t="s">
        <v>18</v>
      </c>
      <c r="E25" s="187" t="s">
        <v>341</v>
      </c>
      <c r="F25" s="246" t="s">
        <v>343</v>
      </c>
      <c r="G25" s="89" t="s">
        <v>179</v>
      </c>
      <c r="H25" s="166">
        <v>8</v>
      </c>
      <c r="I25" s="384" t="s">
        <v>207</v>
      </c>
      <c r="J25" s="385">
        <v>3</v>
      </c>
      <c r="K25" s="189" t="s">
        <v>197</v>
      </c>
      <c r="L25" s="167">
        <f t="shared" si="1"/>
        <v>24</v>
      </c>
      <c r="M25" s="1073"/>
      <c r="N25" s="245">
        <v>43973</v>
      </c>
      <c r="O25" s="198" t="s">
        <v>324</v>
      </c>
      <c r="P25" s="264"/>
      <c r="Q25" s="198"/>
      <c r="R25" s="198" t="s">
        <v>4</v>
      </c>
      <c r="S25" s="198"/>
      <c r="T25" s="198" t="s">
        <v>178</v>
      </c>
      <c r="U25" s="1087"/>
      <c r="V25" s="416"/>
      <c r="W25"/>
      <c r="X25" s="239">
        <f t="shared" si="2"/>
        <v>2.4E-2</v>
      </c>
      <c r="Y25"/>
      <c r="Z25"/>
      <c r="AA25"/>
      <c r="AB25"/>
      <c r="AC25"/>
      <c r="AD25"/>
      <c r="AE25"/>
    </row>
    <row r="26" spans="1:31" s="9" customFormat="1" ht="15.75">
      <c r="A26" s="251">
        <v>20</v>
      </c>
      <c r="B26" s="395" t="s">
        <v>340</v>
      </c>
      <c r="C26" s="358">
        <v>43973</v>
      </c>
      <c r="D26" s="396" t="s">
        <v>18</v>
      </c>
      <c r="E26" s="187" t="s">
        <v>341</v>
      </c>
      <c r="F26" s="246" t="s">
        <v>344</v>
      </c>
      <c r="G26" s="89" t="s">
        <v>179</v>
      </c>
      <c r="H26" s="166">
        <v>5</v>
      </c>
      <c r="I26" s="384" t="s">
        <v>207</v>
      </c>
      <c r="J26" s="385">
        <v>6</v>
      </c>
      <c r="K26" s="189" t="s">
        <v>197</v>
      </c>
      <c r="L26" s="167">
        <f t="shared" si="1"/>
        <v>30</v>
      </c>
      <c r="M26" s="1073"/>
      <c r="N26" s="245">
        <v>43973</v>
      </c>
      <c r="O26" s="198" t="s">
        <v>324</v>
      </c>
      <c r="P26" s="264"/>
      <c r="Q26" s="198"/>
      <c r="R26" s="198" t="s">
        <v>4</v>
      </c>
      <c r="S26" s="198"/>
      <c r="T26" s="198" t="s">
        <v>178</v>
      </c>
      <c r="U26" s="1087"/>
      <c r="V26" s="416"/>
      <c r="W26"/>
      <c r="X26" s="239">
        <f t="shared" si="2"/>
        <v>0.03</v>
      </c>
      <c r="Y26"/>
      <c r="Z26"/>
      <c r="AA26"/>
      <c r="AB26"/>
      <c r="AC26"/>
      <c r="AD26"/>
      <c r="AE26"/>
    </row>
    <row r="27" spans="1:31" s="9" customFormat="1" ht="15.75">
      <c r="A27" s="251">
        <v>20</v>
      </c>
      <c r="B27" s="395" t="s">
        <v>340</v>
      </c>
      <c r="C27" s="358">
        <v>43973</v>
      </c>
      <c r="D27" s="396" t="s">
        <v>18</v>
      </c>
      <c r="E27" s="187" t="s">
        <v>341</v>
      </c>
      <c r="F27" s="246" t="s">
        <v>345</v>
      </c>
      <c r="G27" s="89" t="s">
        <v>210</v>
      </c>
      <c r="H27" s="166">
        <v>1</v>
      </c>
      <c r="I27" s="384" t="s">
        <v>207</v>
      </c>
      <c r="J27" s="385">
        <v>10</v>
      </c>
      <c r="K27" s="189" t="s">
        <v>197</v>
      </c>
      <c r="L27" s="167">
        <f t="shared" si="1"/>
        <v>10</v>
      </c>
      <c r="M27" s="1073"/>
      <c r="N27" s="245">
        <v>43973</v>
      </c>
      <c r="O27" s="198" t="s">
        <v>324</v>
      </c>
      <c r="P27" s="264"/>
      <c r="Q27" s="198"/>
      <c r="R27" s="198" t="s">
        <v>4</v>
      </c>
      <c r="S27" s="198"/>
      <c r="T27" s="198" t="s">
        <v>178</v>
      </c>
      <c r="U27" s="1087"/>
      <c r="V27" s="416"/>
      <c r="W27"/>
      <c r="X27" s="239">
        <f t="shared" si="2"/>
        <v>0.01</v>
      </c>
      <c r="Y27"/>
      <c r="Z27"/>
      <c r="AA27"/>
      <c r="AB27"/>
      <c r="AC27"/>
      <c r="AD27"/>
      <c r="AE27"/>
    </row>
    <row r="28" spans="1:31" s="9" customFormat="1" ht="15.75">
      <c r="A28" s="251">
        <v>20</v>
      </c>
      <c r="B28" s="395" t="s">
        <v>340</v>
      </c>
      <c r="C28" s="358">
        <v>43973</v>
      </c>
      <c r="D28" s="396" t="s">
        <v>18</v>
      </c>
      <c r="E28" s="187" t="s">
        <v>341</v>
      </c>
      <c r="F28" s="246" t="s">
        <v>346</v>
      </c>
      <c r="G28" s="89" t="s">
        <v>210</v>
      </c>
      <c r="H28" s="166">
        <v>1</v>
      </c>
      <c r="I28" s="384" t="s">
        <v>207</v>
      </c>
      <c r="J28" s="385">
        <v>10</v>
      </c>
      <c r="K28" s="189" t="s">
        <v>197</v>
      </c>
      <c r="L28" s="167">
        <f t="shared" si="1"/>
        <v>10</v>
      </c>
      <c r="M28" s="1073"/>
      <c r="N28" s="245">
        <v>43973</v>
      </c>
      <c r="O28" s="198" t="s">
        <v>324</v>
      </c>
      <c r="P28" s="264"/>
      <c r="Q28" s="198"/>
      <c r="R28" s="198" t="s">
        <v>4</v>
      </c>
      <c r="S28" s="198"/>
      <c r="T28" s="198" t="s">
        <v>178</v>
      </c>
      <c r="U28" s="1087"/>
      <c r="V28" s="416"/>
      <c r="W28"/>
      <c r="X28" s="239">
        <f t="shared" si="2"/>
        <v>0.01</v>
      </c>
      <c r="Y28"/>
      <c r="Z28"/>
      <c r="AA28"/>
      <c r="AB28"/>
      <c r="AC28"/>
      <c r="AD28"/>
      <c r="AE28"/>
    </row>
    <row r="29" spans="1:31" s="9" customFormat="1" ht="15.75">
      <c r="A29" s="251">
        <v>20</v>
      </c>
      <c r="B29" s="395" t="s">
        <v>340</v>
      </c>
      <c r="C29" s="358">
        <v>43973</v>
      </c>
      <c r="D29" s="396" t="s">
        <v>18</v>
      </c>
      <c r="E29" s="187" t="s">
        <v>341</v>
      </c>
      <c r="F29" s="246" t="s">
        <v>221</v>
      </c>
      <c r="G29" s="89" t="s">
        <v>213</v>
      </c>
      <c r="H29" s="166">
        <v>1</v>
      </c>
      <c r="I29" s="384" t="s">
        <v>207</v>
      </c>
      <c r="J29" s="385">
        <v>11</v>
      </c>
      <c r="K29" s="189" t="s">
        <v>197</v>
      </c>
      <c r="L29" s="167">
        <f t="shared" si="1"/>
        <v>11</v>
      </c>
      <c r="M29" s="1073"/>
      <c r="N29" s="245">
        <v>43973</v>
      </c>
      <c r="O29" s="198" t="s">
        <v>324</v>
      </c>
      <c r="P29" s="264"/>
      <c r="Q29" s="198"/>
      <c r="R29" s="198" t="s">
        <v>4</v>
      </c>
      <c r="S29" s="198"/>
      <c r="T29" s="198" t="s">
        <v>178</v>
      </c>
      <c r="U29" s="1087"/>
      <c r="V29" s="416"/>
      <c r="W29"/>
      <c r="X29" s="239">
        <f t="shared" si="2"/>
        <v>1.0999999999999999E-2</v>
      </c>
      <c r="Y29"/>
      <c r="Z29"/>
      <c r="AA29"/>
      <c r="AB29"/>
      <c r="AC29"/>
      <c r="AD29"/>
      <c r="AE29"/>
    </row>
    <row r="30" spans="1:31" s="9" customFormat="1" ht="15.75">
      <c r="A30" s="251">
        <v>20</v>
      </c>
      <c r="B30" s="395" t="s">
        <v>340</v>
      </c>
      <c r="C30" s="358">
        <v>43973</v>
      </c>
      <c r="D30" s="396" t="s">
        <v>18</v>
      </c>
      <c r="E30" s="187" t="s">
        <v>341</v>
      </c>
      <c r="F30" s="246" t="s">
        <v>347</v>
      </c>
      <c r="G30" s="89" t="s">
        <v>213</v>
      </c>
      <c r="H30" s="166">
        <v>1</v>
      </c>
      <c r="I30" s="384" t="s">
        <v>207</v>
      </c>
      <c r="J30" s="385">
        <v>11</v>
      </c>
      <c r="K30" s="189" t="s">
        <v>197</v>
      </c>
      <c r="L30" s="167">
        <f t="shared" si="1"/>
        <v>11</v>
      </c>
      <c r="M30" s="1073"/>
      <c r="N30" s="245">
        <v>43973</v>
      </c>
      <c r="O30" s="198" t="s">
        <v>324</v>
      </c>
      <c r="P30" s="264"/>
      <c r="Q30" s="198"/>
      <c r="R30" s="198" t="s">
        <v>4</v>
      </c>
      <c r="S30" s="198"/>
      <c r="T30" s="198" t="s">
        <v>178</v>
      </c>
      <c r="U30" s="1087"/>
      <c r="V30" s="416"/>
      <c r="W30"/>
      <c r="X30" s="239">
        <f t="shared" si="2"/>
        <v>1.0999999999999999E-2</v>
      </c>
      <c r="Y30"/>
      <c r="Z30"/>
      <c r="AA30"/>
      <c r="AB30"/>
      <c r="AC30"/>
      <c r="AD30"/>
      <c r="AE30"/>
    </row>
    <row r="31" spans="1:31" s="9" customFormat="1" ht="15.75">
      <c r="A31" s="251">
        <v>20</v>
      </c>
      <c r="B31" s="395" t="s">
        <v>340</v>
      </c>
      <c r="C31" s="358">
        <v>43973</v>
      </c>
      <c r="D31" s="396" t="s">
        <v>18</v>
      </c>
      <c r="E31" s="187" t="s">
        <v>341</v>
      </c>
      <c r="F31" s="246" t="s">
        <v>216</v>
      </c>
      <c r="G31" s="89" t="s">
        <v>204</v>
      </c>
      <c r="H31" s="166">
        <v>2</v>
      </c>
      <c r="I31" s="384" t="s">
        <v>207</v>
      </c>
      <c r="J31" s="385">
        <v>10</v>
      </c>
      <c r="K31" s="189" t="s">
        <v>197</v>
      </c>
      <c r="L31" s="167">
        <f t="shared" si="1"/>
        <v>20</v>
      </c>
      <c r="M31" s="1073"/>
      <c r="N31" s="245">
        <v>43973</v>
      </c>
      <c r="O31" s="198" t="s">
        <v>324</v>
      </c>
      <c r="P31" s="264"/>
      <c r="Q31" s="198"/>
      <c r="R31" s="198" t="s">
        <v>4</v>
      </c>
      <c r="S31" s="198"/>
      <c r="T31" s="198" t="s">
        <v>178</v>
      </c>
      <c r="U31" s="1087"/>
      <c r="V31" s="416"/>
      <c r="W31"/>
      <c r="X31" s="239">
        <f t="shared" si="2"/>
        <v>0.02</v>
      </c>
      <c r="Y31"/>
      <c r="Z31"/>
      <c r="AA31"/>
      <c r="AB31"/>
      <c r="AC31"/>
      <c r="AD31"/>
      <c r="AE31"/>
    </row>
    <row r="32" spans="1:31" s="9" customFormat="1" ht="15.75">
      <c r="A32" s="251">
        <v>20</v>
      </c>
      <c r="B32" s="395" t="s">
        <v>340</v>
      </c>
      <c r="C32" s="358">
        <v>43973</v>
      </c>
      <c r="D32" s="396" t="s">
        <v>18</v>
      </c>
      <c r="E32" s="187" t="s">
        <v>341</v>
      </c>
      <c r="F32" s="246" t="s">
        <v>348</v>
      </c>
      <c r="G32" s="89" t="s">
        <v>213</v>
      </c>
      <c r="H32" s="166">
        <v>2</v>
      </c>
      <c r="I32" s="384" t="s">
        <v>207</v>
      </c>
      <c r="J32" s="385">
        <v>9</v>
      </c>
      <c r="K32" s="189" t="s">
        <v>197</v>
      </c>
      <c r="L32" s="167">
        <f t="shared" si="1"/>
        <v>18</v>
      </c>
      <c r="M32" s="1073"/>
      <c r="N32" s="245">
        <v>43973</v>
      </c>
      <c r="O32" s="198" t="s">
        <v>324</v>
      </c>
      <c r="P32" s="264"/>
      <c r="Q32" s="198"/>
      <c r="R32" s="198" t="s">
        <v>4</v>
      </c>
      <c r="S32" s="198"/>
      <c r="T32" s="198" t="s">
        <v>178</v>
      </c>
      <c r="U32" s="1087"/>
      <c r="V32" s="224"/>
      <c r="W32"/>
      <c r="X32" s="239">
        <f t="shared" si="2"/>
        <v>1.7999999999999999E-2</v>
      </c>
      <c r="Y32"/>
      <c r="Z32"/>
      <c r="AA32"/>
      <c r="AB32"/>
      <c r="AC32"/>
      <c r="AD32"/>
      <c r="AE32"/>
    </row>
    <row r="33" spans="1:31" s="9" customFormat="1" ht="15.75">
      <c r="A33" s="252">
        <v>20</v>
      </c>
      <c r="B33" s="444" t="s">
        <v>340</v>
      </c>
      <c r="C33" s="359">
        <v>43973</v>
      </c>
      <c r="D33" s="445" t="s">
        <v>18</v>
      </c>
      <c r="E33" s="192" t="s">
        <v>341</v>
      </c>
      <c r="F33" s="249" t="s">
        <v>258</v>
      </c>
      <c r="G33" s="168" t="s">
        <v>192</v>
      </c>
      <c r="H33" s="169">
        <v>1</v>
      </c>
      <c r="I33" s="386" t="s">
        <v>207</v>
      </c>
      <c r="J33" s="387">
        <v>10</v>
      </c>
      <c r="K33" s="195" t="s">
        <v>197</v>
      </c>
      <c r="L33" s="170">
        <f t="shared" si="1"/>
        <v>10</v>
      </c>
      <c r="M33" s="1074"/>
      <c r="N33" s="247">
        <v>43973</v>
      </c>
      <c r="O33" s="201" t="s">
        <v>324</v>
      </c>
      <c r="P33" s="343"/>
      <c r="Q33" s="201"/>
      <c r="R33" s="201" t="s">
        <v>4</v>
      </c>
      <c r="S33" s="201"/>
      <c r="T33" s="201" t="s">
        <v>178</v>
      </c>
      <c r="U33" s="1088"/>
      <c r="V33" s="225"/>
      <c r="W33"/>
      <c r="X33" s="239">
        <f t="shared" si="2"/>
        <v>0.01</v>
      </c>
      <c r="Y33"/>
      <c r="Z33"/>
      <c r="AA33"/>
      <c r="AB33"/>
      <c r="AC33"/>
      <c r="AD33"/>
      <c r="AE33"/>
    </row>
    <row r="34" spans="1:31" ht="15.75">
      <c r="A34" s="250">
        <v>21</v>
      </c>
      <c r="B34" s="20" t="s">
        <v>349</v>
      </c>
      <c r="C34" s="357">
        <v>43977</v>
      </c>
      <c r="D34" s="20" t="s">
        <v>18</v>
      </c>
      <c r="E34" s="244" t="s">
        <v>350</v>
      </c>
      <c r="F34" s="196" t="s">
        <v>221</v>
      </c>
      <c r="G34" s="205" t="s">
        <v>351</v>
      </c>
      <c r="H34" s="164">
        <v>2</v>
      </c>
      <c r="I34" s="369" t="s">
        <v>207</v>
      </c>
      <c r="J34" s="269">
        <v>11</v>
      </c>
      <c r="K34" s="185" t="s">
        <v>197</v>
      </c>
      <c r="L34" s="165">
        <f t="shared" si="1"/>
        <v>22</v>
      </c>
      <c r="M34" s="1083">
        <v>22.5</v>
      </c>
      <c r="N34" s="244">
        <v>43978</v>
      </c>
      <c r="O34" s="197" t="s">
        <v>324</v>
      </c>
      <c r="P34" s="197"/>
      <c r="Q34" s="197"/>
      <c r="R34" s="197" t="s">
        <v>4</v>
      </c>
      <c r="S34" s="197"/>
      <c r="T34" s="197" t="s">
        <v>178</v>
      </c>
      <c r="U34" s="1086">
        <f>220.25*U10</f>
        <v>5147242.5</v>
      </c>
      <c r="V34" s="243"/>
      <c r="X34" s="239">
        <f t="shared" si="2"/>
        <v>2.1999999999999999E-2</v>
      </c>
    </row>
    <row r="35" spans="1:31" ht="15.75">
      <c r="A35" s="251">
        <v>21</v>
      </c>
      <c r="B35" s="17" t="s">
        <v>349</v>
      </c>
      <c r="C35" s="358">
        <v>43977</v>
      </c>
      <c r="D35" s="17" t="s">
        <v>18</v>
      </c>
      <c r="E35" s="245" t="s">
        <v>350</v>
      </c>
      <c r="F35" s="246" t="s">
        <v>352</v>
      </c>
      <c r="G35" s="89" t="s">
        <v>213</v>
      </c>
      <c r="H35" s="166">
        <v>8</v>
      </c>
      <c r="I35" s="370" t="s">
        <v>207</v>
      </c>
      <c r="J35" s="270">
        <v>7</v>
      </c>
      <c r="K35" s="189" t="s">
        <v>197</v>
      </c>
      <c r="L35" s="167">
        <f t="shared" si="1"/>
        <v>56</v>
      </c>
      <c r="M35" s="1084"/>
      <c r="N35" s="245">
        <v>43978</v>
      </c>
      <c r="O35" s="198" t="s">
        <v>324</v>
      </c>
      <c r="P35" s="198"/>
      <c r="Q35" s="198"/>
      <c r="R35" s="198" t="s">
        <v>4</v>
      </c>
      <c r="S35" s="198"/>
      <c r="T35" s="198" t="s">
        <v>178</v>
      </c>
      <c r="U35" s="1087"/>
      <c r="V35" s="224"/>
      <c r="X35" s="239">
        <f t="shared" si="2"/>
        <v>5.6000000000000001E-2</v>
      </c>
    </row>
    <row r="36" spans="1:31" ht="15.75">
      <c r="A36" s="251">
        <v>21</v>
      </c>
      <c r="B36" s="17" t="s">
        <v>349</v>
      </c>
      <c r="C36" s="358">
        <v>43977</v>
      </c>
      <c r="D36" s="17" t="s">
        <v>18</v>
      </c>
      <c r="E36" s="245" t="s">
        <v>350</v>
      </c>
      <c r="F36" s="246" t="s">
        <v>273</v>
      </c>
      <c r="G36" s="89" t="s">
        <v>213</v>
      </c>
      <c r="H36" s="166">
        <v>4</v>
      </c>
      <c r="I36" s="370" t="s">
        <v>207</v>
      </c>
      <c r="J36" s="270">
        <v>11</v>
      </c>
      <c r="K36" s="189" t="s">
        <v>197</v>
      </c>
      <c r="L36" s="167">
        <f t="shared" si="1"/>
        <v>44</v>
      </c>
      <c r="M36" s="1084"/>
      <c r="N36" s="245">
        <v>43978</v>
      </c>
      <c r="O36" s="198" t="s">
        <v>324</v>
      </c>
      <c r="P36" s="198"/>
      <c r="Q36" s="198"/>
      <c r="R36" s="198" t="s">
        <v>4</v>
      </c>
      <c r="S36" s="198"/>
      <c r="T36" s="198" t="s">
        <v>178</v>
      </c>
      <c r="U36" s="1087"/>
      <c r="V36" s="224"/>
      <c r="X36" s="239">
        <f t="shared" si="2"/>
        <v>4.3999999999999997E-2</v>
      </c>
    </row>
    <row r="37" spans="1:31" ht="15.75">
      <c r="A37" s="251">
        <v>21</v>
      </c>
      <c r="B37" s="17" t="s">
        <v>349</v>
      </c>
      <c r="C37" s="358">
        <v>43977</v>
      </c>
      <c r="D37" s="17" t="s">
        <v>18</v>
      </c>
      <c r="E37" s="245" t="s">
        <v>350</v>
      </c>
      <c r="F37" s="246" t="s">
        <v>274</v>
      </c>
      <c r="G37" s="89" t="s">
        <v>213</v>
      </c>
      <c r="H37" s="166">
        <v>4</v>
      </c>
      <c r="I37" s="370" t="s">
        <v>207</v>
      </c>
      <c r="J37" s="270">
        <v>11</v>
      </c>
      <c r="K37" s="189" t="s">
        <v>197</v>
      </c>
      <c r="L37" s="167">
        <f t="shared" si="1"/>
        <v>44</v>
      </c>
      <c r="M37" s="1084"/>
      <c r="N37" s="245">
        <v>43978</v>
      </c>
      <c r="O37" s="198" t="s">
        <v>324</v>
      </c>
      <c r="P37" s="198"/>
      <c r="Q37" s="198"/>
      <c r="R37" s="198" t="s">
        <v>4</v>
      </c>
      <c r="S37" s="198"/>
      <c r="T37" s="198" t="s">
        <v>178</v>
      </c>
      <c r="U37" s="1087"/>
      <c r="V37" s="224"/>
      <c r="X37" s="239">
        <f t="shared" si="2"/>
        <v>4.3999999999999997E-2</v>
      </c>
    </row>
    <row r="38" spans="1:31" ht="15.75">
      <c r="A38" s="251">
        <v>21</v>
      </c>
      <c r="B38" s="17" t="s">
        <v>349</v>
      </c>
      <c r="C38" s="358">
        <v>43977</v>
      </c>
      <c r="D38" s="17" t="s">
        <v>18</v>
      </c>
      <c r="E38" s="245" t="s">
        <v>350</v>
      </c>
      <c r="F38" s="246" t="s">
        <v>353</v>
      </c>
      <c r="G38" s="89" t="s">
        <v>179</v>
      </c>
      <c r="H38" s="166">
        <v>4</v>
      </c>
      <c r="I38" s="370" t="s">
        <v>207</v>
      </c>
      <c r="J38" s="270">
        <v>2</v>
      </c>
      <c r="K38" s="189" t="s">
        <v>197</v>
      </c>
      <c r="L38" s="167">
        <f t="shared" si="1"/>
        <v>8</v>
      </c>
      <c r="M38" s="1084"/>
      <c r="N38" s="245">
        <v>43978</v>
      </c>
      <c r="O38" s="198" t="s">
        <v>324</v>
      </c>
      <c r="P38" s="198"/>
      <c r="Q38" s="198"/>
      <c r="R38" s="198" t="s">
        <v>4</v>
      </c>
      <c r="S38" s="198"/>
      <c r="T38" s="198" t="s">
        <v>178</v>
      </c>
      <c r="U38" s="1087"/>
      <c r="V38" s="224"/>
      <c r="X38" s="239">
        <f t="shared" si="2"/>
        <v>8.0000000000000002E-3</v>
      </c>
    </row>
    <row r="39" spans="1:31" ht="24" customHeight="1">
      <c r="A39" s="251">
        <v>21</v>
      </c>
      <c r="B39" s="17" t="s">
        <v>349</v>
      </c>
      <c r="C39" s="358">
        <v>43977</v>
      </c>
      <c r="D39" s="17" t="s">
        <v>18</v>
      </c>
      <c r="E39" s="245" t="s">
        <v>350</v>
      </c>
      <c r="F39" s="246" t="s">
        <v>354</v>
      </c>
      <c r="G39" s="89" t="s">
        <v>179</v>
      </c>
      <c r="H39" s="166">
        <v>2</v>
      </c>
      <c r="I39" s="370" t="s">
        <v>207</v>
      </c>
      <c r="J39" s="270">
        <v>6</v>
      </c>
      <c r="K39" s="189" t="s">
        <v>197</v>
      </c>
      <c r="L39" s="167">
        <f t="shared" si="1"/>
        <v>12</v>
      </c>
      <c r="M39" s="1084"/>
      <c r="N39" s="245">
        <v>43978</v>
      </c>
      <c r="O39" s="198" t="s">
        <v>324</v>
      </c>
      <c r="P39" s="198"/>
      <c r="Q39" s="198"/>
      <c r="R39" s="198" t="s">
        <v>4</v>
      </c>
      <c r="S39" s="198"/>
      <c r="T39" s="198" t="s">
        <v>178</v>
      </c>
      <c r="U39" s="1088"/>
      <c r="V39" s="224"/>
      <c r="X39" s="239">
        <f t="shared" si="2"/>
        <v>1.2E-2</v>
      </c>
    </row>
    <row r="40" spans="1:31" ht="27.75" customHeight="1">
      <c r="A40" s="250">
        <v>22</v>
      </c>
      <c r="B40" s="20" t="s">
        <v>355</v>
      </c>
      <c r="C40" s="357">
        <v>43978</v>
      </c>
      <c r="D40" s="20" t="s">
        <v>18</v>
      </c>
      <c r="E40" s="244" t="s">
        <v>356</v>
      </c>
      <c r="F40" s="248" t="s">
        <v>357</v>
      </c>
      <c r="G40" s="172" t="s">
        <v>358</v>
      </c>
      <c r="H40" s="164">
        <v>4</v>
      </c>
      <c r="I40" s="369" t="s">
        <v>207</v>
      </c>
      <c r="J40" s="269">
        <v>3</v>
      </c>
      <c r="K40" s="185" t="s">
        <v>197</v>
      </c>
      <c r="L40" s="165">
        <f t="shared" ref="L40:L87" si="3">J40*H40</f>
        <v>12</v>
      </c>
      <c r="M40" s="1083">
        <v>6.5</v>
      </c>
      <c r="N40" s="244">
        <v>43978</v>
      </c>
      <c r="O40" s="197" t="s">
        <v>324</v>
      </c>
      <c r="P40" s="197"/>
      <c r="Q40" s="197"/>
      <c r="R40" s="197" t="s">
        <v>7</v>
      </c>
      <c r="S40" s="197"/>
      <c r="T40" s="197" t="s">
        <v>178</v>
      </c>
      <c r="U40" s="1086">
        <f>77.29*U10</f>
        <v>1806267.3</v>
      </c>
      <c r="V40" s="243"/>
      <c r="X40" s="239">
        <f t="shared" si="2"/>
        <v>1.2E-2</v>
      </c>
    </row>
    <row r="41" spans="1:31" ht="27.75" customHeight="1">
      <c r="A41" s="252">
        <v>22</v>
      </c>
      <c r="B41" s="3" t="s">
        <v>355</v>
      </c>
      <c r="C41" s="359">
        <v>43978</v>
      </c>
      <c r="D41" s="3" t="s">
        <v>18</v>
      </c>
      <c r="E41" s="247" t="s">
        <v>356</v>
      </c>
      <c r="F41" s="249" t="s">
        <v>359</v>
      </c>
      <c r="G41" s="168" t="s">
        <v>358</v>
      </c>
      <c r="H41" s="169">
        <v>2</v>
      </c>
      <c r="I41" s="371" t="s">
        <v>207</v>
      </c>
      <c r="J41" s="388">
        <v>5</v>
      </c>
      <c r="K41" s="195" t="s">
        <v>197</v>
      </c>
      <c r="L41" s="170">
        <f t="shared" si="3"/>
        <v>10</v>
      </c>
      <c r="M41" s="1085"/>
      <c r="N41" s="247">
        <v>43978</v>
      </c>
      <c r="O41" s="201" t="s">
        <v>360</v>
      </c>
      <c r="P41" s="201"/>
      <c r="Q41" s="201"/>
      <c r="R41" s="201" t="s">
        <v>7</v>
      </c>
      <c r="S41" s="201"/>
      <c r="T41" s="201" t="s">
        <v>178</v>
      </c>
      <c r="U41" s="1088"/>
      <c r="V41" s="225"/>
      <c r="X41" s="239">
        <f t="shared" si="2"/>
        <v>0.01</v>
      </c>
    </row>
    <row r="42" spans="1:31" ht="15.75">
      <c r="A42" s="251">
        <v>23</v>
      </c>
      <c r="B42" s="17" t="s">
        <v>361</v>
      </c>
      <c r="C42" s="358">
        <v>43980</v>
      </c>
      <c r="D42" s="17" t="s">
        <v>18</v>
      </c>
      <c r="E42" s="245" t="s">
        <v>362</v>
      </c>
      <c r="F42" s="246" t="s">
        <v>363</v>
      </c>
      <c r="G42" s="89" t="s">
        <v>364</v>
      </c>
      <c r="H42" s="166">
        <v>6</v>
      </c>
      <c r="I42" s="370" t="s">
        <v>207</v>
      </c>
      <c r="J42" s="270">
        <v>10</v>
      </c>
      <c r="K42" s="189" t="s">
        <v>197</v>
      </c>
      <c r="L42" s="167">
        <f t="shared" si="3"/>
        <v>60</v>
      </c>
      <c r="M42" s="1083">
        <v>12.8</v>
      </c>
      <c r="N42" s="245">
        <v>43980</v>
      </c>
      <c r="O42" s="198" t="s">
        <v>324</v>
      </c>
      <c r="P42" s="198"/>
      <c r="Q42" s="198"/>
      <c r="R42" s="198" t="s">
        <v>4</v>
      </c>
      <c r="S42" s="198"/>
      <c r="T42" s="198" t="s">
        <v>178</v>
      </c>
      <c r="U42" s="1086">
        <f>141.77*U10</f>
        <v>3313164.9000000004</v>
      </c>
      <c r="V42" s="224"/>
      <c r="X42" s="239">
        <f t="shared" si="2"/>
        <v>0.06</v>
      </c>
    </row>
    <row r="43" spans="1:31" ht="15.75" customHeight="1">
      <c r="A43" s="251">
        <v>23</v>
      </c>
      <c r="B43" s="17" t="s">
        <v>361</v>
      </c>
      <c r="C43" s="358">
        <v>43980</v>
      </c>
      <c r="D43" s="17" t="s">
        <v>18</v>
      </c>
      <c r="E43" s="245" t="s">
        <v>362</v>
      </c>
      <c r="F43" s="246" t="s">
        <v>347</v>
      </c>
      <c r="G43" s="89" t="s">
        <v>213</v>
      </c>
      <c r="H43" s="166">
        <v>1</v>
      </c>
      <c r="I43" s="370" t="s">
        <v>207</v>
      </c>
      <c r="J43" s="270">
        <v>11</v>
      </c>
      <c r="K43" s="189" t="s">
        <v>197</v>
      </c>
      <c r="L43" s="167">
        <f t="shared" si="3"/>
        <v>11</v>
      </c>
      <c r="M43" s="1084"/>
      <c r="N43" s="245">
        <v>43980</v>
      </c>
      <c r="O43" s="198" t="s">
        <v>324</v>
      </c>
      <c r="P43" s="198"/>
      <c r="Q43" s="198"/>
      <c r="R43" s="198" t="s">
        <v>4</v>
      </c>
      <c r="S43" s="198"/>
      <c r="T43" s="198" t="s">
        <v>178</v>
      </c>
      <c r="U43" s="1087"/>
      <c r="V43" s="224"/>
      <c r="X43" s="239">
        <f t="shared" si="2"/>
        <v>1.0999999999999999E-2</v>
      </c>
    </row>
    <row r="44" spans="1:31" ht="15.75" customHeight="1">
      <c r="A44" s="251">
        <v>23</v>
      </c>
      <c r="B44" s="17" t="s">
        <v>361</v>
      </c>
      <c r="C44" s="358">
        <v>43980</v>
      </c>
      <c r="D44" s="17" t="s">
        <v>18</v>
      </c>
      <c r="E44" s="245" t="s">
        <v>362</v>
      </c>
      <c r="F44" s="246" t="s">
        <v>254</v>
      </c>
      <c r="G44" s="89" t="s">
        <v>204</v>
      </c>
      <c r="H44" s="166">
        <v>1</v>
      </c>
      <c r="I44" s="370" t="s">
        <v>207</v>
      </c>
      <c r="J44" s="270">
        <v>5</v>
      </c>
      <c r="K44" s="189" t="s">
        <v>197</v>
      </c>
      <c r="L44" s="167">
        <f t="shared" si="3"/>
        <v>5</v>
      </c>
      <c r="M44" s="1084"/>
      <c r="N44" s="245">
        <v>43980</v>
      </c>
      <c r="O44" s="198" t="s">
        <v>324</v>
      </c>
      <c r="P44" s="198"/>
      <c r="Q44" s="198"/>
      <c r="R44" s="198" t="s">
        <v>4</v>
      </c>
      <c r="S44" s="198"/>
      <c r="T44" s="198" t="s">
        <v>178</v>
      </c>
      <c r="U44" s="1087"/>
      <c r="V44" s="224"/>
      <c r="X44" s="239">
        <f t="shared" si="2"/>
        <v>5.0000000000000001E-3</v>
      </c>
    </row>
    <row r="45" spans="1:31" ht="15.75" customHeight="1">
      <c r="A45" s="251">
        <v>23</v>
      </c>
      <c r="B45" s="17" t="s">
        <v>361</v>
      </c>
      <c r="C45" s="358">
        <v>43980</v>
      </c>
      <c r="D45" s="17" t="s">
        <v>18</v>
      </c>
      <c r="E45" s="245" t="s">
        <v>362</v>
      </c>
      <c r="F45" s="246" t="s">
        <v>365</v>
      </c>
      <c r="G45" s="89" t="s">
        <v>213</v>
      </c>
      <c r="H45" s="166">
        <v>1</v>
      </c>
      <c r="I45" s="370" t="s">
        <v>207</v>
      </c>
      <c r="J45" s="270">
        <v>11</v>
      </c>
      <c r="K45" s="189" t="s">
        <v>197</v>
      </c>
      <c r="L45" s="167">
        <f t="shared" si="3"/>
        <v>11</v>
      </c>
      <c r="M45" s="1084"/>
      <c r="N45" s="245">
        <v>43980</v>
      </c>
      <c r="O45" s="198" t="s">
        <v>324</v>
      </c>
      <c r="P45" s="198"/>
      <c r="Q45" s="198"/>
      <c r="R45" s="198" t="s">
        <v>4</v>
      </c>
      <c r="S45" s="198"/>
      <c r="T45" s="198" t="s">
        <v>178</v>
      </c>
      <c r="U45" s="1087"/>
      <c r="V45" s="224"/>
      <c r="X45" s="239">
        <f t="shared" si="2"/>
        <v>1.0999999999999999E-2</v>
      </c>
    </row>
    <row r="46" spans="1:31" ht="15.75" hidden="1" customHeight="1">
      <c r="A46" s="251"/>
      <c r="B46" s="17"/>
      <c r="C46" s="358"/>
      <c r="D46" s="17"/>
      <c r="E46" s="245"/>
      <c r="F46" s="246"/>
      <c r="G46" s="89"/>
      <c r="H46" s="166"/>
      <c r="I46" s="370"/>
      <c r="J46" s="270"/>
      <c r="K46" s="189"/>
      <c r="L46" s="167">
        <f t="shared" si="3"/>
        <v>0</v>
      </c>
      <c r="M46" s="421"/>
      <c r="N46" s="245"/>
      <c r="O46" s="198"/>
      <c r="P46" s="198"/>
      <c r="Q46" s="198"/>
      <c r="R46" s="198"/>
      <c r="S46" s="198"/>
      <c r="T46" s="198"/>
      <c r="U46" s="241"/>
      <c r="V46" s="224"/>
      <c r="X46" s="239">
        <f t="shared" si="2"/>
        <v>0</v>
      </c>
    </row>
    <row r="47" spans="1:31" ht="15.75" hidden="1" customHeight="1">
      <c r="A47" s="251"/>
      <c r="B47" s="17"/>
      <c r="C47" s="358"/>
      <c r="D47" s="17"/>
      <c r="E47" s="245"/>
      <c r="F47" s="246"/>
      <c r="G47" s="89"/>
      <c r="H47" s="166"/>
      <c r="I47" s="370"/>
      <c r="J47" s="270"/>
      <c r="K47" s="189"/>
      <c r="L47" s="167">
        <f t="shared" si="3"/>
        <v>0</v>
      </c>
      <c r="M47" s="421"/>
      <c r="N47" s="245"/>
      <c r="O47" s="198"/>
      <c r="P47" s="198"/>
      <c r="Q47" s="198"/>
      <c r="R47" s="198"/>
      <c r="S47" s="198"/>
      <c r="T47" s="198"/>
      <c r="U47" s="241"/>
      <c r="V47" s="224"/>
      <c r="X47" s="239">
        <f t="shared" si="2"/>
        <v>0</v>
      </c>
    </row>
    <row r="48" spans="1:31" ht="15.75" hidden="1" customHeight="1">
      <c r="A48" s="251"/>
      <c r="B48" s="17"/>
      <c r="C48" s="358"/>
      <c r="D48" s="17"/>
      <c r="E48" s="245"/>
      <c r="F48" s="246"/>
      <c r="G48" s="89"/>
      <c r="H48" s="166"/>
      <c r="I48" s="370"/>
      <c r="J48" s="270"/>
      <c r="K48" s="189"/>
      <c r="L48" s="167">
        <f t="shared" si="3"/>
        <v>0</v>
      </c>
      <c r="M48" s="421"/>
      <c r="N48" s="245"/>
      <c r="O48" s="198"/>
      <c r="P48" s="198"/>
      <c r="Q48" s="198"/>
      <c r="R48" s="198"/>
      <c r="S48" s="198"/>
      <c r="T48" s="198"/>
      <c r="U48" s="241"/>
      <c r="V48" s="224"/>
      <c r="X48" s="239">
        <f t="shared" si="2"/>
        <v>0</v>
      </c>
    </row>
    <row r="49" spans="1:24" ht="15.75" hidden="1" customHeight="1">
      <c r="A49" s="251"/>
      <c r="B49" s="17"/>
      <c r="C49" s="358"/>
      <c r="D49" s="17"/>
      <c r="E49" s="245"/>
      <c r="F49" s="246"/>
      <c r="G49" s="89"/>
      <c r="H49" s="166"/>
      <c r="I49" s="370"/>
      <c r="J49" s="270"/>
      <c r="K49" s="189"/>
      <c r="L49" s="167">
        <f t="shared" si="3"/>
        <v>0</v>
      </c>
      <c r="M49" s="421"/>
      <c r="N49" s="245"/>
      <c r="O49" s="198"/>
      <c r="P49" s="198"/>
      <c r="Q49" s="198"/>
      <c r="R49" s="198"/>
      <c r="S49" s="198"/>
      <c r="T49" s="198"/>
      <c r="U49" s="241"/>
      <c r="V49" s="224"/>
      <c r="X49" s="239">
        <f t="shared" si="2"/>
        <v>0</v>
      </c>
    </row>
    <row r="50" spans="1:24" ht="15.75" hidden="1" customHeight="1">
      <c r="A50" s="251"/>
      <c r="B50" s="17"/>
      <c r="C50" s="358"/>
      <c r="D50" s="17"/>
      <c r="E50" s="245"/>
      <c r="F50" s="246"/>
      <c r="G50" s="89"/>
      <c r="H50" s="166"/>
      <c r="I50" s="370"/>
      <c r="J50" s="270"/>
      <c r="K50" s="189"/>
      <c r="L50" s="167">
        <f t="shared" si="3"/>
        <v>0</v>
      </c>
      <c r="M50" s="421"/>
      <c r="N50" s="245"/>
      <c r="O50" s="198"/>
      <c r="P50" s="198"/>
      <c r="Q50" s="198"/>
      <c r="R50" s="198"/>
      <c r="S50" s="198"/>
      <c r="T50" s="198"/>
      <c r="U50" s="241"/>
      <c r="V50" s="224"/>
      <c r="X50" s="239">
        <f t="shared" si="2"/>
        <v>0</v>
      </c>
    </row>
    <row r="51" spans="1:24" ht="15.75" hidden="1">
      <c r="A51" s="251"/>
      <c r="B51" s="17"/>
      <c r="C51" s="358"/>
      <c r="D51" s="17"/>
      <c r="E51" s="245"/>
      <c r="F51" s="246"/>
      <c r="G51" s="89"/>
      <c r="H51" s="166"/>
      <c r="I51" s="370"/>
      <c r="J51" s="270"/>
      <c r="K51" s="189"/>
      <c r="L51" s="167">
        <f t="shared" si="3"/>
        <v>0</v>
      </c>
      <c r="M51" s="421"/>
      <c r="N51" s="245"/>
      <c r="O51" s="198"/>
      <c r="P51" s="198"/>
      <c r="Q51" s="198"/>
      <c r="R51" s="198"/>
      <c r="S51" s="198"/>
      <c r="T51" s="198"/>
      <c r="U51" s="241"/>
      <c r="V51" s="224"/>
      <c r="X51" s="239">
        <f t="shared" si="2"/>
        <v>0</v>
      </c>
    </row>
    <row r="52" spans="1:24" ht="15.75" hidden="1">
      <c r="A52" s="251"/>
      <c r="B52" s="17"/>
      <c r="C52" s="358"/>
      <c r="D52" s="17"/>
      <c r="E52" s="245"/>
      <c r="F52" s="246"/>
      <c r="G52" s="89"/>
      <c r="H52" s="166"/>
      <c r="I52" s="370"/>
      <c r="J52" s="270"/>
      <c r="K52" s="189"/>
      <c r="L52" s="167">
        <f t="shared" si="3"/>
        <v>0</v>
      </c>
      <c r="M52" s="421"/>
      <c r="N52" s="245"/>
      <c r="O52" s="198"/>
      <c r="P52" s="198"/>
      <c r="Q52" s="198"/>
      <c r="R52" s="198"/>
      <c r="S52" s="198"/>
      <c r="T52" s="198"/>
      <c r="U52" s="241"/>
      <c r="V52" s="224"/>
      <c r="X52" s="239">
        <f t="shared" si="2"/>
        <v>0</v>
      </c>
    </row>
    <row r="53" spans="1:24" ht="15.75" hidden="1">
      <c r="A53" s="251"/>
      <c r="B53" s="17"/>
      <c r="C53" s="358"/>
      <c r="D53" s="17"/>
      <c r="E53" s="245"/>
      <c r="F53" s="246"/>
      <c r="G53" s="89"/>
      <c r="H53" s="166"/>
      <c r="I53" s="370"/>
      <c r="J53" s="270"/>
      <c r="K53" s="189"/>
      <c r="L53" s="167">
        <f t="shared" si="3"/>
        <v>0</v>
      </c>
      <c r="M53" s="421"/>
      <c r="N53" s="245"/>
      <c r="O53" s="198"/>
      <c r="P53" s="198"/>
      <c r="Q53" s="198"/>
      <c r="R53" s="198"/>
      <c r="S53" s="198"/>
      <c r="T53" s="198"/>
      <c r="U53" s="241"/>
      <c r="V53" s="224"/>
      <c r="X53" s="239">
        <f t="shared" si="2"/>
        <v>0</v>
      </c>
    </row>
    <row r="54" spans="1:24" ht="15.75" hidden="1">
      <c r="A54" s="251"/>
      <c r="B54" s="17"/>
      <c r="C54" s="358"/>
      <c r="D54" s="17"/>
      <c r="E54" s="245"/>
      <c r="F54" s="246"/>
      <c r="G54" s="89"/>
      <c r="H54" s="166"/>
      <c r="I54" s="370"/>
      <c r="J54" s="270"/>
      <c r="K54" s="189"/>
      <c r="L54" s="167">
        <f t="shared" si="3"/>
        <v>0</v>
      </c>
      <c r="M54" s="421"/>
      <c r="N54" s="245"/>
      <c r="O54" s="198"/>
      <c r="P54" s="198"/>
      <c r="Q54" s="198"/>
      <c r="R54" s="198"/>
      <c r="S54" s="198"/>
      <c r="T54" s="198"/>
      <c r="U54" s="241"/>
      <c r="V54" s="224"/>
      <c r="X54" s="239">
        <f t="shared" si="2"/>
        <v>0</v>
      </c>
    </row>
    <row r="55" spans="1:24" ht="15.75" hidden="1" customHeight="1">
      <c r="A55" s="251"/>
      <c r="B55" s="17"/>
      <c r="C55" s="358"/>
      <c r="D55" s="17"/>
      <c r="E55" s="245"/>
      <c r="F55" s="246"/>
      <c r="G55" s="89"/>
      <c r="H55" s="166"/>
      <c r="I55" s="370"/>
      <c r="J55" s="270"/>
      <c r="K55" s="189"/>
      <c r="L55" s="167">
        <f t="shared" si="3"/>
        <v>0</v>
      </c>
      <c r="M55" s="421"/>
      <c r="N55" s="245"/>
      <c r="O55" s="198"/>
      <c r="P55" s="198"/>
      <c r="Q55" s="198"/>
      <c r="R55" s="198"/>
      <c r="S55" s="198"/>
      <c r="T55" s="198"/>
      <c r="U55" s="241"/>
      <c r="V55" s="224"/>
      <c r="X55" s="239">
        <f t="shared" si="2"/>
        <v>0</v>
      </c>
    </row>
    <row r="56" spans="1:24" ht="15.75" hidden="1" customHeight="1">
      <c r="A56" s="252"/>
      <c r="B56" s="3"/>
      <c r="C56" s="359"/>
      <c r="D56" s="3"/>
      <c r="E56" s="247"/>
      <c r="F56" s="249"/>
      <c r="G56" s="168"/>
      <c r="H56" s="169"/>
      <c r="I56" s="371"/>
      <c r="J56" s="388"/>
      <c r="K56" s="195"/>
      <c r="L56" s="170">
        <f t="shared" si="3"/>
        <v>0</v>
      </c>
      <c r="M56" s="420"/>
      <c r="N56" s="247"/>
      <c r="O56" s="201"/>
      <c r="P56" s="201"/>
      <c r="Q56" s="201"/>
      <c r="R56" s="201"/>
      <c r="S56" s="201"/>
      <c r="T56" s="201"/>
      <c r="U56" s="240"/>
      <c r="V56" s="225"/>
      <c r="X56" s="239">
        <f t="shared" si="2"/>
        <v>0</v>
      </c>
    </row>
    <row r="57" spans="1:24" ht="15.75" hidden="1" customHeight="1">
      <c r="A57" s="250"/>
      <c r="B57" s="20"/>
      <c r="C57" s="357"/>
      <c r="D57" s="20"/>
      <c r="E57" s="244"/>
      <c r="F57" s="248"/>
      <c r="G57" s="172"/>
      <c r="H57" s="164"/>
      <c r="I57" s="369"/>
      <c r="J57" s="269"/>
      <c r="K57" s="185"/>
      <c r="L57" s="165">
        <f t="shared" si="3"/>
        <v>0</v>
      </c>
      <c r="M57" s="419"/>
      <c r="N57" s="244"/>
      <c r="O57" s="197"/>
      <c r="P57" s="197"/>
      <c r="Q57" s="197"/>
      <c r="R57" s="197"/>
      <c r="S57" s="197"/>
      <c r="T57" s="197"/>
      <c r="U57" s="242"/>
      <c r="V57" s="243"/>
      <c r="X57" s="239">
        <f t="shared" si="2"/>
        <v>0</v>
      </c>
    </row>
    <row r="58" spans="1:24" ht="15.75" hidden="1" customHeight="1">
      <c r="A58" s="251"/>
      <c r="B58" s="17"/>
      <c r="C58" s="358"/>
      <c r="D58" s="17"/>
      <c r="E58" s="245"/>
      <c r="F58" s="246"/>
      <c r="G58" s="89"/>
      <c r="H58" s="166"/>
      <c r="I58" s="370"/>
      <c r="J58" s="270"/>
      <c r="K58" s="189"/>
      <c r="L58" s="167">
        <f t="shared" si="3"/>
        <v>0</v>
      </c>
      <c r="M58" s="421"/>
      <c r="N58" s="245"/>
      <c r="O58" s="198"/>
      <c r="P58" s="198"/>
      <c r="Q58" s="198"/>
      <c r="R58" s="198"/>
      <c r="S58" s="198"/>
      <c r="T58" s="198"/>
      <c r="U58" s="240"/>
      <c r="V58" s="224"/>
      <c r="X58" s="239">
        <f t="shared" si="2"/>
        <v>0</v>
      </c>
    </row>
    <row r="59" spans="1:24" ht="15.75" hidden="1" customHeight="1">
      <c r="A59" s="250"/>
      <c r="B59" s="20"/>
      <c r="C59" s="357"/>
      <c r="D59" s="20"/>
      <c r="E59" s="244"/>
      <c r="F59" s="248"/>
      <c r="G59" s="172"/>
      <c r="H59" s="164"/>
      <c r="I59" s="369"/>
      <c r="J59" s="269"/>
      <c r="K59" s="185"/>
      <c r="L59" s="165">
        <f t="shared" si="3"/>
        <v>0</v>
      </c>
      <c r="M59" s="419"/>
      <c r="N59" s="244"/>
      <c r="O59" s="197"/>
      <c r="P59" s="197"/>
      <c r="Q59" s="197"/>
      <c r="R59" s="197"/>
      <c r="S59" s="197"/>
      <c r="T59" s="197"/>
      <c r="U59" s="242"/>
      <c r="V59" s="243"/>
      <c r="X59" s="239">
        <f t="shared" si="2"/>
        <v>0</v>
      </c>
    </row>
    <row r="60" spans="1:24" ht="15.75" hidden="1" customHeight="1">
      <c r="A60" s="252"/>
      <c r="B60" s="3"/>
      <c r="C60" s="359"/>
      <c r="D60" s="3"/>
      <c r="E60" s="247"/>
      <c r="F60" s="249"/>
      <c r="G60" s="168"/>
      <c r="H60" s="169"/>
      <c r="I60" s="371"/>
      <c r="J60" s="388"/>
      <c r="K60" s="195"/>
      <c r="L60" s="170">
        <f t="shared" si="3"/>
        <v>0</v>
      </c>
      <c r="M60" s="420"/>
      <c r="N60" s="247"/>
      <c r="O60" s="201"/>
      <c r="P60" s="201"/>
      <c r="Q60" s="201"/>
      <c r="R60" s="201"/>
      <c r="S60" s="201"/>
      <c r="T60" s="201"/>
      <c r="U60" s="240"/>
      <c r="V60" s="225"/>
      <c r="X60" s="239">
        <f t="shared" si="2"/>
        <v>0</v>
      </c>
    </row>
    <row r="61" spans="1:24" ht="15.75" hidden="1" customHeight="1">
      <c r="A61" s="250"/>
      <c r="B61" s="20"/>
      <c r="C61" s="357"/>
      <c r="D61" s="20"/>
      <c r="E61" s="244"/>
      <c r="F61" s="248"/>
      <c r="G61" s="172"/>
      <c r="H61" s="164"/>
      <c r="I61" s="369"/>
      <c r="J61" s="269"/>
      <c r="K61" s="185"/>
      <c r="L61" s="165">
        <f t="shared" si="3"/>
        <v>0</v>
      </c>
      <c r="M61" s="419"/>
      <c r="N61" s="244"/>
      <c r="O61" s="197"/>
      <c r="P61" s="197"/>
      <c r="Q61" s="197"/>
      <c r="R61" s="197"/>
      <c r="S61" s="197"/>
      <c r="T61" s="197"/>
      <c r="U61" s="242"/>
      <c r="V61" s="243"/>
      <c r="X61" s="239">
        <f t="shared" si="2"/>
        <v>0</v>
      </c>
    </row>
    <row r="62" spans="1:24" s="256" customFormat="1" ht="15.75" hidden="1" customHeight="1">
      <c r="A62" s="251"/>
      <c r="B62" s="17"/>
      <c r="C62" s="358"/>
      <c r="D62" s="17"/>
      <c r="E62" s="245"/>
      <c r="F62" s="246"/>
      <c r="G62" s="89"/>
      <c r="H62" s="166"/>
      <c r="I62" s="370"/>
      <c r="J62" s="270"/>
      <c r="K62" s="189"/>
      <c r="L62" s="167">
        <f t="shared" si="3"/>
        <v>0</v>
      </c>
      <c r="M62" s="421"/>
      <c r="N62" s="245"/>
      <c r="O62" s="198"/>
      <c r="P62" s="265"/>
      <c r="Q62" s="266"/>
      <c r="R62" s="198"/>
      <c r="S62" s="198"/>
      <c r="T62" s="198"/>
      <c r="U62" s="241"/>
      <c r="V62" s="224"/>
      <c r="X62" s="239">
        <f t="shared" si="2"/>
        <v>0</v>
      </c>
    </row>
    <row r="63" spans="1:24" ht="15.75" hidden="1" customHeight="1">
      <c r="A63" s="251"/>
      <c r="B63" s="17"/>
      <c r="C63" s="358"/>
      <c r="D63" s="17"/>
      <c r="E63" s="245"/>
      <c r="F63" s="190"/>
      <c r="G63" s="199"/>
      <c r="H63" s="166"/>
      <c r="I63" s="370"/>
      <c r="J63" s="270"/>
      <c r="K63" s="189"/>
      <c r="L63" s="167">
        <f t="shared" si="3"/>
        <v>0</v>
      </c>
      <c r="M63" s="421"/>
      <c r="N63" s="245"/>
      <c r="O63" s="198"/>
      <c r="P63" s="198"/>
      <c r="Q63" s="198"/>
      <c r="R63" s="198"/>
      <c r="S63" s="198"/>
      <c r="T63" s="198"/>
      <c r="U63" s="241"/>
      <c r="V63" s="224"/>
      <c r="X63" s="239">
        <f t="shared" si="2"/>
        <v>0</v>
      </c>
    </row>
    <row r="64" spans="1:24" ht="15.75" hidden="1" customHeight="1">
      <c r="A64" s="251"/>
      <c r="B64" s="17"/>
      <c r="C64" s="358"/>
      <c r="D64" s="17"/>
      <c r="E64" s="245"/>
      <c r="F64" s="190"/>
      <c r="G64" s="199"/>
      <c r="H64" s="166"/>
      <c r="I64" s="370"/>
      <c r="J64" s="270"/>
      <c r="K64" s="189"/>
      <c r="L64" s="167">
        <f t="shared" si="3"/>
        <v>0</v>
      </c>
      <c r="M64" s="421"/>
      <c r="N64" s="245"/>
      <c r="O64" s="198"/>
      <c r="P64" s="198"/>
      <c r="Q64" s="198"/>
      <c r="R64" s="198"/>
      <c r="S64" s="198"/>
      <c r="T64" s="198"/>
      <c r="U64" s="241"/>
      <c r="V64" s="224"/>
      <c r="X64" s="239">
        <f t="shared" si="2"/>
        <v>0</v>
      </c>
    </row>
    <row r="65" spans="1:24" ht="15.75" hidden="1">
      <c r="A65" s="252"/>
      <c r="B65" s="3"/>
      <c r="C65" s="358"/>
      <c r="D65" s="3"/>
      <c r="E65" s="247"/>
      <c r="F65" s="193"/>
      <c r="G65" s="200"/>
      <c r="H65" s="194"/>
      <c r="I65" s="194"/>
      <c r="J65" s="272"/>
      <c r="K65" s="195"/>
      <c r="L65" s="170">
        <f t="shared" si="3"/>
        <v>0</v>
      </c>
      <c r="M65" s="420"/>
      <c r="N65" s="247"/>
      <c r="O65" s="201"/>
      <c r="P65" s="201"/>
      <c r="Q65" s="201"/>
      <c r="R65" s="201"/>
      <c r="S65" s="201"/>
      <c r="T65" s="201"/>
      <c r="U65" s="240"/>
      <c r="V65" s="191"/>
      <c r="X65" s="239">
        <f t="shared" si="2"/>
        <v>0</v>
      </c>
    </row>
    <row r="66" spans="1:24" ht="15.75" hidden="1">
      <c r="A66" s="251"/>
      <c r="B66" s="395"/>
      <c r="C66" s="357"/>
      <c r="D66" s="396"/>
      <c r="E66" s="187"/>
      <c r="F66" s="190"/>
      <c r="G66" s="199"/>
      <c r="H66" s="188"/>
      <c r="I66" s="188"/>
      <c r="J66" s="271"/>
      <c r="K66" s="189"/>
      <c r="L66" s="167">
        <f t="shared" si="3"/>
        <v>0</v>
      </c>
      <c r="M66" s="242"/>
      <c r="N66" s="245"/>
      <c r="O66" s="198"/>
      <c r="P66" s="198"/>
      <c r="Q66" s="198"/>
      <c r="R66" s="198"/>
      <c r="S66" s="198"/>
      <c r="T66" s="198"/>
      <c r="U66" s="242"/>
      <c r="V66" s="186"/>
      <c r="X66" s="239">
        <f t="shared" si="2"/>
        <v>0</v>
      </c>
    </row>
    <row r="67" spans="1:24" ht="15.75" hidden="1">
      <c r="A67" s="251"/>
      <c r="B67" s="395"/>
      <c r="C67" s="358"/>
      <c r="D67" s="396"/>
      <c r="E67" s="187"/>
      <c r="F67" s="190"/>
      <c r="G67" s="199"/>
      <c r="H67" s="188"/>
      <c r="I67" s="188"/>
      <c r="J67" s="271"/>
      <c r="K67" s="189"/>
      <c r="L67" s="167">
        <f t="shared" si="3"/>
        <v>0</v>
      </c>
      <c r="M67" s="241"/>
      <c r="N67" s="245"/>
      <c r="O67" s="198"/>
      <c r="P67" s="198"/>
      <c r="Q67" s="198"/>
      <c r="R67" s="198"/>
      <c r="S67" s="198"/>
      <c r="T67" s="198"/>
      <c r="U67" s="241"/>
      <c r="V67" s="186"/>
      <c r="X67" s="239">
        <f t="shared" si="2"/>
        <v>0</v>
      </c>
    </row>
    <row r="68" spans="1:24" ht="15.75" hidden="1">
      <c r="A68" s="251"/>
      <c r="B68" s="395"/>
      <c r="C68" s="358"/>
      <c r="D68" s="396"/>
      <c r="E68" s="187"/>
      <c r="F68" s="190"/>
      <c r="G68" s="199"/>
      <c r="H68" s="188"/>
      <c r="I68" s="188"/>
      <c r="J68" s="271"/>
      <c r="K68" s="189"/>
      <c r="L68" s="167">
        <f t="shared" si="3"/>
        <v>0</v>
      </c>
      <c r="M68" s="241"/>
      <c r="N68" s="245"/>
      <c r="O68" s="198"/>
      <c r="P68" s="198"/>
      <c r="Q68" s="198"/>
      <c r="R68" s="198"/>
      <c r="S68" s="198"/>
      <c r="T68" s="198"/>
      <c r="U68" s="240"/>
      <c r="V68" s="186"/>
      <c r="X68" s="239">
        <f t="shared" si="2"/>
        <v>0</v>
      </c>
    </row>
    <row r="69" spans="1:24" ht="15.75" hidden="1">
      <c r="A69" s="206"/>
      <c r="B69" s="5"/>
      <c r="C69" s="361"/>
      <c r="D69" s="397"/>
      <c r="E69" s="221"/>
      <c r="F69" s="389"/>
      <c r="G69" s="390"/>
      <c r="H69" s="392"/>
      <c r="I69" s="393"/>
      <c r="J69" s="394"/>
      <c r="K69" s="203"/>
      <c r="L69" s="159">
        <f t="shared" si="3"/>
        <v>0</v>
      </c>
      <c r="M69" s="398"/>
      <c r="N69" s="391"/>
      <c r="O69" s="204"/>
      <c r="P69" s="204"/>
      <c r="Q69" s="204"/>
      <c r="R69" s="204"/>
      <c r="S69" s="204"/>
      <c r="T69" s="204"/>
      <c r="U69" s="398"/>
      <c r="V69" s="202"/>
      <c r="X69" s="239">
        <f t="shared" si="2"/>
        <v>0</v>
      </c>
    </row>
    <row r="70" spans="1:24" ht="15.75" hidden="1">
      <c r="A70" s="250"/>
      <c r="B70" s="20"/>
      <c r="C70" s="357"/>
      <c r="D70" s="273"/>
      <c r="E70" s="405"/>
      <c r="F70" s="196"/>
      <c r="G70" s="205"/>
      <c r="H70" s="184"/>
      <c r="I70" s="261"/>
      <c r="J70" s="399"/>
      <c r="K70" s="185"/>
      <c r="L70" s="165">
        <f t="shared" si="3"/>
        <v>0</v>
      </c>
      <c r="M70" s="242"/>
      <c r="N70" s="244"/>
      <c r="O70" s="197"/>
      <c r="P70" s="197"/>
      <c r="Q70" s="197"/>
      <c r="R70" s="197"/>
      <c r="S70" s="197"/>
      <c r="T70" s="197"/>
      <c r="U70" s="242"/>
      <c r="V70" s="182"/>
      <c r="X70" s="239">
        <f t="shared" si="2"/>
        <v>0</v>
      </c>
    </row>
    <row r="71" spans="1:24" ht="15.75" hidden="1">
      <c r="A71" s="252"/>
      <c r="B71" s="3"/>
      <c r="C71" s="359"/>
      <c r="D71" s="277"/>
      <c r="E71" s="406"/>
      <c r="F71" s="193"/>
      <c r="G71" s="200"/>
      <c r="H71" s="194"/>
      <c r="I71" s="262"/>
      <c r="J71" s="400"/>
      <c r="K71" s="195"/>
      <c r="L71" s="170">
        <f t="shared" si="3"/>
        <v>0</v>
      </c>
      <c r="M71" s="240"/>
      <c r="N71" s="247"/>
      <c r="O71" s="201"/>
      <c r="P71" s="201"/>
      <c r="Q71" s="201"/>
      <c r="R71" s="201"/>
      <c r="S71" s="201"/>
      <c r="T71" s="201"/>
      <c r="U71" s="240"/>
      <c r="V71" s="191"/>
      <c r="X71" s="239">
        <f t="shared" si="2"/>
        <v>0</v>
      </c>
    </row>
    <row r="72" spans="1:24" ht="15.75" hidden="1">
      <c r="A72" s="250"/>
      <c r="B72" s="20"/>
      <c r="C72" s="357"/>
      <c r="D72" s="273"/>
      <c r="E72" s="405"/>
      <c r="F72" s="196"/>
      <c r="G72" s="205"/>
      <c r="H72" s="184"/>
      <c r="I72" s="261"/>
      <c r="J72" s="399"/>
      <c r="K72" s="185"/>
      <c r="L72" s="167">
        <f t="shared" si="3"/>
        <v>0</v>
      </c>
      <c r="M72" s="197"/>
      <c r="N72" s="244"/>
      <c r="O72" s="197"/>
      <c r="P72" s="197"/>
      <c r="Q72" s="197"/>
      <c r="R72" s="197"/>
      <c r="S72" s="197"/>
      <c r="T72" s="197"/>
      <c r="U72" s="242"/>
      <c r="V72" s="182"/>
      <c r="X72" s="239">
        <f t="shared" si="2"/>
        <v>0</v>
      </c>
    </row>
    <row r="73" spans="1:24" ht="15.75" hidden="1">
      <c r="A73" s="251"/>
      <c r="B73" s="17"/>
      <c r="C73" s="358"/>
      <c r="D73" s="274"/>
      <c r="E73" s="407"/>
      <c r="F73" s="190"/>
      <c r="G73" s="199"/>
      <c r="H73" s="188"/>
      <c r="I73" s="368"/>
      <c r="J73" s="275"/>
      <c r="K73" s="189"/>
      <c r="L73" s="167">
        <f t="shared" si="3"/>
        <v>0</v>
      </c>
      <c r="M73" s="198"/>
      <c r="N73" s="245"/>
      <c r="O73" s="198"/>
      <c r="P73" s="198"/>
      <c r="Q73" s="198"/>
      <c r="R73" s="198"/>
      <c r="S73" s="198"/>
      <c r="T73" s="198"/>
      <c r="U73" s="241"/>
      <c r="V73" s="186"/>
      <c r="X73" s="239">
        <f t="shared" si="2"/>
        <v>0</v>
      </c>
    </row>
    <row r="74" spans="1:24" ht="15.75" hidden="1">
      <c r="A74" s="251"/>
      <c r="B74" s="17"/>
      <c r="C74" s="358"/>
      <c r="D74" s="274"/>
      <c r="E74" s="407"/>
      <c r="F74" s="190"/>
      <c r="G74" s="199"/>
      <c r="H74" s="188"/>
      <c r="I74" s="368"/>
      <c r="J74" s="275"/>
      <c r="K74" s="189"/>
      <c r="L74" s="167">
        <f t="shared" si="3"/>
        <v>0</v>
      </c>
      <c r="M74" s="198"/>
      <c r="N74" s="245"/>
      <c r="O74" s="198"/>
      <c r="P74" s="198"/>
      <c r="Q74" s="198"/>
      <c r="R74" s="198"/>
      <c r="S74" s="198"/>
      <c r="T74" s="198"/>
      <c r="U74" s="241"/>
      <c r="V74" s="186"/>
      <c r="X74" s="239">
        <f t="shared" si="2"/>
        <v>0</v>
      </c>
    </row>
    <row r="75" spans="1:24" ht="15.75" hidden="1">
      <c r="A75" s="251"/>
      <c r="B75" s="17"/>
      <c r="C75" s="358"/>
      <c r="D75" s="274"/>
      <c r="E75" s="407"/>
      <c r="F75" s="190"/>
      <c r="G75" s="199"/>
      <c r="H75" s="188"/>
      <c r="I75" s="368"/>
      <c r="J75" s="275"/>
      <c r="K75" s="189"/>
      <c r="L75" s="167">
        <f t="shared" si="3"/>
        <v>0</v>
      </c>
      <c r="M75" s="198"/>
      <c r="N75" s="245"/>
      <c r="O75" s="198"/>
      <c r="P75" s="198"/>
      <c r="Q75" s="198"/>
      <c r="R75" s="198"/>
      <c r="S75" s="198"/>
      <c r="T75" s="198"/>
      <c r="U75" s="241"/>
      <c r="V75" s="241"/>
      <c r="X75" s="239">
        <f t="shared" si="2"/>
        <v>0</v>
      </c>
    </row>
    <row r="76" spans="1:24" ht="15.75" hidden="1">
      <c r="A76" s="251"/>
      <c r="B76" s="17"/>
      <c r="C76" s="358"/>
      <c r="D76" s="274"/>
      <c r="E76" s="407"/>
      <c r="F76" s="190"/>
      <c r="G76" s="199"/>
      <c r="H76" s="188"/>
      <c r="I76" s="368"/>
      <c r="J76" s="275"/>
      <c r="K76" s="189"/>
      <c r="L76" s="167">
        <f t="shared" si="3"/>
        <v>0</v>
      </c>
      <c r="M76" s="198"/>
      <c r="N76" s="245"/>
      <c r="O76" s="198"/>
      <c r="P76" s="198"/>
      <c r="Q76" s="198"/>
      <c r="R76" s="198"/>
      <c r="S76" s="198"/>
      <c r="T76" s="198"/>
      <c r="U76" s="241"/>
      <c r="V76" s="186"/>
      <c r="X76" s="239">
        <f t="shared" si="2"/>
        <v>0</v>
      </c>
    </row>
    <row r="77" spans="1:24" ht="15.75" hidden="1">
      <c r="A77" s="252"/>
      <c r="B77" s="3"/>
      <c r="C77" s="359"/>
      <c r="D77" s="277"/>
      <c r="E77" s="406"/>
      <c r="F77" s="200"/>
      <c r="G77" s="193"/>
      <c r="H77" s="194"/>
      <c r="I77" s="262"/>
      <c r="J77" s="400"/>
      <c r="K77" s="195"/>
      <c r="L77" s="170">
        <f t="shared" si="3"/>
        <v>0</v>
      </c>
      <c r="M77" s="201"/>
      <c r="N77" s="247"/>
      <c r="O77" s="201"/>
      <c r="P77" s="201"/>
      <c r="Q77" s="201"/>
      <c r="R77" s="201"/>
      <c r="S77" s="201"/>
      <c r="T77" s="201"/>
      <c r="U77" s="240"/>
      <c r="V77" s="191"/>
      <c r="X77" s="239">
        <f t="shared" si="2"/>
        <v>0</v>
      </c>
    </row>
    <row r="78" spans="1:24" ht="15.75" hidden="1">
      <c r="A78" s="250"/>
      <c r="B78" s="20"/>
      <c r="C78" s="357"/>
      <c r="D78" s="273"/>
      <c r="E78" s="405"/>
      <c r="F78" s="196"/>
      <c r="G78" s="205"/>
      <c r="H78" s="184"/>
      <c r="I78" s="261"/>
      <c r="J78" s="399"/>
      <c r="K78" s="185"/>
      <c r="L78" s="165">
        <f t="shared" si="3"/>
        <v>0</v>
      </c>
      <c r="M78" s="197"/>
      <c r="N78" s="357"/>
      <c r="O78" s="197"/>
      <c r="P78" s="197"/>
      <c r="Q78" s="197"/>
      <c r="R78" s="197"/>
      <c r="S78" s="197"/>
      <c r="T78" s="197"/>
      <c r="U78" s="422"/>
      <c r="V78" s="242"/>
      <c r="X78" s="239">
        <f t="shared" ref="X78:X141" si="4">L78/1000</f>
        <v>0</v>
      </c>
    </row>
    <row r="79" spans="1:24" ht="15.75" hidden="1">
      <c r="A79" s="251"/>
      <c r="B79" s="17"/>
      <c r="C79" s="358"/>
      <c r="D79" s="274"/>
      <c r="E79" s="407"/>
      <c r="F79" s="190"/>
      <c r="G79" s="199"/>
      <c r="H79" s="188"/>
      <c r="I79" s="368"/>
      <c r="J79" s="275"/>
      <c r="K79" s="189"/>
      <c r="L79" s="167">
        <f t="shared" si="3"/>
        <v>0</v>
      </c>
      <c r="M79" s="198"/>
      <c r="N79" s="358"/>
      <c r="O79" s="198"/>
      <c r="P79" s="198"/>
      <c r="Q79" s="198"/>
      <c r="R79" s="198"/>
      <c r="S79" s="198"/>
      <c r="T79" s="198"/>
      <c r="U79" s="423"/>
      <c r="V79" s="241"/>
      <c r="X79" s="239">
        <f t="shared" si="4"/>
        <v>0</v>
      </c>
    </row>
    <row r="80" spans="1:24" ht="15.75" hidden="1">
      <c r="A80" s="251"/>
      <c r="B80" s="17"/>
      <c r="C80" s="358"/>
      <c r="D80" s="274"/>
      <c r="E80" s="407"/>
      <c r="F80" s="190"/>
      <c r="G80" s="199"/>
      <c r="H80" s="188"/>
      <c r="I80" s="368"/>
      <c r="J80" s="275"/>
      <c r="K80" s="189"/>
      <c r="L80" s="167">
        <f t="shared" si="3"/>
        <v>0</v>
      </c>
      <c r="M80" s="198"/>
      <c r="N80" s="358"/>
      <c r="O80" s="198"/>
      <c r="P80" s="198"/>
      <c r="Q80" s="198"/>
      <c r="R80" s="198"/>
      <c r="S80" s="198"/>
      <c r="T80" s="198"/>
      <c r="U80" s="423"/>
      <c r="V80" s="241"/>
      <c r="X80" s="239">
        <f t="shared" si="4"/>
        <v>0</v>
      </c>
    </row>
    <row r="81" spans="1:31" ht="15.75" hidden="1">
      <c r="A81" s="251"/>
      <c r="B81" s="17"/>
      <c r="C81" s="358"/>
      <c r="D81" s="274"/>
      <c r="E81" s="407"/>
      <c r="F81" s="190"/>
      <c r="G81" s="199"/>
      <c r="H81" s="188"/>
      <c r="I81" s="368"/>
      <c r="J81" s="275"/>
      <c r="K81" s="189"/>
      <c r="L81" s="167">
        <f t="shared" si="3"/>
        <v>0</v>
      </c>
      <c r="M81" s="198"/>
      <c r="N81" s="358"/>
      <c r="O81" s="198"/>
      <c r="P81" s="198"/>
      <c r="Q81" s="198"/>
      <c r="R81" s="198"/>
      <c r="S81" s="198"/>
      <c r="T81" s="198"/>
      <c r="U81" s="423"/>
      <c r="V81" s="241"/>
      <c r="X81" s="239">
        <f t="shared" si="4"/>
        <v>0</v>
      </c>
    </row>
    <row r="82" spans="1:31" ht="15.75" hidden="1">
      <c r="A82" s="251"/>
      <c r="B82" s="17"/>
      <c r="C82" s="358"/>
      <c r="D82" s="274"/>
      <c r="E82" s="407"/>
      <c r="F82" s="190"/>
      <c r="G82" s="199"/>
      <c r="H82" s="188"/>
      <c r="I82" s="368"/>
      <c r="J82" s="275"/>
      <c r="K82" s="189"/>
      <c r="L82" s="167">
        <f t="shared" si="3"/>
        <v>0</v>
      </c>
      <c r="M82" s="198"/>
      <c r="N82" s="358"/>
      <c r="O82" s="198"/>
      <c r="P82" s="198"/>
      <c r="Q82" s="198"/>
      <c r="R82" s="198"/>
      <c r="S82" s="198"/>
      <c r="T82" s="198"/>
      <c r="U82" s="423"/>
      <c r="V82" s="241"/>
      <c r="X82" s="239">
        <f t="shared" si="4"/>
        <v>0</v>
      </c>
    </row>
    <row r="83" spans="1:31" s="7" customFormat="1" ht="15.75" hidden="1">
      <c r="A83" s="251"/>
      <c r="B83" s="17"/>
      <c r="C83" s="358"/>
      <c r="D83" s="274"/>
      <c r="E83" s="407"/>
      <c r="F83" s="190"/>
      <c r="G83" s="199"/>
      <c r="H83" s="188"/>
      <c r="I83" s="368"/>
      <c r="J83" s="275"/>
      <c r="K83" s="189"/>
      <c r="L83" s="167">
        <f t="shared" si="3"/>
        <v>0</v>
      </c>
      <c r="M83" s="198"/>
      <c r="N83" s="358"/>
      <c r="O83" s="198"/>
      <c r="P83" s="198"/>
      <c r="Q83" s="198"/>
      <c r="R83" s="198"/>
      <c r="S83" s="198"/>
      <c r="T83" s="198"/>
      <c r="U83" s="423"/>
      <c r="V83" s="241"/>
      <c r="W83"/>
      <c r="X83" s="239">
        <f t="shared" si="4"/>
        <v>0</v>
      </c>
      <c r="Y83"/>
      <c r="Z83"/>
      <c r="AA83"/>
      <c r="AB83"/>
      <c r="AC83"/>
      <c r="AD83"/>
      <c r="AE83"/>
    </row>
    <row r="84" spans="1:31" s="7" customFormat="1" ht="15.75" hidden="1">
      <c r="A84" s="251"/>
      <c r="B84" s="17"/>
      <c r="C84" s="358"/>
      <c r="D84" s="274"/>
      <c r="E84" s="407"/>
      <c r="F84" s="190"/>
      <c r="G84" s="199"/>
      <c r="H84" s="188"/>
      <c r="I84" s="368"/>
      <c r="J84" s="275"/>
      <c r="K84" s="189"/>
      <c r="L84" s="167">
        <f t="shared" si="3"/>
        <v>0</v>
      </c>
      <c r="M84" s="198"/>
      <c r="N84" s="358"/>
      <c r="O84" s="198"/>
      <c r="P84" s="198"/>
      <c r="Q84" s="198"/>
      <c r="R84" s="198"/>
      <c r="S84" s="198"/>
      <c r="T84" s="198"/>
      <c r="U84" s="423"/>
      <c r="V84" s="241"/>
      <c r="W84"/>
      <c r="X84" s="239">
        <f t="shared" si="4"/>
        <v>0</v>
      </c>
      <c r="Y84"/>
      <c r="Z84"/>
      <c r="AA84"/>
      <c r="AB84"/>
      <c r="AC84"/>
      <c r="AD84"/>
      <c r="AE84"/>
    </row>
    <row r="85" spans="1:31" ht="15.75" hidden="1">
      <c r="A85" s="251"/>
      <c r="B85" s="17"/>
      <c r="C85" s="358"/>
      <c r="D85" s="274"/>
      <c r="E85" s="407"/>
      <c r="F85" s="190"/>
      <c r="G85" s="199"/>
      <c r="H85" s="188"/>
      <c r="I85" s="368"/>
      <c r="J85" s="275"/>
      <c r="K85" s="189"/>
      <c r="L85" s="167">
        <f t="shared" si="3"/>
        <v>0</v>
      </c>
      <c r="M85" s="198"/>
      <c r="N85" s="358"/>
      <c r="O85" s="198"/>
      <c r="P85" s="198"/>
      <c r="Q85" s="198"/>
      <c r="R85" s="198"/>
      <c r="S85" s="198"/>
      <c r="T85" s="198"/>
      <c r="U85" s="423"/>
      <c r="V85" s="241"/>
      <c r="X85" s="239">
        <f t="shared" si="4"/>
        <v>0</v>
      </c>
    </row>
    <row r="86" spans="1:31" ht="15.75" hidden="1">
      <c r="A86" s="252"/>
      <c r="B86" s="3"/>
      <c r="C86" s="359"/>
      <c r="D86" s="277"/>
      <c r="E86" s="406"/>
      <c r="F86" s="193"/>
      <c r="G86" s="200"/>
      <c r="H86" s="194"/>
      <c r="I86" s="262"/>
      <c r="J86" s="400"/>
      <c r="K86" s="195"/>
      <c r="L86" s="170">
        <f t="shared" si="3"/>
        <v>0</v>
      </c>
      <c r="M86" s="201"/>
      <c r="N86" s="359"/>
      <c r="O86" s="201"/>
      <c r="P86" s="201"/>
      <c r="Q86" s="201"/>
      <c r="R86" s="201"/>
      <c r="S86" s="201"/>
      <c r="T86" s="201"/>
      <c r="U86" s="424"/>
      <c r="V86" s="240"/>
      <c r="X86" s="239">
        <f t="shared" si="4"/>
        <v>0</v>
      </c>
    </row>
    <row r="87" spans="1:31" ht="15.75" hidden="1">
      <c r="A87" s="206"/>
      <c r="B87" s="5"/>
      <c r="C87" s="361"/>
      <c r="D87" s="397"/>
      <c r="E87" s="402"/>
      <c r="F87" s="390"/>
      <c r="G87" s="401"/>
      <c r="H87" s="392"/>
      <c r="I87" s="393"/>
      <c r="J87" s="394"/>
      <c r="K87" s="203"/>
      <c r="L87" s="159">
        <f t="shared" si="3"/>
        <v>0</v>
      </c>
      <c r="M87" s="398"/>
      <c r="N87" s="220"/>
      <c r="O87" s="204"/>
      <c r="P87" s="204"/>
      <c r="Q87" s="204"/>
      <c r="R87" s="204"/>
      <c r="S87" s="204"/>
      <c r="T87" s="204"/>
      <c r="U87" s="398"/>
      <c r="V87" s="10"/>
      <c r="X87" s="239">
        <f t="shared" si="4"/>
        <v>0</v>
      </c>
    </row>
    <row r="88" spans="1:31" ht="15.75">
      <c r="A88" s="251"/>
      <c r="B88" s="17"/>
      <c r="C88" s="358"/>
      <c r="D88" s="274"/>
      <c r="E88" s="187"/>
      <c r="F88" s="17"/>
      <c r="G88" s="17"/>
      <c r="H88" s="207"/>
      <c r="I88" s="208"/>
      <c r="J88" s="276"/>
      <c r="K88" s="189"/>
      <c r="L88" s="167"/>
      <c r="M88" s="198"/>
      <c r="N88" s="212"/>
      <c r="O88" s="198"/>
      <c r="P88" s="198"/>
      <c r="Q88" s="198"/>
      <c r="R88" s="198"/>
      <c r="S88" s="198"/>
      <c r="T88" s="198"/>
      <c r="U88" s="241"/>
      <c r="V88" s="24"/>
      <c r="X88" s="239">
        <f t="shared" si="4"/>
        <v>0</v>
      </c>
    </row>
    <row r="89" spans="1:31" ht="15.75">
      <c r="A89" s="251"/>
      <c r="B89" s="17"/>
      <c r="C89" s="358"/>
      <c r="D89" s="274"/>
      <c r="E89" s="187"/>
      <c r="F89" s="17"/>
      <c r="G89" s="17"/>
      <c r="H89" s="207"/>
      <c r="I89" s="208"/>
      <c r="J89" s="276"/>
      <c r="K89" s="189"/>
      <c r="L89" s="167"/>
      <c r="M89" s="198"/>
      <c r="N89" s="212"/>
      <c r="O89" s="198"/>
      <c r="P89" s="198"/>
      <c r="Q89" s="198"/>
      <c r="R89" s="198"/>
      <c r="S89" s="198"/>
      <c r="T89" s="198"/>
      <c r="U89" s="241"/>
      <c r="V89" s="24"/>
      <c r="X89" s="239">
        <f t="shared" si="4"/>
        <v>0</v>
      </c>
    </row>
    <row r="90" spans="1:31" ht="15.75">
      <c r="A90" s="252"/>
      <c r="B90" s="3"/>
      <c r="C90" s="358"/>
      <c r="E90" s="192"/>
      <c r="F90" s="3"/>
      <c r="G90" s="3"/>
      <c r="H90" s="209"/>
      <c r="I90" s="210"/>
      <c r="J90" s="278"/>
      <c r="K90" s="195"/>
      <c r="L90" s="170"/>
      <c r="M90" s="201"/>
      <c r="N90" s="215"/>
      <c r="O90" s="201"/>
      <c r="P90" s="201"/>
      <c r="Q90" s="201"/>
      <c r="R90" s="201"/>
      <c r="S90" s="201"/>
      <c r="T90" s="201"/>
      <c r="U90" s="240"/>
      <c r="V90" s="408"/>
      <c r="X90" s="239">
        <f t="shared" si="4"/>
        <v>0</v>
      </c>
    </row>
    <row r="91" spans="1:31" ht="15.75">
      <c r="A91" s="250"/>
      <c r="B91" s="20"/>
      <c r="C91" s="357"/>
      <c r="D91" s="277"/>
      <c r="E91" s="261"/>
      <c r="F91" s="19"/>
      <c r="G91" s="20"/>
      <c r="H91" s="279"/>
      <c r="I91" s="280"/>
      <c r="J91" s="281"/>
      <c r="K91" s="185"/>
      <c r="L91" s="165"/>
      <c r="M91" s="372"/>
      <c r="N91" s="261"/>
      <c r="O91" s="198"/>
      <c r="P91" s="279"/>
      <c r="Q91" s="20"/>
      <c r="R91" s="182"/>
      <c r="S91" s="182"/>
      <c r="T91" s="182"/>
      <c r="U91" s="1080"/>
      <c r="V91" s="23"/>
      <c r="X91" s="239">
        <f t="shared" si="4"/>
        <v>0</v>
      </c>
    </row>
    <row r="92" spans="1:31" ht="15.75">
      <c r="A92" s="252"/>
      <c r="B92" s="3"/>
      <c r="C92" s="359"/>
      <c r="D92" s="277"/>
      <c r="E92" s="262"/>
      <c r="F92" s="22"/>
      <c r="G92" s="3"/>
      <c r="H92" s="209"/>
      <c r="I92" s="210"/>
      <c r="J92" s="278"/>
      <c r="K92" s="195"/>
      <c r="L92" s="170"/>
      <c r="M92" s="373"/>
      <c r="N92" s="262"/>
      <c r="O92" s="198"/>
      <c r="P92" s="209"/>
      <c r="Q92" s="3"/>
      <c r="R92" s="191"/>
      <c r="S92" s="191"/>
      <c r="T92" s="191"/>
      <c r="U92" s="1081"/>
      <c r="V92" s="6"/>
      <c r="X92" s="239">
        <f t="shared" si="4"/>
        <v>0</v>
      </c>
    </row>
    <row r="93" spans="1:31" ht="31.5" customHeight="1">
      <c r="A93" s="206"/>
      <c r="B93" s="219"/>
      <c r="C93" s="358"/>
      <c r="D93" s="290"/>
      <c r="E93" s="221"/>
      <c r="F93" s="4"/>
      <c r="G93" s="5"/>
      <c r="H93" s="217"/>
      <c r="I93" s="218"/>
      <c r="J93" s="291"/>
      <c r="K93" s="203"/>
      <c r="L93" s="159"/>
      <c r="M93" s="223"/>
      <c r="N93" s="220"/>
      <c r="O93" s="204"/>
      <c r="P93" s="217"/>
      <c r="Q93" s="5"/>
      <c r="R93" s="202"/>
      <c r="S93" s="10"/>
      <c r="T93" s="220"/>
      <c r="U93" s="292"/>
      <c r="V93" s="10"/>
      <c r="X93" s="239">
        <f t="shared" si="4"/>
        <v>0</v>
      </c>
    </row>
    <row r="94" spans="1:31" ht="15.75">
      <c r="A94" s="206"/>
      <c r="B94" s="219"/>
      <c r="C94" s="360"/>
      <c r="D94" s="290"/>
      <c r="E94" s="221"/>
      <c r="F94" s="4"/>
      <c r="G94" s="5"/>
      <c r="H94" s="217"/>
      <c r="I94" s="218"/>
      <c r="J94" s="291"/>
      <c r="K94" s="203"/>
      <c r="L94" s="159"/>
      <c r="M94" s="223"/>
      <c r="N94" s="222"/>
      <c r="O94" s="204"/>
      <c r="P94" s="217"/>
      <c r="Q94" s="5"/>
      <c r="R94" s="202"/>
      <c r="S94" s="10"/>
      <c r="T94" s="220"/>
      <c r="U94" s="292"/>
      <c r="V94" s="10"/>
      <c r="X94" s="239">
        <f t="shared" si="4"/>
        <v>0</v>
      </c>
    </row>
    <row r="95" spans="1:31" ht="15.75">
      <c r="A95" s="253"/>
      <c r="B95" s="296"/>
      <c r="C95" s="358"/>
      <c r="D95" s="297"/>
      <c r="E95" s="298"/>
      <c r="F95" s="20"/>
      <c r="G95" s="20"/>
      <c r="H95" s="300"/>
      <c r="I95" s="300"/>
      <c r="J95" s="281"/>
      <c r="K95" s="185"/>
      <c r="L95" s="165"/>
      <c r="M95" s="197"/>
      <c r="N95" s="301"/>
      <c r="O95" s="197"/>
      <c r="P95" s="300"/>
      <c r="Q95" s="299"/>
      <c r="R95" s="197"/>
      <c r="S95" s="302"/>
      <c r="T95" s="197"/>
      <c r="U95" s="1080"/>
      <c r="V95" s="303"/>
      <c r="X95" s="239">
        <f t="shared" si="4"/>
        <v>0</v>
      </c>
    </row>
    <row r="96" spans="1:31" ht="15.75">
      <c r="A96" s="254"/>
      <c r="B96" s="211"/>
      <c r="C96" s="358"/>
      <c r="D96" s="295"/>
      <c r="E96" s="231"/>
      <c r="F96" s="17"/>
      <c r="G96" s="17"/>
      <c r="H96" s="229"/>
      <c r="I96" s="229"/>
      <c r="J96" s="276"/>
      <c r="K96" s="189"/>
      <c r="L96" s="167"/>
      <c r="M96" s="198"/>
      <c r="N96" s="232"/>
      <c r="O96" s="198"/>
      <c r="P96" s="229"/>
      <c r="Q96" s="226"/>
      <c r="R96" s="198"/>
      <c r="S96" s="228"/>
      <c r="T96" s="198"/>
      <c r="U96" s="1082"/>
      <c r="V96" s="304"/>
      <c r="X96" s="239">
        <f t="shared" si="4"/>
        <v>0</v>
      </c>
    </row>
    <row r="97" spans="1:24" ht="15.75">
      <c r="A97" s="254"/>
      <c r="B97" s="211"/>
      <c r="C97" s="358"/>
      <c r="D97" s="295"/>
      <c r="E97" s="231"/>
      <c r="F97" s="17"/>
      <c r="G97" s="17"/>
      <c r="H97" s="229"/>
      <c r="I97" s="229"/>
      <c r="J97" s="276"/>
      <c r="K97" s="189"/>
      <c r="L97" s="167"/>
      <c r="M97" s="198"/>
      <c r="N97" s="232"/>
      <c r="O97" s="198"/>
      <c r="P97" s="229"/>
      <c r="Q97" s="226"/>
      <c r="R97" s="198"/>
      <c r="S97" s="228"/>
      <c r="T97" s="198"/>
      <c r="U97" s="1082"/>
      <c r="V97" s="304"/>
      <c r="X97" s="239">
        <f t="shared" si="4"/>
        <v>0</v>
      </c>
    </row>
    <row r="98" spans="1:24" ht="15.75">
      <c r="A98" s="254"/>
      <c r="B98" s="211"/>
      <c r="C98" s="358"/>
      <c r="D98" s="295"/>
      <c r="E98" s="231"/>
      <c r="F98" s="17"/>
      <c r="G98" s="17"/>
      <c r="H98" s="229"/>
      <c r="I98" s="227"/>
      <c r="J98" s="276"/>
      <c r="K98" s="189"/>
      <c r="L98" s="167"/>
      <c r="M98" s="198"/>
      <c r="N98" s="232"/>
      <c r="O98" s="198"/>
      <c r="P98" s="229"/>
      <c r="Q98" s="226"/>
      <c r="R98" s="198"/>
      <c r="S98" s="228"/>
      <c r="T98" s="198"/>
      <c r="U98" s="1082"/>
      <c r="V98" s="304"/>
      <c r="X98" s="239">
        <f t="shared" si="4"/>
        <v>0</v>
      </c>
    </row>
    <row r="99" spans="1:24" ht="15.75">
      <c r="A99" s="254"/>
      <c r="B99" s="211"/>
      <c r="C99" s="358"/>
      <c r="D99" s="295"/>
      <c r="E99" s="231"/>
      <c r="F99" s="17"/>
      <c r="G99" s="17"/>
      <c r="H99" s="229"/>
      <c r="I99" s="227"/>
      <c r="J99" s="276"/>
      <c r="K99" s="189"/>
      <c r="L99" s="167"/>
      <c r="M99" s="198"/>
      <c r="N99" s="232"/>
      <c r="O99" s="198"/>
      <c r="P99" s="229"/>
      <c r="Q99" s="226"/>
      <c r="R99" s="198"/>
      <c r="S99" s="228"/>
      <c r="T99" s="198"/>
      <c r="U99" s="1082"/>
      <c r="V99" s="304"/>
      <c r="X99" s="239">
        <f t="shared" si="4"/>
        <v>0</v>
      </c>
    </row>
    <row r="100" spans="1:24" ht="15.75">
      <c r="A100" s="254"/>
      <c r="B100" s="211"/>
      <c r="C100" s="358"/>
      <c r="D100" s="295"/>
      <c r="E100" s="231"/>
      <c r="F100" s="21"/>
      <c r="G100" s="21"/>
      <c r="H100" s="229"/>
      <c r="I100" s="305"/>
      <c r="J100" s="320"/>
      <c r="K100" s="189"/>
      <c r="L100" s="167"/>
      <c r="M100" s="198"/>
      <c r="N100" s="232"/>
      <c r="O100" s="198"/>
      <c r="P100" s="306"/>
      <c r="Q100" s="230"/>
      <c r="R100" s="198"/>
      <c r="S100" s="307"/>
      <c r="T100" s="198"/>
      <c r="U100" s="1082"/>
      <c r="V100" s="308"/>
      <c r="X100" s="239">
        <f t="shared" si="4"/>
        <v>0</v>
      </c>
    </row>
    <row r="101" spans="1:24" ht="15.75">
      <c r="A101" s="254"/>
      <c r="B101" s="211"/>
      <c r="C101" s="358"/>
      <c r="D101" s="295"/>
      <c r="E101" s="231"/>
      <c r="F101" s="21"/>
      <c r="G101" s="21"/>
      <c r="H101" s="229"/>
      <c r="I101" s="305"/>
      <c r="J101" s="320"/>
      <c r="K101" s="189"/>
      <c r="L101" s="167"/>
      <c r="M101" s="198"/>
      <c r="N101" s="232"/>
      <c r="O101" s="198"/>
      <c r="P101" s="306"/>
      <c r="Q101" s="230"/>
      <c r="R101" s="198"/>
      <c r="S101" s="307"/>
      <c r="T101" s="198"/>
      <c r="U101" s="1082"/>
      <c r="V101" s="308"/>
      <c r="X101" s="239">
        <f t="shared" si="4"/>
        <v>0</v>
      </c>
    </row>
    <row r="102" spans="1:24" ht="15.75">
      <c r="A102" s="254"/>
      <c r="B102" s="211"/>
      <c r="C102" s="358"/>
      <c r="D102" s="295"/>
      <c r="E102" s="231"/>
      <c r="F102" s="21"/>
      <c r="G102" s="21"/>
      <c r="H102" s="229"/>
      <c r="I102" s="305"/>
      <c r="J102" s="320"/>
      <c r="K102" s="189"/>
      <c r="L102" s="167"/>
      <c r="M102" s="198"/>
      <c r="N102" s="232"/>
      <c r="O102" s="198"/>
      <c r="P102" s="306"/>
      <c r="Q102" s="230"/>
      <c r="R102" s="198"/>
      <c r="S102" s="307"/>
      <c r="T102" s="198"/>
      <c r="U102" s="1082"/>
      <c r="V102" s="308"/>
      <c r="X102" s="239">
        <f t="shared" si="4"/>
        <v>0</v>
      </c>
    </row>
    <row r="103" spans="1:24" ht="15.75">
      <c r="A103" s="254"/>
      <c r="B103" s="211"/>
      <c r="C103" s="358"/>
      <c r="D103" s="295"/>
      <c r="E103" s="231"/>
      <c r="F103" s="21"/>
      <c r="G103" s="21"/>
      <c r="H103" s="229"/>
      <c r="I103" s="305"/>
      <c r="J103" s="320"/>
      <c r="K103" s="189"/>
      <c r="L103" s="167"/>
      <c r="M103" s="198"/>
      <c r="N103" s="232"/>
      <c r="O103" s="198"/>
      <c r="P103" s="306"/>
      <c r="Q103" s="230"/>
      <c r="R103" s="198"/>
      <c r="S103" s="307"/>
      <c r="T103" s="198"/>
      <c r="U103" s="1082"/>
      <c r="V103" s="308"/>
      <c r="X103" s="239">
        <f t="shared" si="4"/>
        <v>0</v>
      </c>
    </row>
    <row r="104" spans="1:24" ht="15.75">
      <c r="A104" s="255"/>
      <c r="B104" s="214"/>
      <c r="C104" s="358"/>
      <c r="D104" s="309"/>
      <c r="E104" s="310"/>
      <c r="F104" s="22"/>
      <c r="G104" s="22"/>
      <c r="H104" s="312"/>
      <c r="I104" s="313"/>
      <c r="J104" s="321"/>
      <c r="K104" s="195"/>
      <c r="L104" s="170"/>
      <c r="M104" s="201"/>
      <c r="N104" s="314"/>
      <c r="O104" s="201"/>
      <c r="P104" s="315"/>
      <c r="Q104" s="311"/>
      <c r="R104" s="201"/>
      <c r="S104" s="316"/>
      <c r="T104" s="201"/>
      <c r="U104" s="1081"/>
      <c r="V104" s="317"/>
      <c r="X104" s="239">
        <f t="shared" si="4"/>
        <v>0</v>
      </c>
    </row>
    <row r="105" spans="1:24" ht="15.75">
      <c r="A105" s="338"/>
      <c r="B105" s="296"/>
      <c r="C105" s="351"/>
      <c r="D105" s="297"/>
      <c r="E105" s="369"/>
      <c r="F105" s="19"/>
      <c r="G105" s="19"/>
      <c r="H105" s="279"/>
      <c r="I105" s="175"/>
      <c r="J105" s="318"/>
      <c r="K105" s="185"/>
      <c r="L105" s="165"/>
      <c r="M105" s="173"/>
      <c r="N105" s="319"/>
      <c r="O105" s="197"/>
      <c r="P105" s="176"/>
      <c r="Q105" s="19"/>
      <c r="R105" s="197"/>
      <c r="S105" s="341"/>
      <c r="T105" s="197"/>
      <c r="U105" s="1068"/>
      <c r="V105" s="341"/>
      <c r="X105" s="239">
        <f t="shared" si="4"/>
        <v>0</v>
      </c>
    </row>
    <row r="106" spans="1:24" ht="15.75">
      <c r="A106" s="339"/>
      <c r="B106" s="211"/>
      <c r="C106" s="352"/>
      <c r="D106" s="295"/>
      <c r="E106" s="370"/>
      <c r="F106" s="21"/>
      <c r="G106" s="21"/>
      <c r="H106" s="207"/>
      <c r="I106" s="177"/>
      <c r="J106" s="320"/>
      <c r="K106" s="189"/>
      <c r="L106" s="167"/>
      <c r="M106" s="174"/>
      <c r="N106" s="213"/>
      <c r="O106" s="198"/>
      <c r="P106" s="178"/>
      <c r="Q106" s="21"/>
      <c r="R106" s="198"/>
      <c r="S106" s="342"/>
      <c r="T106" s="198"/>
      <c r="U106" s="1069"/>
      <c r="V106" s="342"/>
      <c r="X106" s="239">
        <f t="shared" si="4"/>
        <v>0</v>
      </c>
    </row>
    <row r="107" spans="1:24" ht="15.75">
      <c r="A107" s="339"/>
      <c r="B107" s="211"/>
      <c r="C107" s="352"/>
      <c r="D107" s="295"/>
      <c r="E107" s="370"/>
      <c r="F107" s="21"/>
      <c r="G107" s="21"/>
      <c r="H107" s="207"/>
      <c r="I107" s="177"/>
      <c r="J107" s="320"/>
      <c r="K107" s="189"/>
      <c r="L107" s="167"/>
      <c r="M107" s="174"/>
      <c r="N107" s="213"/>
      <c r="O107" s="198"/>
      <c r="P107" s="178"/>
      <c r="Q107" s="21"/>
      <c r="R107" s="198"/>
      <c r="S107" s="342"/>
      <c r="T107" s="198"/>
      <c r="U107" s="1069"/>
      <c r="V107" s="342"/>
      <c r="X107" s="239">
        <f t="shared" si="4"/>
        <v>0</v>
      </c>
    </row>
    <row r="108" spans="1:24" ht="15.75">
      <c r="A108" s="339"/>
      <c r="B108" s="211"/>
      <c r="C108" s="352"/>
      <c r="D108" s="295"/>
      <c r="E108" s="370"/>
      <c r="F108" s="21"/>
      <c r="G108" s="21"/>
      <c r="H108" s="207"/>
      <c r="I108" s="177"/>
      <c r="J108" s="320"/>
      <c r="K108" s="189"/>
      <c r="L108" s="167"/>
      <c r="M108" s="174"/>
      <c r="N108" s="213"/>
      <c r="O108" s="198"/>
      <c r="P108" s="178"/>
      <c r="Q108" s="21"/>
      <c r="R108" s="198"/>
      <c r="S108" s="342"/>
      <c r="T108" s="198"/>
      <c r="U108" s="1069"/>
      <c r="V108" s="342"/>
      <c r="X108" s="239">
        <f t="shared" si="4"/>
        <v>0</v>
      </c>
    </row>
    <row r="109" spans="1:24" ht="15.75">
      <c r="A109" s="339"/>
      <c r="B109" s="211"/>
      <c r="C109" s="352"/>
      <c r="D109" s="295"/>
      <c r="E109" s="370"/>
      <c r="F109" s="21"/>
      <c r="G109" s="21"/>
      <c r="H109" s="207"/>
      <c r="I109" s="177"/>
      <c r="J109" s="320"/>
      <c r="K109" s="189"/>
      <c r="L109" s="167"/>
      <c r="M109" s="174"/>
      <c r="N109" s="213"/>
      <c r="O109" s="198"/>
      <c r="P109" s="178"/>
      <c r="Q109" s="21"/>
      <c r="R109" s="198"/>
      <c r="S109" s="342"/>
      <c r="T109" s="198"/>
      <c r="U109" s="1069"/>
      <c r="V109" s="342"/>
      <c r="X109" s="239">
        <f t="shared" si="4"/>
        <v>0</v>
      </c>
    </row>
    <row r="110" spans="1:24" ht="15.75">
      <c r="A110" s="339"/>
      <c r="B110" s="211"/>
      <c r="C110" s="352"/>
      <c r="D110" s="295"/>
      <c r="E110" s="370"/>
      <c r="F110" s="21"/>
      <c r="G110" s="21"/>
      <c r="H110" s="207"/>
      <c r="I110" s="177"/>
      <c r="J110" s="320"/>
      <c r="K110" s="189"/>
      <c r="L110" s="167"/>
      <c r="M110" s="174"/>
      <c r="N110" s="213"/>
      <c r="O110" s="198"/>
      <c r="P110" s="178"/>
      <c r="Q110" s="21"/>
      <c r="R110" s="198"/>
      <c r="S110" s="342"/>
      <c r="T110" s="198"/>
      <c r="U110" s="1069"/>
      <c r="V110" s="342"/>
      <c r="X110" s="239">
        <f t="shared" si="4"/>
        <v>0</v>
      </c>
    </row>
    <row r="111" spans="1:24" ht="15.75">
      <c r="A111" s="339"/>
      <c r="B111" s="211"/>
      <c r="C111" s="352"/>
      <c r="D111" s="295"/>
      <c r="E111" s="370"/>
      <c r="F111" s="21"/>
      <c r="G111" s="21"/>
      <c r="H111" s="207"/>
      <c r="I111" s="177"/>
      <c r="J111" s="320"/>
      <c r="K111" s="189"/>
      <c r="L111" s="167"/>
      <c r="M111" s="174"/>
      <c r="N111" s="213"/>
      <c r="O111" s="198"/>
      <c r="P111" s="178"/>
      <c r="Q111" s="21"/>
      <c r="R111" s="198"/>
      <c r="S111" s="342"/>
      <c r="T111" s="198"/>
      <c r="U111" s="1069"/>
      <c r="V111" s="342"/>
      <c r="X111" s="239">
        <f t="shared" si="4"/>
        <v>0</v>
      </c>
    </row>
    <row r="112" spans="1:24" ht="15.75">
      <c r="A112" s="339"/>
      <c r="B112" s="211"/>
      <c r="C112" s="352"/>
      <c r="D112" s="295"/>
      <c r="E112" s="370"/>
      <c r="F112" s="21"/>
      <c r="G112" s="21"/>
      <c r="H112" s="207"/>
      <c r="I112" s="177"/>
      <c r="J112" s="320"/>
      <c r="K112" s="189"/>
      <c r="L112" s="167"/>
      <c r="M112" s="174"/>
      <c r="N112" s="213"/>
      <c r="O112" s="198"/>
      <c r="P112" s="178"/>
      <c r="Q112" s="21"/>
      <c r="R112" s="198"/>
      <c r="S112" s="342"/>
      <c r="T112" s="198"/>
      <c r="U112" s="1069"/>
      <c r="V112" s="342"/>
      <c r="X112" s="239">
        <f t="shared" si="4"/>
        <v>0</v>
      </c>
    </row>
    <row r="113" spans="1:24" ht="15.75">
      <c r="A113" s="339"/>
      <c r="B113" s="211"/>
      <c r="C113" s="352"/>
      <c r="D113" s="295"/>
      <c r="E113" s="370"/>
      <c r="F113" s="21"/>
      <c r="G113" s="21"/>
      <c r="H113" s="207"/>
      <c r="I113" s="177"/>
      <c r="J113" s="320"/>
      <c r="K113" s="189"/>
      <c r="L113" s="167"/>
      <c r="M113" s="174"/>
      <c r="N113" s="213"/>
      <c r="O113" s="198"/>
      <c r="P113" s="178"/>
      <c r="Q113" s="21"/>
      <c r="R113" s="198"/>
      <c r="S113" s="342"/>
      <c r="T113" s="198"/>
      <c r="U113" s="1069"/>
      <c r="V113" s="342"/>
      <c r="X113" s="239">
        <f t="shared" si="4"/>
        <v>0</v>
      </c>
    </row>
    <row r="114" spans="1:24" ht="15.75">
      <c r="A114" s="339"/>
      <c r="B114" s="211"/>
      <c r="C114" s="352"/>
      <c r="D114" s="295"/>
      <c r="E114" s="370"/>
      <c r="F114" s="21"/>
      <c r="G114" s="21"/>
      <c r="H114" s="207"/>
      <c r="I114" s="177"/>
      <c r="J114" s="320"/>
      <c r="K114" s="189"/>
      <c r="L114" s="167"/>
      <c r="M114" s="174"/>
      <c r="N114" s="213"/>
      <c r="O114" s="198"/>
      <c r="P114" s="178"/>
      <c r="Q114" s="21"/>
      <c r="R114" s="198"/>
      <c r="S114" s="342"/>
      <c r="T114" s="198"/>
      <c r="U114" s="1069"/>
      <c r="V114" s="342"/>
      <c r="X114" s="239">
        <f t="shared" si="4"/>
        <v>0</v>
      </c>
    </row>
    <row r="115" spans="1:24" ht="15.75">
      <c r="A115" s="339"/>
      <c r="B115" s="211"/>
      <c r="C115" s="352"/>
      <c r="D115" s="295"/>
      <c r="E115" s="370"/>
      <c r="F115" s="21"/>
      <c r="G115" s="21"/>
      <c r="H115" s="207"/>
      <c r="I115" s="177"/>
      <c r="J115" s="320"/>
      <c r="K115" s="189"/>
      <c r="L115" s="167"/>
      <c r="M115" s="174"/>
      <c r="N115" s="213"/>
      <c r="O115" s="198"/>
      <c r="P115" s="178"/>
      <c r="Q115" s="21"/>
      <c r="R115" s="198"/>
      <c r="S115" s="342"/>
      <c r="T115" s="198"/>
      <c r="U115" s="1069"/>
      <c r="V115" s="342"/>
      <c r="X115" s="239">
        <f t="shared" si="4"/>
        <v>0</v>
      </c>
    </row>
    <row r="116" spans="1:24" ht="15.75">
      <c r="A116" s="339"/>
      <c r="B116" s="211"/>
      <c r="C116" s="352"/>
      <c r="D116" s="295"/>
      <c r="E116" s="370"/>
      <c r="F116" s="21"/>
      <c r="G116" s="21"/>
      <c r="H116" s="207"/>
      <c r="I116" s="177"/>
      <c r="J116" s="320"/>
      <c r="K116" s="189"/>
      <c r="L116" s="167"/>
      <c r="M116" s="174"/>
      <c r="N116" s="213"/>
      <c r="O116" s="198"/>
      <c r="P116" s="178"/>
      <c r="Q116" s="21"/>
      <c r="R116" s="198"/>
      <c r="S116" s="342"/>
      <c r="T116" s="198"/>
      <c r="U116" s="1069"/>
      <c r="V116" s="342"/>
      <c r="X116" s="239">
        <f t="shared" si="4"/>
        <v>0</v>
      </c>
    </row>
    <row r="117" spans="1:24" ht="15.75">
      <c r="A117" s="339"/>
      <c r="B117" s="211"/>
      <c r="C117" s="352"/>
      <c r="D117" s="295"/>
      <c r="E117" s="370"/>
      <c r="F117" s="21"/>
      <c r="G117" s="21"/>
      <c r="H117" s="207"/>
      <c r="I117" s="177"/>
      <c r="J117" s="320"/>
      <c r="K117" s="189"/>
      <c r="L117" s="167"/>
      <c r="M117" s="174"/>
      <c r="N117" s="213"/>
      <c r="O117" s="198"/>
      <c r="P117" s="178"/>
      <c r="Q117" s="21"/>
      <c r="R117" s="198"/>
      <c r="S117" s="342"/>
      <c r="T117" s="198"/>
      <c r="U117" s="1069"/>
      <c r="V117" s="342"/>
      <c r="X117" s="239">
        <f t="shared" si="4"/>
        <v>0</v>
      </c>
    </row>
    <row r="118" spans="1:24" ht="15.75">
      <c r="A118" s="339"/>
      <c r="B118" s="211"/>
      <c r="C118" s="352"/>
      <c r="D118" s="295"/>
      <c r="E118" s="370"/>
      <c r="F118" s="21"/>
      <c r="G118" s="21"/>
      <c r="H118" s="207"/>
      <c r="I118" s="177"/>
      <c r="J118" s="320"/>
      <c r="K118" s="189"/>
      <c r="L118" s="167"/>
      <c r="M118" s="174"/>
      <c r="N118" s="213"/>
      <c r="O118" s="198"/>
      <c r="P118" s="178"/>
      <c r="Q118" s="21"/>
      <c r="R118" s="198"/>
      <c r="S118" s="342"/>
      <c r="T118" s="198"/>
      <c r="U118" s="1069"/>
      <c r="V118" s="342"/>
      <c r="X118" s="239">
        <f t="shared" si="4"/>
        <v>0</v>
      </c>
    </row>
    <row r="119" spans="1:24" ht="15.75">
      <c r="A119" s="339"/>
      <c r="B119" s="211"/>
      <c r="C119" s="352"/>
      <c r="D119" s="295"/>
      <c r="E119" s="370"/>
      <c r="F119" s="21"/>
      <c r="G119" s="21"/>
      <c r="H119" s="207"/>
      <c r="I119" s="177"/>
      <c r="J119" s="320"/>
      <c r="K119" s="189"/>
      <c r="L119" s="167"/>
      <c r="M119" s="174"/>
      <c r="N119" s="213"/>
      <c r="O119" s="198"/>
      <c r="P119" s="178"/>
      <c r="Q119" s="21"/>
      <c r="R119" s="198"/>
      <c r="S119" s="342"/>
      <c r="T119" s="198"/>
      <c r="U119" s="1069"/>
      <c r="V119" s="342"/>
      <c r="X119" s="239">
        <f t="shared" si="4"/>
        <v>0</v>
      </c>
    </row>
    <row r="120" spans="1:24" ht="15.75">
      <c r="A120" s="339"/>
      <c r="B120" s="211"/>
      <c r="C120" s="352"/>
      <c r="D120" s="295"/>
      <c r="E120" s="370"/>
      <c r="F120" s="21"/>
      <c r="G120" s="21"/>
      <c r="H120" s="207"/>
      <c r="I120" s="177"/>
      <c r="J120" s="320"/>
      <c r="K120" s="189"/>
      <c r="L120" s="167"/>
      <c r="M120" s="174"/>
      <c r="N120" s="213"/>
      <c r="O120" s="198"/>
      <c r="P120" s="178"/>
      <c r="Q120" s="21"/>
      <c r="R120" s="198"/>
      <c r="S120" s="342"/>
      <c r="T120" s="198"/>
      <c r="U120" s="1069"/>
      <c r="V120" s="342"/>
      <c r="X120" s="239">
        <f t="shared" si="4"/>
        <v>0</v>
      </c>
    </row>
    <row r="121" spans="1:24" ht="15.75">
      <c r="A121" s="339"/>
      <c r="B121" s="211"/>
      <c r="C121" s="352"/>
      <c r="D121" s="295"/>
      <c r="E121" s="370"/>
      <c r="F121" s="21"/>
      <c r="G121" s="21"/>
      <c r="H121" s="207"/>
      <c r="I121" s="177"/>
      <c r="J121" s="320"/>
      <c r="K121" s="189"/>
      <c r="L121" s="167"/>
      <c r="M121" s="174"/>
      <c r="N121" s="213"/>
      <c r="O121" s="198"/>
      <c r="P121" s="178"/>
      <c r="Q121" s="21"/>
      <c r="R121" s="198"/>
      <c r="S121" s="342"/>
      <c r="T121" s="198"/>
      <c r="U121" s="1069"/>
      <c r="V121" s="342"/>
      <c r="X121" s="239">
        <f t="shared" si="4"/>
        <v>0</v>
      </c>
    </row>
    <row r="122" spans="1:24" ht="15.75">
      <c r="A122" s="340"/>
      <c r="B122" s="214"/>
      <c r="C122" s="353"/>
      <c r="D122" s="309"/>
      <c r="E122" s="371"/>
      <c r="F122" s="22"/>
      <c r="G122" s="22"/>
      <c r="H122" s="209"/>
      <c r="I122" s="179"/>
      <c r="J122" s="321"/>
      <c r="K122" s="195"/>
      <c r="L122" s="170"/>
      <c r="M122" s="163"/>
      <c r="N122" s="216"/>
      <c r="O122" s="201"/>
      <c r="P122" s="180"/>
      <c r="Q122" s="22"/>
      <c r="R122" s="201"/>
      <c r="S122" s="181"/>
      <c r="T122" s="201"/>
      <c r="U122" s="1070"/>
      <c r="V122" s="181"/>
      <c r="X122" s="239">
        <f t="shared" si="4"/>
        <v>0</v>
      </c>
    </row>
    <row r="123" spans="1:24" ht="15.75">
      <c r="A123" s="322"/>
      <c r="B123" s="296"/>
      <c r="C123" s="351"/>
      <c r="D123" s="297"/>
      <c r="E123" s="323"/>
      <c r="F123" s="19"/>
      <c r="G123" s="324"/>
      <c r="H123" s="279"/>
      <c r="I123" s="325"/>
      <c r="J123" s="318"/>
      <c r="K123" s="185"/>
      <c r="L123" s="165"/>
      <c r="M123" s="374"/>
      <c r="N123" s="319"/>
      <c r="O123" s="197"/>
      <c r="P123" s="176"/>
      <c r="Q123" s="19"/>
      <c r="R123" s="197"/>
      <c r="S123" s="341"/>
      <c r="T123" s="197"/>
      <c r="U123" s="1068"/>
      <c r="V123" s="341"/>
      <c r="X123" s="239">
        <f t="shared" si="4"/>
        <v>0</v>
      </c>
    </row>
    <row r="124" spans="1:24" ht="15.75">
      <c r="A124" s="326"/>
      <c r="B124" s="211"/>
      <c r="C124" s="352"/>
      <c r="D124" s="295"/>
      <c r="E124" s="327"/>
      <c r="F124" s="21"/>
      <c r="G124" s="230"/>
      <c r="H124" s="207"/>
      <c r="I124" s="305"/>
      <c r="J124" s="320"/>
      <c r="K124" s="189"/>
      <c r="L124" s="167"/>
      <c r="M124" s="375"/>
      <c r="N124" s="213"/>
      <c r="O124" s="198"/>
      <c r="P124" s="178"/>
      <c r="Q124" s="21"/>
      <c r="R124" s="198"/>
      <c r="S124" s="342"/>
      <c r="T124" s="198"/>
      <c r="U124" s="1069"/>
      <c r="V124" s="342"/>
      <c r="X124" s="239">
        <f t="shared" si="4"/>
        <v>0</v>
      </c>
    </row>
    <row r="125" spans="1:24" ht="15.75">
      <c r="A125" s="326"/>
      <c r="B125" s="211"/>
      <c r="C125" s="352"/>
      <c r="D125" s="295"/>
      <c r="E125" s="327"/>
      <c r="F125" s="21"/>
      <c r="G125" s="230"/>
      <c r="H125" s="207"/>
      <c r="I125" s="305"/>
      <c r="J125" s="320"/>
      <c r="K125" s="189"/>
      <c r="L125" s="167"/>
      <c r="M125" s="375"/>
      <c r="N125" s="213"/>
      <c r="O125" s="198"/>
      <c r="P125" s="178"/>
      <c r="Q125" s="21"/>
      <c r="R125" s="198"/>
      <c r="S125" s="342"/>
      <c r="T125" s="198"/>
      <c r="U125" s="1069"/>
      <c r="V125" s="342"/>
      <c r="X125" s="239">
        <f t="shared" si="4"/>
        <v>0</v>
      </c>
    </row>
    <row r="126" spans="1:24" ht="15.75">
      <c r="A126" s="326"/>
      <c r="B126" s="211"/>
      <c r="C126" s="352"/>
      <c r="D126" s="295"/>
      <c r="E126" s="327"/>
      <c r="F126" s="21"/>
      <c r="G126" s="230"/>
      <c r="H126" s="207"/>
      <c r="I126" s="305"/>
      <c r="J126" s="320"/>
      <c r="K126" s="189"/>
      <c r="L126" s="167"/>
      <c r="M126" s="375"/>
      <c r="N126" s="213"/>
      <c r="O126" s="198"/>
      <c r="P126" s="178"/>
      <c r="Q126" s="21"/>
      <c r="R126" s="198"/>
      <c r="S126" s="342"/>
      <c r="T126" s="198"/>
      <c r="U126" s="1069"/>
      <c r="V126" s="342"/>
      <c r="X126" s="239">
        <f t="shared" si="4"/>
        <v>0</v>
      </c>
    </row>
    <row r="127" spans="1:24" ht="15.75">
      <c r="A127" s="328"/>
      <c r="B127" s="214"/>
      <c r="C127" s="353"/>
      <c r="D127" s="309"/>
      <c r="E127" s="329"/>
      <c r="F127" s="22"/>
      <c r="G127" s="311"/>
      <c r="H127" s="209"/>
      <c r="I127" s="313"/>
      <c r="J127" s="321"/>
      <c r="K127" s="195"/>
      <c r="L127" s="170"/>
      <c r="M127" s="376"/>
      <c r="N127" s="216"/>
      <c r="O127" s="201"/>
      <c r="P127" s="180"/>
      <c r="Q127" s="22"/>
      <c r="R127" s="201"/>
      <c r="S127" s="181"/>
      <c r="T127" s="201"/>
      <c r="U127" s="1070"/>
      <c r="V127" s="181"/>
      <c r="X127" s="239">
        <f t="shared" si="4"/>
        <v>0</v>
      </c>
    </row>
    <row r="128" spans="1:24" ht="15.75">
      <c r="A128" s="322"/>
      <c r="B128" s="296"/>
      <c r="C128" s="354"/>
      <c r="D128" s="297"/>
      <c r="E128" s="323"/>
      <c r="F128" s="19"/>
      <c r="G128" s="324"/>
      <c r="H128" s="279"/>
      <c r="I128" s="325"/>
      <c r="J128" s="318"/>
      <c r="K128" s="185"/>
      <c r="L128" s="165"/>
      <c r="M128" s="377"/>
      <c r="N128" s="319"/>
      <c r="O128" s="197"/>
      <c r="P128" s="176"/>
      <c r="Q128" s="324"/>
      <c r="R128" s="197"/>
      <c r="S128" s="341"/>
      <c r="T128" s="197"/>
      <c r="U128" s="1068"/>
      <c r="V128" s="341"/>
      <c r="X128" s="239">
        <f t="shared" si="4"/>
        <v>0</v>
      </c>
    </row>
    <row r="129" spans="1:24" ht="15.75">
      <c r="A129" s="326"/>
      <c r="B129" s="211"/>
      <c r="C129" s="355"/>
      <c r="D129" s="295"/>
      <c r="E129" s="327"/>
      <c r="F129" s="21"/>
      <c r="G129" s="230"/>
      <c r="H129" s="207"/>
      <c r="I129" s="305"/>
      <c r="J129" s="320"/>
      <c r="K129" s="189"/>
      <c r="L129" s="167"/>
      <c r="M129" s="378"/>
      <c r="N129" s="213"/>
      <c r="O129" s="198"/>
      <c r="P129" s="178"/>
      <c r="Q129" s="230"/>
      <c r="R129" s="198"/>
      <c r="S129" s="342"/>
      <c r="T129" s="198"/>
      <c r="U129" s="1069"/>
      <c r="V129" s="342"/>
      <c r="X129" s="239">
        <f t="shared" si="4"/>
        <v>0</v>
      </c>
    </row>
    <row r="130" spans="1:24" ht="15.75">
      <c r="A130" s="326"/>
      <c r="B130" s="211"/>
      <c r="C130" s="355"/>
      <c r="D130" s="295"/>
      <c r="E130" s="327"/>
      <c r="F130" s="21"/>
      <c r="G130" s="230"/>
      <c r="H130" s="207"/>
      <c r="I130" s="305"/>
      <c r="J130" s="320"/>
      <c r="K130" s="189"/>
      <c r="L130" s="167"/>
      <c r="M130" s="378"/>
      <c r="N130" s="213"/>
      <c r="O130" s="198"/>
      <c r="P130" s="178"/>
      <c r="Q130" s="230"/>
      <c r="R130" s="198"/>
      <c r="S130" s="342"/>
      <c r="T130" s="198"/>
      <c r="U130" s="1069"/>
      <c r="V130" s="342"/>
      <c r="X130" s="239">
        <f t="shared" si="4"/>
        <v>0</v>
      </c>
    </row>
    <row r="131" spans="1:24" ht="15.75">
      <c r="A131" s="326"/>
      <c r="B131" s="211"/>
      <c r="C131" s="355"/>
      <c r="D131" s="295"/>
      <c r="E131" s="327"/>
      <c r="F131" s="21"/>
      <c r="G131" s="230"/>
      <c r="H131" s="207"/>
      <c r="I131" s="305"/>
      <c r="J131" s="320"/>
      <c r="K131" s="189"/>
      <c r="L131" s="167"/>
      <c r="M131" s="378"/>
      <c r="N131" s="213"/>
      <c r="O131" s="198"/>
      <c r="P131" s="178"/>
      <c r="Q131" s="230"/>
      <c r="R131" s="198"/>
      <c r="S131" s="342"/>
      <c r="T131" s="198"/>
      <c r="U131" s="1069"/>
      <c r="V131" s="342"/>
      <c r="X131" s="239">
        <f t="shared" si="4"/>
        <v>0</v>
      </c>
    </row>
    <row r="132" spans="1:24" ht="15.75">
      <c r="A132" s="326"/>
      <c r="B132" s="211"/>
      <c r="C132" s="355"/>
      <c r="D132" s="295"/>
      <c r="E132" s="327"/>
      <c r="F132" s="21"/>
      <c r="G132" s="230"/>
      <c r="H132" s="207"/>
      <c r="I132" s="305"/>
      <c r="J132" s="320"/>
      <c r="K132" s="189"/>
      <c r="L132" s="167"/>
      <c r="M132" s="378"/>
      <c r="N132" s="213"/>
      <c r="O132" s="198"/>
      <c r="P132" s="178"/>
      <c r="Q132" s="230"/>
      <c r="R132" s="198"/>
      <c r="S132" s="342"/>
      <c r="T132" s="198"/>
      <c r="U132" s="1070"/>
      <c r="V132" s="342"/>
      <c r="X132" s="239">
        <f t="shared" si="4"/>
        <v>0</v>
      </c>
    </row>
    <row r="133" spans="1:24" ht="15.75">
      <c r="A133" s="338"/>
      <c r="B133" s="296"/>
      <c r="C133" s="351"/>
      <c r="D133" s="297"/>
      <c r="E133" s="369"/>
      <c r="F133" s="19"/>
      <c r="G133" s="19"/>
      <c r="H133" s="279"/>
      <c r="I133" s="345"/>
      <c r="J133" s="318"/>
      <c r="K133" s="185"/>
      <c r="L133" s="165"/>
      <c r="M133" s="377"/>
      <c r="N133" s="319"/>
      <c r="O133" s="263"/>
      <c r="P133" s="176"/>
      <c r="Q133" s="19"/>
      <c r="R133" s="197"/>
      <c r="S133" s="341"/>
      <c r="T133" s="197"/>
      <c r="U133" s="1068"/>
      <c r="V133" s="341"/>
      <c r="X133" s="239">
        <f t="shared" si="4"/>
        <v>0</v>
      </c>
    </row>
    <row r="134" spans="1:24" ht="15.75">
      <c r="A134" s="339"/>
      <c r="B134" s="211"/>
      <c r="C134" s="352"/>
      <c r="D134" s="295"/>
      <c r="E134" s="370"/>
      <c r="F134" s="21"/>
      <c r="G134" s="21"/>
      <c r="H134" s="207"/>
      <c r="I134" s="346"/>
      <c r="J134" s="320"/>
      <c r="K134" s="189"/>
      <c r="L134" s="167"/>
      <c r="M134" s="378"/>
      <c r="N134" s="213"/>
      <c r="O134" s="264"/>
      <c r="P134" s="178"/>
      <c r="Q134" s="21"/>
      <c r="R134" s="198"/>
      <c r="S134" s="342"/>
      <c r="T134" s="198"/>
      <c r="U134" s="1069"/>
      <c r="V134" s="342"/>
      <c r="X134" s="239">
        <f t="shared" si="4"/>
        <v>0</v>
      </c>
    </row>
    <row r="135" spans="1:24" ht="15.75">
      <c r="A135" s="339"/>
      <c r="B135" s="211"/>
      <c r="C135" s="352"/>
      <c r="D135" s="295"/>
      <c r="E135" s="370"/>
      <c r="F135" s="21"/>
      <c r="G135" s="21"/>
      <c r="H135" s="207"/>
      <c r="I135" s="346"/>
      <c r="J135" s="320"/>
      <c r="K135" s="189"/>
      <c r="L135" s="167"/>
      <c r="M135" s="378"/>
      <c r="N135" s="213"/>
      <c r="O135" s="264"/>
      <c r="P135" s="178"/>
      <c r="Q135" s="21"/>
      <c r="R135" s="198"/>
      <c r="S135" s="342"/>
      <c r="T135" s="198"/>
      <c r="U135" s="1069"/>
      <c r="V135" s="342"/>
      <c r="X135" s="239">
        <f t="shared" si="4"/>
        <v>0</v>
      </c>
    </row>
    <row r="136" spans="1:24" ht="15.75">
      <c r="A136" s="339"/>
      <c r="B136" s="211"/>
      <c r="C136" s="352"/>
      <c r="D136" s="295"/>
      <c r="E136" s="370"/>
      <c r="F136" s="21"/>
      <c r="G136" s="21"/>
      <c r="H136" s="207"/>
      <c r="I136" s="346"/>
      <c r="J136" s="320"/>
      <c r="K136" s="189"/>
      <c r="L136" s="167"/>
      <c r="M136" s="378"/>
      <c r="N136" s="213"/>
      <c r="O136" s="264"/>
      <c r="P136" s="178"/>
      <c r="Q136" s="21"/>
      <c r="R136" s="198"/>
      <c r="S136" s="342"/>
      <c r="T136" s="198"/>
      <c r="U136" s="1069"/>
      <c r="V136" s="342"/>
      <c r="X136" s="239">
        <f t="shared" si="4"/>
        <v>0</v>
      </c>
    </row>
    <row r="137" spans="1:24" ht="15.75">
      <c r="A137" s="340"/>
      <c r="B137" s="214"/>
      <c r="C137" s="353"/>
      <c r="D137" s="309"/>
      <c r="E137" s="371"/>
      <c r="F137" s="22"/>
      <c r="G137" s="22"/>
      <c r="H137" s="209"/>
      <c r="I137" s="347"/>
      <c r="J137" s="321"/>
      <c r="K137" s="195"/>
      <c r="L137" s="170"/>
      <c r="M137" s="379"/>
      <c r="N137" s="216"/>
      <c r="O137" s="343"/>
      <c r="P137" s="180"/>
      <c r="Q137" s="22"/>
      <c r="R137" s="201"/>
      <c r="S137" s="181"/>
      <c r="T137" s="201"/>
      <c r="U137" s="1070"/>
      <c r="V137" s="181"/>
      <c r="X137" s="239">
        <f t="shared" si="4"/>
        <v>0</v>
      </c>
    </row>
    <row r="138" spans="1:24" ht="15.75">
      <c r="A138" s="338"/>
      <c r="B138" s="348"/>
      <c r="C138" s="351"/>
      <c r="D138" s="297"/>
      <c r="E138" s="323"/>
      <c r="F138" s="19"/>
      <c r="G138" s="324"/>
      <c r="H138" s="279"/>
      <c r="I138" s="325"/>
      <c r="J138" s="318"/>
      <c r="K138" s="185"/>
      <c r="L138" s="165"/>
      <c r="M138" s="377"/>
      <c r="N138" s="319"/>
      <c r="O138" s="263"/>
      <c r="P138" s="344"/>
      <c r="Q138" s="19"/>
      <c r="R138" s="197"/>
      <c r="S138" s="341"/>
      <c r="T138" s="197"/>
      <c r="U138" s="1068"/>
      <c r="V138" s="341"/>
      <c r="X138" s="239">
        <f t="shared" si="4"/>
        <v>0</v>
      </c>
    </row>
    <row r="139" spans="1:24" ht="15.75">
      <c r="A139" s="339"/>
      <c r="B139" s="230"/>
      <c r="C139" s="352"/>
      <c r="D139" s="21"/>
      <c r="E139" s="327"/>
      <c r="F139" s="21"/>
      <c r="G139" s="230"/>
      <c r="H139" s="207"/>
      <c r="I139" s="305"/>
      <c r="J139" s="320"/>
      <c r="K139" s="189"/>
      <c r="L139" s="167"/>
      <c r="M139" s="378"/>
      <c r="N139" s="213"/>
      <c r="O139" s="264"/>
      <c r="P139" s="306"/>
      <c r="Q139" s="21"/>
      <c r="R139" s="198"/>
      <c r="S139" s="342"/>
      <c r="T139" s="198"/>
      <c r="U139" s="1069"/>
      <c r="V139" s="342"/>
      <c r="X139" s="239">
        <f t="shared" si="4"/>
        <v>0</v>
      </c>
    </row>
    <row r="140" spans="1:24" ht="15.75">
      <c r="A140" s="340"/>
      <c r="B140" s="311"/>
      <c r="C140" s="353"/>
      <c r="D140" s="22"/>
      <c r="E140" s="329"/>
      <c r="F140" s="22"/>
      <c r="G140" s="311"/>
      <c r="H140" s="209"/>
      <c r="I140" s="313"/>
      <c r="J140" s="321"/>
      <c r="K140" s="195"/>
      <c r="L140" s="170"/>
      <c r="M140" s="379"/>
      <c r="N140" s="216"/>
      <c r="O140" s="343"/>
      <c r="P140" s="315"/>
      <c r="Q140" s="22"/>
      <c r="R140" s="201"/>
      <c r="S140" s="181"/>
      <c r="T140" s="201"/>
      <c r="U140" s="1070"/>
      <c r="V140" s="181"/>
      <c r="X140" s="239">
        <f t="shared" si="4"/>
        <v>0</v>
      </c>
    </row>
    <row r="141" spans="1:24" ht="15.75">
      <c r="A141" s="322"/>
      <c r="B141" s="20"/>
      <c r="C141" s="354"/>
      <c r="D141" s="19"/>
      <c r="E141" s="323"/>
      <c r="F141" s="324"/>
      <c r="G141" s="19"/>
      <c r="H141" s="279"/>
      <c r="I141" s="325"/>
      <c r="J141" s="318"/>
      <c r="K141" s="185"/>
      <c r="L141" s="165"/>
      <c r="M141" s="380"/>
      <c r="N141" s="319"/>
      <c r="O141" s="263"/>
      <c r="P141" s="344"/>
      <c r="Q141" s="19"/>
      <c r="R141" s="323"/>
      <c r="S141" s="341"/>
      <c r="T141" s="197"/>
      <c r="U141" s="1068"/>
      <c r="V141" s="341"/>
      <c r="X141" s="239">
        <f t="shared" si="4"/>
        <v>0</v>
      </c>
    </row>
    <row r="142" spans="1:24" ht="15.75">
      <c r="A142" s="328"/>
      <c r="B142" s="22"/>
      <c r="C142" s="356"/>
      <c r="D142" s="22"/>
      <c r="E142" s="329"/>
      <c r="F142" s="311"/>
      <c r="G142" s="22"/>
      <c r="H142" s="209"/>
      <c r="I142" s="313"/>
      <c r="J142" s="321"/>
      <c r="K142" s="195"/>
      <c r="L142" s="170"/>
      <c r="M142" s="381"/>
      <c r="N142" s="216"/>
      <c r="O142" s="343"/>
      <c r="P142" s="315"/>
      <c r="Q142" s="22"/>
      <c r="R142" s="329"/>
      <c r="S142" s="181"/>
      <c r="T142" s="201"/>
      <c r="U142" s="1070"/>
      <c r="V142" s="181"/>
      <c r="X142" s="239">
        <f t="shared" ref="X142" si="5">L142/1000</f>
        <v>0</v>
      </c>
    </row>
  </sheetData>
  <autoFilter ref="A12:AE87">
    <filterColumn colId="17">
      <filters>
        <filter val="Measurement"/>
      </filters>
    </filterColumn>
  </autoFilter>
  <dataConsolidate/>
  <mergeCells count="36">
    <mergeCell ref="V11:V12"/>
    <mergeCell ref="U138:U140"/>
    <mergeCell ref="U141:U142"/>
    <mergeCell ref="U123:U127"/>
    <mergeCell ref="U128:U132"/>
    <mergeCell ref="U133:U137"/>
    <mergeCell ref="M13:M17"/>
    <mergeCell ref="M19:M21"/>
    <mergeCell ref="U91:U92"/>
    <mergeCell ref="U95:U104"/>
    <mergeCell ref="U105:U122"/>
    <mergeCell ref="M24:M33"/>
    <mergeCell ref="M34:M39"/>
    <mergeCell ref="M40:M41"/>
    <mergeCell ref="M42:M45"/>
    <mergeCell ref="U13:U17"/>
    <mergeCell ref="U24:U33"/>
    <mergeCell ref="U34:U39"/>
    <mergeCell ref="U40:U41"/>
    <mergeCell ref="U42:U45"/>
    <mergeCell ref="A1:C1"/>
    <mergeCell ref="AA3:AA4"/>
    <mergeCell ref="AB3:AD3"/>
    <mergeCell ref="AE3:AE4"/>
    <mergeCell ref="A11:A12"/>
    <mergeCell ref="B11:B12"/>
    <mergeCell ref="C11:C12"/>
    <mergeCell ref="D11:D12"/>
    <mergeCell ref="E11:E12"/>
    <mergeCell ref="N11:N12"/>
    <mergeCell ref="X11:X12"/>
    <mergeCell ref="P11:Q11"/>
    <mergeCell ref="R11:R12"/>
    <mergeCell ref="S11:S12"/>
    <mergeCell ref="T11:T12"/>
    <mergeCell ref="U11:U1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2"/>
  <sheetViews>
    <sheetView topLeftCell="A10" zoomScale="70" zoomScaleNormal="70" workbookViewId="0">
      <pane xSplit="5" ySplit="3" topLeftCell="U13" activePane="bottomRight" state="frozen"/>
      <selection activeCell="A10" sqref="A10"/>
      <selection pane="topRight" activeCell="F10" sqref="F10"/>
      <selection pane="bottomLeft" activeCell="A13" sqref="A13"/>
      <selection pane="bottomRight" activeCell="U22" sqref="U22"/>
    </sheetView>
  </sheetViews>
  <sheetFormatPr defaultRowHeight="15"/>
  <cols>
    <col min="1" max="1" width="9.140625" style="156" customWidth="1"/>
    <col min="2" max="2" width="22.28515625" customWidth="1"/>
    <col min="3" max="3" width="14.7109375" style="350" customWidth="1"/>
    <col min="4" max="4" width="22.42578125" customWidth="1"/>
    <col min="5" max="5" width="22.7109375" style="9" customWidth="1"/>
    <col min="6" max="6" width="41" customWidth="1"/>
    <col min="7" max="7" width="27.28515625" customWidth="1"/>
    <col min="8" max="8" width="14.85546875" customWidth="1"/>
    <col min="9" max="9" width="13" style="153" customWidth="1"/>
    <col min="10" max="10" width="14.7109375" style="267" customWidth="1"/>
    <col min="11" max="11" width="13.140625" customWidth="1"/>
    <col min="12" max="12" width="13" customWidth="1"/>
    <col min="13" max="13" width="12.42578125" style="162" customWidth="1"/>
    <col min="14" max="14" width="13.7109375" style="9" customWidth="1"/>
    <col min="15" max="15" width="32.140625" style="9" customWidth="1"/>
    <col min="16" max="16" width="23.85546875" style="1" customWidth="1"/>
    <col min="17" max="17" width="15.5703125" customWidth="1"/>
    <col min="18" max="18" width="17.7109375" style="9" customWidth="1"/>
    <col min="19" max="19" width="16.7109375" style="7" customWidth="1"/>
    <col min="20" max="20" width="18.7109375" style="404" customWidth="1"/>
    <col min="21" max="21" width="20.85546875" style="238" customWidth="1"/>
    <col min="22" max="22" width="15.140625" style="7" customWidth="1"/>
    <col min="24" max="24" width="16.7109375" customWidth="1"/>
    <col min="25" max="25" width="14.42578125" customWidth="1"/>
    <col min="26" max="26" width="13.7109375" customWidth="1"/>
    <col min="27" max="27" width="19.7109375" bestFit="1" customWidth="1"/>
    <col min="28" max="30" width="11" customWidth="1"/>
    <col min="31" max="31" width="13.28515625" customWidth="1"/>
    <col min="32" max="32" width="16.140625" customWidth="1"/>
  </cols>
  <sheetData>
    <row r="1" spans="1:31" ht="34.5" customHeight="1">
      <c r="A1" s="1023">
        <v>43891</v>
      </c>
      <c r="B1" s="1023"/>
      <c r="C1" s="1023"/>
      <c r="D1" s="2"/>
      <c r="E1" s="447"/>
      <c r="F1" s="2"/>
      <c r="G1" s="2"/>
      <c r="H1" s="2"/>
      <c r="I1" s="152"/>
      <c r="J1" s="152"/>
      <c r="K1" s="2"/>
      <c r="L1" s="2"/>
      <c r="M1" s="160"/>
      <c r="N1" s="447"/>
      <c r="O1" s="447"/>
      <c r="P1" s="8"/>
      <c r="Q1" s="2"/>
      <c r="R1" s="447"/>
      <c r="S1" s="447"/>
      <c r="T1" s="2"/>
      <c r="U1" s="233"/>
    </row>
    <row r="2" spans="1:31" ht="34.5" customHeight="1">
      <c r="A2" s="157"/>
      <c r="B2" s="44"/>
      <c r="C2" s="349"/>
      <c r="D2" s="2"/>
      <c r="E2" s="447"/>
      <c r="F2" s="2"/>
      <c r="G2" s="2"/>
      <c r="H2" s="2"/>
      <c r="I2" s="152"/>
      <c r="J2" s="152"/>
      <c r="K2" s="2"/>
      <c r="L2" s="2"/>
      <c r="M2" s="160"/>
      <c r="N2" s="447"/>
      <c r="O2" s="447"/>
      <c r="P2" s="8"/>
      <c r="Q2" s="2"/>
      <c r="R2" s="447"/>
      <c r="S2" s="447"/>
      <c r="T2" s="2"/>
      <c r="U2" s="233"/>
    </row>
    <row r="3" spans="1:31" ht="54.75" customHeight="1">
      <c r="A3" s="157"/>
      <c r="B3" s="44"/>
      <c r="C3" s="349"/>
      <c r="D3" s="2"/>
      <c r="E3" s="447"/>
      <c r="F3" s="2"/>
      <c r="G3" s="2"/>
      <c r="H3" s="2"/>
      <c r="I3" s="152"/>
      <c r="J3" s="152"/>
      <c r="K3" s="2"/>
      <c r="L3" s="2"/>
      <c r="M3" s="160"/>
      <c r="N3" s="448" t="s">
        <v>0</v>
      </c>
      <c r="O3" s="450" t="s">
        <v>16</v>
      </c>
      <c r="P3" s="450" t="s">
        <v>27</v>
      </c>
      <c r="Q3" s="450" t="s">
        <v>14</v>
      </c>
      <c r="R3" s="450" t="s">
        <v>31</v>
      </c>
      <c r="S3" s="450" t="s">
        <v>203</v>
      </c>
      <c r="T3" s="155" t="s">
        <v>46</v>
      </c>
      <c r="U3" s="234" t="s">
        <v>45</v>
      </c>
      <c r="AA3" s="1024" t="s">
        <v>14</v>
      </c>
      <c r="AB3" s="1026" t="s">
        <v>3</v>
      </c>
      <c r="AC3" s="1027"/>
      <c r="AD3" s="1028"/>
      <c r="AE3" s="1009" t="s">
        <v>21</v>
      </c>
    </row>
    <row r="4" spans="1:31" ht="46.5" customHeight="1">
      <c r="A4" s="157"/>
      <c r="B4" s="44"/>
      <c r="C4" s="349"/>
      <c r="D4" s="2"/>
      <c r="E4" s="447"/>
      <c r="F4" s="2"/>
      <c r="G4" s="2"/>
      <c r="H4" s="2"/>
      <c r="I4" s="152"/>
      <c r="J4" s="152"/>
      <c r="K4" s="2"/>
      <c r="L4" s="2"/>
      <c r="M4" s="160"/>
      <c r="N4" s="32">
        <v>1</v>
      </c>
      <c r="O4" s="32" t="s">
        <v>28</v>
      </c>
      <c r="P4" s="32">
        <v>7</v>
      </c>
      <c r="Q4" s="32" t="s">
        <v>24</v>
      </c>
      <c r="R4" s="32" t="s">
        <v>32</v>
      </c>
      <c r="S4" s="32" t="s">
        <v>4</v>
      </c>
      <c r="T4" s="101"/>
      <c r="U4" s="235" t="s">
        <v>178</v>
      </c>
      <c r="AA4" s="1025"/>
      <c r="AB4" s="118" t="s">
        <v>20</v>
      </c>
      <c r="AC4" s="119" t="s">
        <v>22</v>
      </c>
      <c r="AD4" s="120" t="s">
        <v>23</v>
      </c>
      <c r="AE4" s="1010"/>
    </row>
    <row r="5" spans="1:31" ht="48.75" customHeight="1">
      <c r="A5" s="157"/>
      <c r="B5" s="44"/>
      <c r="C5" s="349"/>
      <c r="D5" s="2"/>
      <c r="E5" s="447"/>
      <c r="F5" s="447"/>
      <c r="G5" s="2"/>
      <c r="H5" s="2"/>
      <c r="I5" s="152"/>
      <c r="J5" s="152"/>
      <c r="K5" s="2"/>
      <c r="L5" s="2"/>
      <c r="M5" s="160"/>
      <c r="N5" s="61">
        <v>2</v>
      </c>
      <c r="O5" s="61" t="s">
        <v>180</v>
      </c>
      <c r="P5" s="61">
        <v>4</v>
      </c>
      <c r="Q5" s="61" t="s">
        <v>24</v>
      </c>
      <c r="R5" s="61" t="s">
        <v>32</v>
      </c>
      <c r="S5" s="61" t="s">
        <v>7</v>
      </c>
      <c r="T5" s="403"/>
      <c r="U5" s="236" t="s">
        <v>178</v>
      </c>
      <c r="AA5" s="121" t="s">
        <v>24</v>
      </c>
      <c r="AB5" s="121"/>
      <c r="AC5" s="121"/>
      <c r="AD5" s="121"/>
      <c r="AE5" s="121">
        <f>SUM(AB5:AD5)</f>
        <v>0</v>
      </c>
    </row>
    <row r="6" spans="1:31" ht="37.5" customHeight="1">
      <c r="A6" s="157"/>
      <c r="B6" s="44"/>
      <c r="C6" s="349"/>
      <c r="D6" s="2"/>
      <c r="E6" s="447"/>
      <c r="F6" s="2"/>
      <c r="G6" s="2"/>
      <c r="H6" s="2"/>
      <c r="I6" s="152"/>
      <c r="J6" s="152"/>
      <c r="K6" s="2"/>
      <c r="L6" s="2"/>
      <c r="M6" s="160"/>
      <c r="N6" s="32">
        <v>3</v>
      </c>
      <c r="O6" s="32" t="s">
        <v>217</v>
      </c>
      <c r="P6" s="32">
        <v>1</v>
      </c>
      <c r="Q6" s="32" t="s">
        <v>218</v>
      </c>
      <c r="R6" s="32" t="s">
        <v>32</v>
      </c>
      <c r="S6" s="32"/>
      <c r="T6" s="101" t="s">
        <v>29</v>
      </c>
      <c r="U6" s="235" t="s">
        <v>29</v>
      </c>
      <c r="AA6" s="124" t="s">
        <v>171</v>
      </c>
      <c r="AB6" s="61"/>
      <c r="AC6" s="124"/>
      <c r="AD6" s="61"/>
      <c r="AE6" s="61">
        <f>+AB6+AC6+AD6</f>
        <v>0</v>
      </c>
    </row>
    <row r="7" spans="1:31" ht="38.25" customHeight="1">
      <c r="A7" s="157"/>
      <c r="B7" s="44"/>
      <c r="C7" s="349"/>
      <c r="D7" s="2"/>
      <c r="E7" s="447"/>
      <c r="F7" s="2"/>
      <c r="G7" s="2"/>
      <c r="H7" s="2"/>
      <c r="I7" s="152"/>
      <c r="J7" s="152"/>
      <c r="K7" s="2"/>
      <c r="L7" s="2"/>
      <c r="M7" s="160"/>
      <c r="N7" s="61"/>
      <c r="O7" s="61"/>
      <c r="P7" s="61"/>
      <c r="Q7" s="61"/>
      <c r="R7" s="61"/>
      <c r="S7" s="61"/>
      <c r="T7" s="403"/>
      <c r="U7" s="236"/>
      <c r="AA7" s="121" t="s">
        <v>21</v>
      </c>
      <c r="AB7" s="121">
        <f>AB5+AB6</f>
        <v>0</v>
      </c>
      <c r="AC7" s="121">
        <f>AC5+AC6</f>
        <v>0</v>
      </c>
      <c r="AD7" s="121">
        <f>AD5+AD6</f>
        <v>0</v>
      </c>
      <c r="AE7" s="121">
        <f>AE5+AE6</f>
        <v>0</v>
      </c>
    </row>
    <row r="8" spans="1:31" ht="34.5" customHeight="1">
      <c r="A8" s="157"/>
      <c r="B8" s="44"/>
      <c r="C8" s="349"/>
      <c r="D8" s="2"/>
      <c r="E8" s="447"/>
      <c r="F8" s="2"/>
      <c r="G8" s="2"/>
      <c r="H8" s="2"/>
      <c r="I8" s="152"/>
      <c r="J8" s="152"/>
      <c r="K8" s="2"/>
      <c r="L8" s="2"/>
      <c r="M8" s="160"/>
      <c r="N8" s="32"/>
      <c r="O8" s="32"/>
      <c r="P8" s="32"/>
      <c r="Q8" s="32"/>
      <c r="R8" s="32"/>
      <c r="S8" s="32"/>
      <c r="T8" s="101"/>
      <c r="U8" s="235"/>
      <c r="AB8" s="138" t="e">
        <f>+AB7/$AE$7</f>
        <v>#DIV/0!</v>
      </c>
      <c r="AC8" s="138" t="e">
        <f t="shared" ref="AC8:AD8" si="0">+AC7/$AE$7</f>
        <v>#DIV/0!</v>
      </c>
      <c r="AD8" s="138" t="e">
        <f t="shared" si="0"/>
        <v>#DIV/0!</v>
      </c>
    </row>
    <row r="9" spans="1:31" ht="34.5" customHeight="1">
      <c r="A9" s="157"/>
      <c r="B9" s="44"/>
      <c r="C9" s="349"/>
      <c r="D9" s="2"/>
      <c r="E9" s="447"/>
      <c r="F9" s="2"/>
      <c r="G9" s="2"/>
      <c r="H9" s="2"/>
      <c r="I9" s="152"/>
      <c r="J9" s="152"/>
      <c r="K9" s="2"/>
      <c r="L9" s="2"/>
      <c r="M9" s="160"/>
      <c r="N9" s="447"/>
      <c r="O9" s="447"/>
      <c r="P9" s="8"/>
      <c r="Q9" s="2"/>
      <c r="R9" s="447"/>
      <c r="S9" s="447"/>
      <c r="T9" s="2"/>
      <c r="U9" s="233"/>
    </row>
    <row r="10" spans="1:31" ht="26.25" customHeight="1">
      <c r="T10" s="404" t="s">
        <v>198</v>
      </c>
      <c r="U10" s="237">
        <v>23580</v>
      </c>
    </row>
    <row r="11" spans="1:31" ht="30.75" customHeight="1">
      <c r="A11" s="1011" t="s">
        <v>0</v>
      </c>
      <c r="B11" s="1013" t="s">
        <v>1</v>
      </c>
      <c r="C11" s="1015" t="s">
        <v>13</v>
      </c>
      <c r="D11" s="1013" t="s">
        <v>14</v>
      </c>
      <c r="E11" s="1013" t="s">
        <v>37</v>
      </c>
      <c r="F11" s="365" t="s">
        <v>9</v>
      </c>
      <c r="G11" s="366"/>
      <c r="H11" s="366"/>
      <c r="I11" s="366"/>
      <c r="J11" s="366"/>
      <c r="K11" s="366"/>
      <c r="L11" s="366"/>
      <c r="M11" s="367"/>
      <c r="N11" s="1017" t="s">
        <v>5</v>
      </c>
      <c r="O11" s="155" t="s">
        <v>205</v>
      </c>
      <c r="P11" s="1032" t="s">
        <v>10</v>
      </c>
      <c r="Q11" s="1033"/>
      <c r="R11" s="1034" t="s">
        <v>203</v>
      </c>
      <c r="S11" s="1013" t="s">
        <v>2</v>
      </c>
      <c r="T11" s="1019" t="s">
        <v>35</v>
      </c>
      <c r="U11" s="451" t="s">
        <v>190</v>
      </c>
      <c r="V11" s="1071" t="s">
        <v>184</v>
      </c>
      <c r="X11" s="1021" t="s">
        <v>206</v>
      </c>
    </row>
    <row r="12" spans="1:31" ht="23.25" customHeight="1">
      <c r="A12" s="1012"/>
      <c r="B12" s="1014"/>
      <c r="C12" s="1016"/>
      <c r="D12" s="1014"/>
      <c r="E12" s="1014"/>
      <c r="F12" s="151" t="s">
        <v>15</v>
      </c>
      <c r="G12" s="151" t="s">
        <v>16</v>
      </c>
      <c r="H12" s="151" t="s">
        <v>193</v>
      </c>
      <c r="I12" s="154" t="s">
        <v>195</v>
      </c>
      <c r="J12" s="268" t="s">
        <v>194</v>
      </c>
      <c r="K12" s="151" t="s">
        <v>195</v>
      </c>
      <c r="L12" s="151" t="s">
        <v>21</v>
      </c>
      <c r="M12" s="161" t="s">
        <v>34</v>
      </c>
      <c r="N12" s="1018"/>
      <c r="O12" s="158"/>
      <c r="P12" s="449" t="s">
        <v>17</v>
      </c>
      <c r="Q12" s="448" t="s">
        <v>3</v>
      </c>
      <c r="R12" s="1013"/>
      <c r="S12" s="1014"/>
      <c r="T12" s="1020"/>
      <c r="U12" s="452"/>
      <c r="V12" s="1013"/>
      <c r="X12" s="1022"/>
    </row>
    <row r="13" spans="1:31" s="9" customFormat="1" ht="15.75">
      <c r="A13" s="250">
        <v>24</v>
      </c>
      <c r="B13" s="20" t="s">
        <v>366</v>
      </c>
      <c r="C13" s="357">
        <v>43984</v>
      </c>
      <c r="D13" s="20" t="s">
        <v>24</v>
      </c>
      <c r="E13" s="183" t="s">
        <v>367</v>
      </c>
      <c r="F13" s="248" t="s">
        <v>368</v>
      </c>
      <c r="G13" s="172" t="s">
        <v>180</v>
      </c>
      <c r="H13" s="164">
        <v>22</v>
      </c>
      <c r="I13" s="382" t="s">
        <v>207</v>
      </c>
      <c r="J13" s="383">
        <v>0.5</v>
      </c>
      <c r="K13" s="185" t="s">
        <v>197</v>
      </c>
      <c r="L13" s="165">
        <f>J13*H13</f>
        <v>11</v>
      </c>
      <c r="M13" s="1072">
        <v>4.96</v>
      </c>
      <c r="N13" s="357">
        <v>43984</v>
      </c>
      <c r="O13" s="197" t="s">
        <v>219</v>
      </c>
      <c r="P13" s="197"/>
      <c r="Q13" s="197"/>
      <c r="R13" s="197" t="s">
        <v>7</v>
      </c>
      <c r="S13" s="197"/>
      <c r="T13" s="197" t="s">
        <v>178</v>
      </c>
      <c r="U13" s="1086">
        <f>63.54*23300</f>
        <v>1480482</v>
      </c>
      <c r="V13" s="197"/>
      <c r="W13"/>
      <c r="X13" s="239">
        <f>L13/1000</f>
        <v>1.0999999999999999E-2</v>
      </c>
      <c r="Y13"/>
      <c r="Z13"/>
      <c r="AA13"/>
      <c r="AB13"/>
      <c r="AC13"/>
      <c r="AD13"/>
      <c r="AE13"/>
    </row>
    <row r="14" spans="1:31" s="9" customFormat="1" ht="15.75">
      <c r="A14" s="251">
        <v>24</v>
      </c>
      <c r="B14" s="17" t="s">
        <v>366</v>
      </c>
      <c r="C14" s="358">
        <v>43984</v>
      </c>
      <c r="D14" s="17" t="s">
        <v>24</v>
      </c>
      <c r="E14" s="187" t="s">
        <v>367</v>
      </c>
      <c r="F14" s="246" t="s">
        <v>369</v>
      </c>
      <c r="G14" s="89" t="s">
        <v>180</v>
      </c>
      <c r="H14" s="166">
        <v>50</v>
      </c>
      <c r="I14" s="384" t="s">
        <v>207</v>
      </c>
      <c r="J14" s="385">
        <v>0.2</v>
      </c>
      <c r="K14" s="189" t="s">
        <v>197</v>
      </c>
      <c r="L14" s="167">
        <f>J14*H14</f>
        <v>10</v>
      </c>
      <c r="M14" s="1073"/>
      <c r="N14" s="358">
        <v>43984</v>
      </c>
      <c r="O14" s="198" t="s">
        <v>219</v>
      </c>
      <c r="P14" s="198"/>
      <c r="Q14" s="198"/>
      <c r="R14" s="198" t="s">
        <v>7</v>
      </c>
      <c r="S14" s="198"/>
      <c r="T14" s="198" t="s">
        <v>178</v>
      </c>
      <c r="U14" s="1088"/>
      <c r="V14" s="198"/>
      <c r="W14"/>
      <c r="X14" s="239">
        <f t="shared" ref="X14:X77" si="1">L14/1000</f>
        <v>0.01</v>
      </c>
      <c r="Y14"/>
      <c r="Z14"/>
      <c r="AA14"/>
      <c r="AB14"/>
      <c r="AC14"/>
      <c r="AD14"/>
      <c r="AE14"/>
    </row>
    <row r="15" spans="1:31" s="9" customFormat="1" ht="15.75">
      <c r="A15" s="250">
        <v>25</v>
      </c>
      <c r="B15" s="20" t="s">
        <v>370</v>
      </c>
      <c r="C15" s="357">
        <v>43987</v>
      </c>
      <c r="D15" s="20" t="s">
        <v>24</v>
      </c>
      <c r="E15" s="183" t="s">
        <v>371</v>
      </c>
      <c r="F15" s="248" t="s">
        <v>372</v>
      </c>
      <c r="G15" s="172" t="s">
        <v>373</v>
      </c>
      <c r="H15" s="164">
        <v>4</v>
      </c>
      <c r="I15" s="382" t="s">
        <v>207</v>
      </c>
      <c r="J15" s="383">
        <v>2</v>
      </c>
      <c r="K15" s="185" t="s">
        <v>197</v>
      </c>
      <c r="L15" s="165">
        <f t="shared" ref="L15:L75" si="2">J15*H15</f>
        <v>8</v>
      </c>
      <c r="M15" s="1072">
        <v>20.100000000000001</v>
      </c>
      <c r="N15" s="357">
        <v>43987</v>
      </c>
      <c r="O15" s="197" t="s">
        <v>219</v>
      </c>
      <c r="P15" s="263"/>
      <c r="Q15" s="197"/>
      <c r="R15" s="197" t="s">
        <v>4</v>
      </c>
      <c r="S15" s="197"/>
      <c r="T15" s="197" t="s">
        <v>178</v>
      </c>
      <c r="U15" s="1086">
        <f>198.31*23300</f>
        <v>4620623</v>
      </c>
      <c r="V15" s="197"/>
      <c r="W15"/>
      <c r="X15" s="239">
        <f t="shared" si="1"/>
        <v>8.0000000000000002E-3</v>
      </c>
      <c r="Y15"/>
      <c r="Z15"/>
      <c r="AA15"/>
      <c r="AB15"/>
      <c r="AC15"/>
      <c r="AD15"/>
      <c r="AE15"/>
    </row>
    <row r="16" spans="1:31" s="9" customFormat="1" ht="15.75">
      <c r="A16" s="251">
        <v>25</v>
      </c>
      <c r="B16" s="17" t="s">
        <v>370</v>
      </c>
      <c r="C16" s="358">
        <v>43987</v>
      </c>
      <c r="D16" s="17" t="s">
        <v>24</v>
      </c>
      <c r="E16" s="187" t="s">
        <v>371</v>
      </c>
      <c r="F16" s="246" t="s">
        <v>374</v>
      </c>
      <c r="G16" s="89" t="s">
        <v>204</v>
      </c>
      <c r="H16" s="166">
        <v>1</v>
      </c>
      <c r="I16" s="384" t="s">
        <v>207</v>
      </c>
      <c r="J16" s="385">
        <v>20</v>
      </c>
      <c r="K16" s="189" t="s">
        <v>197</v>
      </c>
      <c r="L16" s="167">
        <f t="shared" si="2"/>
        <v>20</v>
      </c>
      <c r="M16" s="1073"/>
      <c r="N16" s="358">
        <v>43987</v>
      </c>
      <c r="O16" s="198" t="s">
        <v>219</v>
      </c>
      <c r="P16" s="264"/>
      <c r="Q16" s="198"/>
      <c r="R16" s="198" t="s">
        <v>4</v>
      </c>
      <c r="S16" s="198"/>
      <c r="T16" s="198" t="s">
        <v>178</v>
      </c>
      <c r="U16" s="1087"/>
      <c r="V16" s="198"/>
      <c r="W16"/>
      <c r="X16" s="239">
        <f t="shared" si="1"/>
        <v>0.02</v>
      </c>
      <c r="Y16"/>
      <c r="Z16"/>
      <c r="AA16"/>
      <c r="AB16"/>
      <c r="AC16"/>
      <c r="AD16"/>
      <c r="AE16"/>
    </row>
    <row r="17" spans="1:31" s="9" customFormat="1" ht="15.75">
      <c r="A17" s="339">
        <v>25</v>
      </c>
      <c r="B17" s="211" t="s">
        <v>370</v>
      </c>
      <c r="C17" s="352">
        <v>43987</v>
      </c>
      <c r="D17" s="295" t="s">
        <v>24</v>
      </c>
      <c r="E17" s="370" t="s">
        <v>371</v>
      </c>
      <c r="F17" s="21" t="s">
        <v>375</v>
      </c>
      <c r="G17" s="21" t="s">
        <v>213</v>
      </c>
      <c r="H17" s="207">
        <v>1</v>
      </c>
      <c r="I17" s="177" t="s">
        <v>207</v>
      </c>
      <c r="J17" s="320">
        <v>11</v>
      </c>
      <c r="K17" s="189" t="s">
        <v>197</v>
      </c>
      <c r="L17" s="167">
        <f t="shared" si="2"/>
        <v>11</v>
      </c>
      <c r="M17" s="1073"/>
      <c r="N17" s="352">
        <v>43987</v>
      </c>
      <c r="O17" s="198" t="s">
        <v>219</v>
      </c>
      <c r="P17" s="178"/>
      <c r="Q17" s="21"/>
      <c r="R17" s="198" t="s">
        <v>4</v>
      </c>
      <c r="S17" s="342"/>
      <c r="T17" s="198" t="s">
        <v>178</v>
      </c>
      <c r="U17" s="1087"/>
      <c r="V17" s="342"/>
      <c r="W17"/>
      <c r="X17" s="239">
        <f t="shared" si="1"/>
        <v>1.0999999999999999E-2</v>
      </c>
      <c r="Y17"/>
      <c r="Z17"/>
      <c r="AA17"/>
      <c r="AB17"/>
      <c r="AC17"/>
      <c r="AD17"/>
      <c r="AE17"/>
    </row>
    <row r="18" spans="1:31" s="9" customFormat="1" ht="15.75">
      <c r="A18" s="339">
        <v>25</v>
      </c>
      <c r="B18" s="211" t="s">
        <v>370</v>
      </c>
      <c r="C18" s="352">
        <v>43987</v>
      </c>
      <c r="D18" s="295" t="s">
        <v>24</v>
      </c>
      <c r="E18" s="370" t="s">
        <v>371</v>
      </c>
      <c r="F18" s="21" t="s">
        <v>376</v>
      </c>
      <c r="G18" s="21" t="s">
        <v>377</v>
      </c>
      <c r="H18" s="207">
        <v>1</v>
      </c>
      <c r="I18" s="177" t="s">
        <v>207</v>
      </c>
      <c r="J18" s="320">
        <v>30</v>
      </c>
      <c r="K18" s="189" t="s">
        <v>197</v>
      </c>
      <c r="L18" s="167">
        <f t="shared" si="2"/>
        <v>30</v>
      </c>
      <c r="M18" s="1073"/>
      <c r="N18" s="352">
        <v>43987</v>
      </c>
      <c r="O18" s="198" t="s">
        <v>219</v>
      </c>
      <c r="P18" s="178"/>
      <c r="Q18" s="21"/>
      <c r="R18" s="198" t="s">
        <v>4</v>
      </c>
      <c r="S18" s="342"/>
      <c r="T18" s="198" t="s">
        <v>178</v>
      </c>
      <c r="U18" s="1087"/>
      <c r="V18" s="342"/>
      <c r="W18"/>
      <c r="X18" s="239">
        <f t="shared" si="1"/>
        <v>0.03</v>
      </c>
      <c r="Y18"/>
      <c r="Z18"/>
      <c r="AA18"/>
      <c r="AB18"/>
      <c r="AC18"/>
      <c r="AD18"/>
      <c r="AE18"/>
    </row>
    <row r="19" spans="1:31" s="9" customFormat="1" ht="15.75">
      <c r="A19" s="339">
        <v>25</v>
      </c>
      <c r="B19" s="211" t="s">
        <v>370</v>
      </c>
      <c r="C19" s="352">
        <v>43987</v>
      </c>
      <c r="D19" s="295" t="s">
        <v>24</v>
      </c>
      <c r="E19" s="370" t="s">
        <v>371</v>
      </c>
      <c r="F19" s="21" t="s">
        <v>378</v>
      </c>
      <c r="G19" s="21" t="s">
        <v>377</v>
      </c>
      <c r="H19" s="207">
        <v>1</v>
      </c>
      <c r="I19" s="177" t="s">
        <v>207</v>
      </c>
      <c r="J19" s="320">
        <v>30</v>
      </c>
      <c r="K19" s="189" t="s">
        <v>197</v>
      </c>
      <c r="L19" s="167">
        <f t="shared" si="2"/>
        <v>30</v>
      </c>
      <c r="M19" s="1073"/>
      <c r="N19" s="352">
        <v>43987</v>
      </c>
      <c r="O19" s="198" t="s">
        <v>219</v>
      </c>
      <c r="P19" s="178"/>
      <c r="Q19" s="21"/>
      <c r="R19" s="198" t="s">
        <v>4</v>
      </c>
      <c r="S19" s="342"/>
      <c r="T19" s="198" t="s">
        <v>178</v>
      </c>
      <c r="U19" s="1087"/>
      <c r="V19" s="342"/>
      <c r="W19"/>
      <c r="X19" s="239">
        <f t="shared" si="1"/>
        <v>0.03</v>
      </c>
      <c r="Y19"/>
      <c r="Z19"/>
      <c r="AA19"/>
      <c r="AB19"/>
      <c r="AC19"/>
      <c r="AD19"/>
      <c r="AE19"/>
    </row>
    <row r="20" spans="1:31" s="9" customFormat="1" ht="15.75">
      <c r="A20" s="339">
        <v>25</v>
      </c>
      <c r="B20" s="211" t="s">
        <v>370</v>
      </c>
      <c r="C20" s="352">
        <v>43987</v>
      </c>
      <c r="D20" s="295" t="s">
        <v>24</v>
      </c>
      <c r="E20" s="370" t="s">
        <v>371</v>
      </c>
      <c r="F20" s="21" t="s">
        <v>379</v>
      </c>
      <c r="G20" s="21" t="s">
        <v>377</v>
      </c>
      <c r="H20" s="207">
        <v>1</v>
      </c>
      <c r="I20" s="177" t="s">
        <v>207</v>
      </c>
      <c r="J20" s="320">
        <v>15</v>
      </c>
      <c r="K20" s="189" t="s">
        <v>197</v>
      </c>
      <c r="L20" s="167">
        <f t="shared" si="2"/>
        <v>15</v>
      </c>
      <c r="M20" s="1073"/>
      <c r="N20" s="352">
        <v>43987</v>
      </c>
      <c r="O20" s="198" t="s">
        <v>219</v>
      </c>
      <c r="P20" s="178"/>
      <c r="Q20" s="21"/>
      <c r="R20" s="198" t="s">
        <v>4</v>
      </c>
      <c r="S20" s="342"/>
      <c r="T20" s="198" t="s">
        <v>178</v>
      </c>
      <c r="U20" s="1087"/>
      <c r="V20" s="342"/>
      <c r="W20"/>
      <c r="X20" s="239">
        <f t="shared" si="1"/>
        <v>1.4999999999999999E-2</v>
      </c>
      <c r="Y20"/>
      <c r="Z20"/>
      <c r="AA20"/>
      <c r="AB20"/>
      <c r="AC20"/>
      <c r="AD20"/>
      <c r="AE20"/>
    </row>
    <row r="21" spans="1:31" s="9" customFormat="1" ht="15.75">
      <c r="A21" s="340">
        <v>25</v>
      </c>
      <c r="B21" s="214" t="s">
        <v>370</v>
      </c>
      <c r="C21" s="353">
        <v>43987</v>
      </c>
      <c r="D21" s="309" t="s">
        <v>24</v>
      </c>
      <c r="E21" s="371" t="s">
        <v>371</v>
      </c>
      <c r="F21" s="22" t="s">
        <v>380</v>
      </c>
      <c r="G21" s="22" t="s">
        <v>377</v>
      </c>
      <c r="H21" s="209">
        <v>1</v>
      </c>
      <c r="I21" s="179" t="s">
        <v>207</v>
      </c>
      <c r="J21" s="321">
        <v>15</v>
      </c>
      <c r="K21" s="195" t="s">
        <v>197</v>
      </c>
      <c r="L21" s="170">
        <f t="shared" si="2"/>
        <v>15</v>
      </c>
      <c r="M21" s="1074"/>
      <c r="N21" s="353">
        <v>43987</v>
      </c>
      <c r="O21" s="201" t="s">
        <v>219</v>
      </c>
      <c r="P21" s="180"/>
      <c r="Q21" s="22"/>
      <c r="R21" s="201" t="s">
        <v>4</v>
      </c>
      <c r="S21" s="181"/>
      <c r="T21" s="201" t="s">
        <v>178</v>
      </c>
      <c r="U21" s="1088"/>
      <c r="V21" s="181"/>
      <c r="W21"/>
      <c r="X21" s="239">
        <f t="shared" si="1"/>
        <v>1.4999999999999999E-2</v>
      </c>
      <c r="Y21"/>
      <c r="Z21"/>
      <c r="AA21"/>
      <c r="AB21"/>
      <c r="AC21"/>
      <c r="AD21"/>
      <c r="AE21"/>
    </row>
    <row r="22" spans="1:31" s="9" customFormat="1" ht="15.75">
      <c r="A22" s="338">
        <v>26</v>
      </c>
      <c r="B22" s="296" t="s">
        <v>381</v>
      </c>
      <c r="C22" s="351">
        <v>43987</v>
      </c>
      <c r="D22" s="297" t="s">
        <v>24</v>
      </c>
      <c r="E22" s="369" t="s">
        <v>382</v>
      </c>
      <c r="F22" s="454" t="s">
        <v>383</v>
      </c>
      <c r="G22" s="437" t="s">
        <v>180</v>
      </c>
      <c r="H22" s="164">
        <v>6</v>
      </c>
      <c r="I22" s="455" t="s">
        <v>207</v>
      </c>
      <c r="J22" s="456">
        <v>2</v>
      </c>
      <c r="K22" s="185" t="s">
        <v>197</v>
      </c>
      <c r="L22" s="165">
        <f t="shared" si="2"/>
        <v>12</v>
      </c>
      <c r="M22" s="457">
        <v>1.1200000000000001</v>
      </c>
      <c r="N22" s="351">
        <v>43987</v>
      </c>
      <c r="O22" s="197" t="s">
        <v>219</v>
      </c>
      <c r="P22" s="176"/>
      <c r="Q22" s="19"/>
      <c r="R22" s="197" t="s">
        <v>7</v>
      </c>
      <c r="S22" s="341"/>
      <c r="T22" s="197" t="s">
        <v>178</v>
      </c>
      <c r="U22" s="422">
        <f>34.65*23300</f>
        <v>807345</v>
      </c>
      <c r="V22" s="341"/>
      <c r="W22"/>
      <c r="X22" s="239">
        <f t="shared" si="1"/>
        <v>1.2E-2</v>
      </c>
      <c r="Y22"/>
      <c r="Z22"/>
      <c r="AA22"/>
      <c r="AB22"/>
      <c r="AC22"/>
      <c r="AD22"/>
      <c r="AE22"/>
    </row>
    <row r="23" spans="1:31" s="323" customFormat="1" ht="15.75">
      <c r="A23" s="338">
        <v>27</v>
      </c>
      <c r="B23" s="296" t="s">
        <v>384</v>
      </c>
      <c r="C23" s="351">
        <v>43991</v>
      </c>
      <c r="D23" s="297" t="s">
        <v>24</v>
      </c>
      <c r="E23" s="369" t="s">
        <v>385</v>
      </c>
      <c r="F23" s="19" t="s">
        <v>386</v>
      </c>
      <c r="G23" s="19" t="s">
        <v>387</v>
      </c>
      <c r="H23" s="279">
        <v>1</v>
      </c>
      <c r="I23" s="175" t="s">
        <v>207</v>
      </c>
      <c r="J23" s="318">
        <v>20</v>
      </c>
      <c r="K23" s="185" t="s">
        <v>197</v>
      </c>
      <c r="L23" s="165">
        <f t="shared" si="2"/>
        <v>20</v>
      </c>
      <c r="M23" s="1072">
        <v>18.61</v>
      </c>
      <c r="N23" s="351">
        <v>43991</v>
      </c>
      <c r="O23" s="197" t="s">
        <v>219</v>
      </c>
      <c r="P23" s="176"/>
      <c r="Q23" s="19"/>
      <c r="R23" s="197" t="s">
        <v>4</v>
      </c>
      <c r="S23" s="341"/>
      <c r="T23" s="197" t="s">
        <v>178</v>
      </c>
      <c r="U23" s="1068">
        <f>179.38*23300</f>
        <v>4179554</v>
      </c>
      <c r="V23" s="341"/>
      <c r="W23" s="324"/>
      <c r="X23" s="239">
        <f t="shared" si="1"/>
        <v>0.02</v>
      </c>
      <c r="Y23" s="324"/>
      <c r="Z23" s="324"/>
      <c r="AA23" s="324"/>
      <c r="AB23" s="324"/>
      <c r="AC23" s="324"/>
      <c r="AD23" s="324"/>
      <c r="AE23" s="324"/>
    </row>
    <row r="24" spans="1:31" s="327" customFormat="1" ht="15.75">
      <c r="A24" s="339">
        <v>27</v>
      </c>
      <c r="B24" s="211" t="s">
        <v>384</v>
      </c>
      <c r="C24" s="352">
        <v>43991</v>
      </c>
      <c r="D24" s="295" t="s">
        <v>24</v>
      </c>
      <c r="E24" s="370" t="s">
        <v>385</v>
      </c>
      <c r="F24" s="21" t="s">
        <v>388</v>
      </c>
      <c r="G24" s="21" t="s">
        <v>126</v>
      </c>
      <c r="H24" s="207">
        <v>1</v>
      </c>
      <c r="I24" s="177" t="s">
        <v>207</v>
      </c>
      <c r="J24" s="320">
        <v>1</v>
      </c>
      <c r="K24" s="189" t="s">
        <v>197</v>
      </c>
      <c r="L24" s="167">
        <f t="shared" si="2"/>
        <v>1</v>
      </c>
      <c r="M24" s="1073"/>
      <c r="N24" s="352">
        <v>43991</v>
      </c>
      <c r="O24" s="198" t="s">
        <v>219</v>
      </c>
      <c r="P24" s="178"/>
      <c r="Q24" s="21"/>
      <c r="R24" s="198" t="s">
        <v>4</v>
      </c>
      <c r="S24" s="342"/>
      <c r="T24" s="198" t="s">
        <v>178</v>
      </c>
      <c r="U24" s="1069"/>
      <c r="V24" s="342"/>
      <c r="W24" s="230"/>
      <c r="X24" s="239">
        <f t="shared" si="1"/>
        <v>1E-3</v>
      </c>
      <c r="Y24" s="230"/>
      <c r="Z24" s="230"/>
      <c r="AA24" s="230"/>
      <c r="AB24" s="230"/>
      <c r="AC24" s="230"/>
      <c r="AD24" s="230"/>
      <c r="AE24" s="230"/>
    </row>
    <row r="25" spans="1:31" s="327" customFormat="1" ht="15.75">
      <c r="A25" s="339">
        <v>27</v>
      </c>
      <c r="B25" s="211" t="s">
        <v>384</v>
      </c>
      <c r="C25" s="352">
        <v>43991</v>
      </c>
      <c r="D25" s="295" t="s">
        <v>24</v>
      </c>
      <c r="E25" s="370" t="s">
        <v>385</v>
      </c>
      <c r="F25" s="21" t="s">
        <v>389</v>
      </c>
      <c r="G25" s="21" t="s">
        <v>156</v>
      </c>
      <c r="H25" s="207">
        <v>3</v>
      </c>
      <c r="I25" s="177" t="s">
        <v>207</v>
      </c>
      <c r="J25" s="320">
        <v>2.5</v>
      </c>
      <c r="K25" s="189" t="s">
        <v>197</v>
      </c>
      <c r="L25" s="167">
        <f t="shared" si="2"/>
        <v>7.5</v>
      </c>
      <c r="M25" s="1073"/>
      <c r="N25" s="352">
        <v>43991</v>
      </c>
      <c r="O25" s="198" t="s">
        <v>219</v>
      </c>
      <c r="P25" s="178"/>
      <c r="Q25" s="21"/>
      <c r="R25" s="198" t="s">
        <v>4</v>
      </c>
      <c r="S25" s="342"/>
      <c r="T25" s="198" t="s">
        <v>178</v>
      </c>
      <c r="U25" s="1069"/>
      <c r="V25" s="342"/>
      <c r="W25" s="230"/>
      <c r="X25" s="239">
        <f t="shared" si="1"/>
        <v>7.4999999999999997E-3</v>
      </c>
      <c r="Y25" s="230"/>
      <c r="Z25" s="230"/>
      <c r="AA25" s="230"/>
      <c r="AB25" s="230"/>
      <c r="AC25" s="230"/>
      <c r="AD25" s="230"/>
      <c r="AE25" s="230"/>
    </row>
    <row r="26" spans="1:31" s="327" customFormat="1" ht="15.75">
      <c r="A26" s="339">
        <v>27</v>
      </c>
      <c r="B26" s="211" t="s">
        <v>384</v>
      </c>
      <c r="C26" s="352">
        <v>43991</v>
      </c>
      <c r="D26" s="295" t="s">
        <v>24</v>
      </c>
      <c r="E26" s="370" t="s">
        <v>385</v>
      </c>
      <c r="F26" s="21" t="s">
        <v>390</v>
      </c>
      <c r="G26" s="21" t="s">
        <v>391</v>
      </c>
      <c r="H26" s="207">
        <v>1</v>
      </c>
      <c r="I26" s="177" t="s">
        <v>207</v>
      </c>
      <c r="J26" s="320">
        <v>10</v>
      </c>
      <c r="K26" s="189" t="s">
        <v>197</v>
      </c>
      <c r="L26" s="167">
        <f t="shared" si="2"/>
        <v>10</v>
      </c>
      <c r="M26" s="1073"/>
      <c r="N26" s="352">
        <v>43991</v>
      </c>
      <c r="O26" s="198" t="s">
        <v>219</v>
      </c>
      <c r="P26" s="178"/>
      <c r="Q26" s="21"/>
      <c r="R26" s="198" t="s">
        <v>4</v>
      </c>
      <c r="S26" s="342"/>
      <c r="T26" s="198" t="s">
        <v>178</v>
      </c>
      <c r="U26" s="1069"/>
      <c r="V26" s="342"/>
      <c r="W26" s="230"/>
      <c r="X26" s="239">
        <f t="shared" si="1"/>
        <v>0.01</v>
      </c>
      <c r="Y26" s="230"/>
      <c r="Z26" s="230"/>
      <c r="AA26" s="230"/>
      <c r="AB26" s="230"/>
      <c r="AC26" s="230"/>
      <c r="AD26" s="230"/>
      <c r="AE26" s="230"/>
    </row>
    <row r="27" spans="1:31" s="327" customFormat="1" ht="15.75">
      <c r="A27" s="339">
        <v>27</v>
      </c>
      <c r="B27" s="211" t="s">
        <v>384</v>
      </c>
      <c r="C27" s="352">
        <v>43991</v>
      </c>
      <c r="D27" s="295" t="s">
        <v>24</v>
      </c>
      <c r="E27" s="370" t="s">
        <v>385</v>
      </c>
      <c r="F27" s="21" t="s">
        <v>392</v>
      </c>
      <c r="G27" s="21" t="s">
        <v>204</v>
      </c>
      <c r="H27" s="207">
        <v>3</v>
      </c>
      <c r="I27" s="177" t="s">
        <v>207</v>
      </c>
      <c r="J27" s="320">
        <v>4</v>
      </c>
      <c r="K27" s="189" t="s">
        <v>197</v>
      </c>
      <c r="L27" s="167">
        <f t="shared" si="2"/>
        <v>12</v>
      </c>
      <c r="M27" s="1073"/>
      <c r="N27" s="352">
        <v>43991</v>
      </c>
      <c r="O27" s="198" t="s">
        <v>219</v>
      </c>
      <c r="P27" s="178"/>
      <c r="Q27" s="21"/>
      <c r="R27" s="198" t="s">
        <v>4</v>
      </c>
      <c r="S27" s="342"/>
      <c r="T27" s="198" t="s">
        <v>178</v>
      </c>
      <c r="U27" s="1069"/>
      <c r="V27" s="342"/>
      <c r="W27" s="230"/>
      <c r="X27" s="239">
        <f t="shared" si="1"/>
        <v>1.2E-2</v>
      </c>
      <c r="Y27" s="230"/>
      <c r="Z27" s="230"/>
      <c r="AA27" s="230"/>
      <c r="AB27" s="230"/>
      <c r="AC27" s="230"/>
      <c r="AD27" s="230"/>
      <c r="AE27" s="230"/>
    </row>
    <row r="28" spans="1:31" s="327" customFormat="1" ht="15.75">
      <c r="A28" s="339">
        <v>27</v>
      </c>
      <c r="B28" s="211" t="s">
        <v>384</v>
      </c>
      <c r="C28" s="352">
        <v>43991</v>
      </c>
      <c r="D28" s="295" t="s">
        <v>24</v>
      </c>
      <c r="E28" s="370" t="s">
        <v>385</v>
      </c>
      <c r="F28" s="21" t="s">
        <v>393</v>
      </c>
      <c r="G28" s="21" t="s">
        <v>290</v>
      </c>
      <c r="H28" s="207">
        <v>1</v>
      </c>
      <c r="I28" s="177" t="s">
        <v>207</v>
      </c>
      <c r="J28" s="320">
        <v>20</v>
      </c>
      <c r="K28" s="189" t="s">
        <v>197</v>
      </c>
      <c r="L28" s="167">
        <f t="shared" si="2"/>
        <v>20</v>
      </c>
      <c r="M28" s="1073"/>
      <c r="N28" s="352">
        <v>43991</v>
      </c>
      <c r="O28" s="198" t="s">
        <v>219</v>
      </c>
      <c r="P28" s="178"/>
      <c r="Q28" s="21"/>
      <c r="R28" s="198" t="s">
        <v>4</v>
      </c>
      <c r="S28" s="342"/>
      <c r="T28" s="198" t="s">
        <v>178</v>
      </c>
      <c r="U28" s="1069"/>
      <c r="V28" s="342"/>
      <c r="W28" s="230"/>
      <c r="X28" s="239">
        <f t="shared" si="1"/>
        <v>0.02</v>
      </c>
      <c r="Y28" s="230"/>
      <c r="Z28" s="230"/>
      <c r="AA28" s="230"/>
      <c r="AB28" s="230"/>
      <c r="AC28" s="230"/>
      <c r="AD28" s="230"/>
      <c r="AE28" s="230"/>
    </row>
    <row r="29" spans="1:31" s="329" customFormat="1" ht="15.75">
      <c r="A29" s="340">
        <v>27</v>
      </c>
      <c r="B29" s="214" t="s">
        <v>384</v>
      </c>
      <c r="C29" s="353">
        <v>43991</v>
      </c>
      <c r="D29" s="309" t="s">
        <v>24</v>
      </c>
      <c r="E29" s="371" t="s">
        <v>385</v>
      </c>
      <c r="F29" s="22" t="s">
        <v>394</v>
      </c>
      <c r="G29" s="22" t="s">
        <v>290</v>
      </c>
      <c r="H29" s="209">
        <v>1</v>
      </c>
      <c r="I29" s="179" t="s">
        <v>207</v>
      </c>
      <c r="J29" s="321">
        <v>20</v>
      </c>
      <c r="K29" s="195" t="s">
        <v>197</v>
      </c>
      <c r="L29" s="170">
        <f t="shared" si="2"/>
        <v>20</v>
      </c>
      <c r="M29" s="1074"/>
      <c r="N29" s="353">
        <v>43991</v>
      </c>
      <c r="O29" s="201" t="s">
        <v>219</v>
      </c>
      <c r="P29" s="180"/>
      <c r="Q29" s="22"/>
      <c r="R29" s="201" t="s">
        <v>4</v>
      </c>
      <c r="S29" s="181"/>
      <c r="T29" s="201" t="s">
        <v>178</v>
      </c>
      <c r="U29" s="1070"/>
      <c r="V29" s="181"/>
      <c r="W29" s="311"/>
      <c r="X29" s="239">
        <f t="shared" si="1"/>
        <v>0.02</v>
      </c>
      <c r="Y29" s="311"/>
      <c r="Z29" s="311"/>
      <c r="AA29" s="311"/>
      <c r="AB29" s="311"/>
      <c r="AC29" s="311"/>
      <c r="AD29" s="311"/>
      <c r="AE29" s="311"/>
    </row>
    <row r="30" spans="1:31" s="9" customFormat="1" ht="15.75">
      <c r="A30" s="338">
        <v>28</v>
      </c>
      <c r="B30" s="296" t="s">
        <v>395</v>
      </c>
      <c r="C30" s="351">
        <v>43994</v>
      </c>
      <c r="D30" s="297" t="s">
        <v>24</v>
      </c>
      <c r="E30" s="369" t="s">
        <v>396</v>
      </c>
      <c r="F30" s="19" t="s">
        <v>375</v>
      </c>
      <c r="G30" s="19" t="s">
        <v>213</v>
      </c>
      <c r="H30" s="279">
        <v>1</v>
      </c>
      <c r="I30" s="175" t="s">
        <v>207</v>
      </c>
      <c r="J30" s="318">
        <v>11</v>
      </c>
      <c r="K30" s="185" t="s">
        <v>197</v>
      </c>
      <c r="L30" s="165">
        <f t="shared" si="2"/>
        <v>11</v>
      </c>
      <c r="M30" s="1072">
        <v>5.07</v>
      </c>
      <c r="N30" s="351">
        <v>43994</v>
      </c>
      <c r="O30" s="197" t="s">
        <v>219</v>
      </c>
      <c r="P30" s="176"/>
      <c r="Q30" s="19"/>
      <c r="R30" s="197" t="s">
        <v>4</v>
      </c>
      <c r="S30" s="341"/>
      <c r="T30" s="197" t="s">
        <v>178</v>
      </c>
      <c r="U30" s="1068">
        <f>69.02*23300</f>
        <v>1608166</v>
      </c>
      <c r="V30" s="341"/>
      <c r="W30"/>
      <c r="X30" s="239">
        <f t="shared" si="1"/>
        <v>1.0999999999999999E-2</v>
      </c>
      <c r="Y30"/>
      <c r="Z30"/>
      <c r="AA30"/>
      <c r="AB30"/>
      <c r="AC30"/>
      <c r="AD30"/>
      <c r="AE30"/>
    </row>
    <row r="31" spans="1:31" s="9" customFormat="1" ht="15.75">
      <c r="A31" s="339">
        <v>28</v>
      </c>
      <c r="B31" s="211" t="s">
        <v>395</v>
      </c>
      <c r="C31" s="352">
        <v>43994</v>
      </c>
      <c r="D31" s="295" t="s">
        <v>24</v>
      </c>
      <c r="E31" s="370" t="s">
        <v>396</v>
      </c>
      <c r="F31" s="21" t="s">
        <v>397</v>
      </c>
      <c r="G31" s="21" t="s">
        <v>213</v>
      </c>
      <c r="H31" s="207">
        <v>1</v>
      </c>
      <c r="I31" s="177" t="s">
        <v>207</v>
      </c>
      <c r="J31" s="320">
        <v>11</v>
      </c>
      <c r="K31" s="189" t="s">
        <v>197</v>
      </c>
      <c r="L31" s="167">
        <f t="shared" si="2"/>
        <v>11</v>
      </c>
      <c r="M31" s="1073"/>
      <c r="N31" s="352">
        <v>43994</v>
      </c>
      <c r="O31" s="198" t="s">
        <v>219</v>
      </c>
      <c r="P31" s="178"/>
      <c r="Q31" s="21"/>
      <c r="R31" s="198" t="s">
        <v>4</v>
      </c>
      <c r="S31" s="342"/>
      <c r="T31" s="198" t="s">
        <v>178</v>
      </c>
      <c r="U31" s="1069"/>
      <c r="V31" s="342"/>
      <c r="W31"/>
      <c r="X31" s="239">
        <f t="shared" si="1"/>
        <v>1.0999999999999999E-2</v>
      </c>
      <c r="Y31"/>
      <c r="Z31"/>
      <c r="AA31"/>
      <c r="AB31"/>
      <c r="AC31"/>
      <c r="AD31"/>
      <c r="AE31"/>
    </row>
    <row r="32" spans="1:31" s="9" customFormat="1" ht="15.75">
      <c r="A32" s="339">
        <v>28</v>
      </c>
      <c r="B32" s="211" t="s">
        <v>395</v>
      </c>
      <c r="C32" s="352">
        <v>43994</v>
      </c>
      <c r="D32" s="295" t="s">
        <v>24</v>
      </c>
      <c r="E32" s="370" t="s">
        <v>396</v>
      </c>
      <c r="F32" s="21" t="s">
        <v>398</v>
      </c>
      <c r="G32" s="21" t="s">
        <v>204</v>
      </c>
      <c r="H32" s="207">
        <v>1</v>
      </c>
      <c r="I32" s="177" t="s">
        <v>207</v>
      </c>
      <c r="J32" s="320">
        <v>15</v>
      </c>
      <c r="K32" s="189" t="s">
        <v>197</v>
      </c>
      <c r="L32" s="167">
        <f t="shared" si="2"/>
        <v>15</v>
      </c>
      <c r="M32" s="1073"/>
      <c r="N32" s="352">
        <v>43994</v>
      </c>
      <c r="O32" s="198" t="s">
        <v>219</v>
      </c>
      <c r="P32" s="178"/>
      <c r="Q32" s="21"/>
      <c r="R32" s="198" t="s">
        <v>4</v>
      </c>
      <c r="S32" s="342"/>
      <c r="T32" s="198" t="s">
        <v>178</v>
      </c>
      <c r="U32" s="1069"/>
      <c r="V32" s="342"/>
      <c r="W32"/>
      <c r="X32" s="239">
        <f t="shared" si="1"/>
        <v>1.4999999999999999E-2</v>
      </c>
      <c r="Y32"/>
      <c r="Z32"/>
      <c r="AA32"/>
      <c r="AB32"/>
      <c r="AC32"/>
      <c r="AD32"/>
      <c r="AE32"/>
    </row>
    <row r="33" spans="1:31" s="9" customFormat="1" ht="15.75">
      <c r="A33" s="339">
        <v>28</v>
      </c>
      <c r="B33" s="211" t="s">
        <v>395</v>
      </c>
      <c r="C33" s="352">
        <v>43994</v>
      </c>
      <c r="D33" s="295" t="s">
        <v>24</v>
      </c>
      <c r="E33" s="370" t="s">
        <v>396</v>
      </c>
      <c r="F33" s="21" t="s">
        <v>399</v>
      </c>
      <c r="G33" s="21" t="s">
        <v>400</v>
      </c>
      <c r="H33" s="207">
        <v>2</v>
      </c>
      <c r="I33" s="177" t="s">
        <v>207</v>
      </c>
      <c r="J33" s="320">
        <v>4</v>
      </c>
      <c r="K33" s="189" t="s">
        <v>197</v>
      </c>
      <c r="L33" s="167">
        <f t="shared" si="2"/>
        <v>8</v>
      </c>
      <c r="M33" s="1073"/>
      <c r="N33" s="352">
        <v>43994</v>
      </c>
      <c r="O33" s="198" t="s">
        <v>219</v>
      </c>
      <c r="P33" s="178"/>
      <c r="Q33" s="21"/>
      <c r="R33" s="198" t="s">
        <v>4</v>
      </c>
      <c r="S33" s="342"/>
      <c r="T33" s="198" t="s">
        <v>178</v>
      </c>
      <c r="U33" s="1069"/>
      <c r="V33" s="342"/>
      <c r="W33"/>
      <c r="X33" s="239">
        <f t="shared" si="1"/>
        <v>8.0000000000000002E-3</v>
      </c>
      <c r="Y33"/>
      <c r="Z33"/>
      <c r="AA33"/>
      <c r="AB33"/>
      <c r="AC33"/>
      <c r="AD33"/>
      <c r="AE33"/>
    </row>
    <row r="34" spans="1:31" ht="15.75">
      <c r="A34" s="340">
        <v>28</v>
      </c>
      <c r="B34" s="214" t="s">
        <v>395</v>
      </c>
      <c r="C34" s="353">
        <v>43994</v>
      </c>
      <c r="D34" s="309" t="s">
        <v>24</v>
      </c>
      <c r="E34" s="371" t="s">
        <v>396</v>
      </c>
      <c r="F34" s="22" t="s">
        <v>401</v>
      </c>
      <c r="G34" s="22" t="s">
        <v>179</v>
      </c>
      <c r="H34" s="209">
        <v>3</v>
      </c>
      <c r="I34" s="179" t="s">
        <v>207</v>
      </c>
      <c r="J34" s="321">
        <v>2</v>
      </c>
      <c r="K34" s="195" t="s">
        <v>197</v>
      </c>
      <c r="L34" s="170">
        <f t="shared" si="2"/>
        <v>6</v>
      </c>
      <c r="M34" s="1074"/>
      <c r="N34" s="353">
        <v>43994</v>
      </c>
      <c r="O34" s="201" t="s">
        <v>219</v>
      </c>
      <c r="P34" s="180"/>
      <c r="Q34" s="22"/>
      <c r="R34" s="201" t="s">
        <v>4</v>
      </c>
      <c r="S34" s="181"/>
      <c r="T34" s="201" t="s">
        <v>178</v>
      </c>
      <c r="U34" s="1070"/>
      <c r="V34" s="181"/>
      <c r="X34" s="239">
        <f t="shared" si="1"/>
        <v>6.0000000000000001E-3</v>
      </c>
    </row>
    <row r="35" spans="1:31" ht="15.75">
      <c r="A35" s="338">
        <v>29</v>
      </c>
      <c r="B35" s="296" t="s">
        <v>403</v>
      </c>
      <c r="C35" s="351">
        <v>43994</v>
      </c>
      <c r="D35" s="297" t="s">
        <v>24</v>
      </c>
      <c r="E35" s="369" t="s">
        <v>402</v>
      </c>
      <c r="F35" s="19" t="s">
        <v>404</v>
      </c>
      <c r="G35" s="19" t="s">
        <v>180</v>
      </c>
      <c r="H35" s="279">
        <v>1</v>
      </c>
      <c r="I35" s="175" t="s">
        <v>209</v>
      </c>
      <c r="J35" s="318">
        <v>18</v>
      </c>
      <c r="K35" s="185" t="s">
        <v>197</v>
      </c>
      <c r="L35" s="165">
        <f t="shared" si="2"/>
        <v>18</v>
      </c>
      <c r="M35" s="1072">
        <v>2.7</v>
      </c>
      <c r="N35" s="351">
        <v>43994</v>
      </c>
      <c r="O35" s="197" t="s">
        <v>219</v>
      </c>
      <c r="P35" s="176"/>
      <c r="Q35" s="19"/>
      <c r="R35" s="197" t="s">
        <v>7</v>
      </c>
      <c r="S35" s="341"/>
      <c r="T35" s="197" t="s">
        <v>178</v>
      </c>
      <c r="U35" s="1068">
        <f>46.12*23300</f>
        <v>1074596</v>
      </c>
      <c r="V35" s="341"/>
      <c r="X35" s="239">
        <f t="shared" si="1"/>
        <v>1.7999999999999999E-2</v>
      </c>
    </row>
    <row r="36" spans="1:31" ht="15.75">
      <c r="A36" s="340">
        <v>29</v>
      </c>
      <c r="B36" s="214" t="s">
        <v>403</v>
      </c>
      <c r="C36" s="353">
        <v>43994</v>
      </c>
      <c r="D36" s="309" t="s">
        <v>24</v>
      </c>
      <c r="E36" s="371" t="s">
        <v>402</v>
      </c>
      <c r="F36" s="22" t="s">
        <v>405</v>
      </c>
      <c r="G36" s="22" t="s">
        <v>180</v>
      </c>
      <c r="H36" s="209">
        <v>16</v>
      </c>
      <c r="I36" s="179" t="s">
        <v>207</v>
      </c>
      <c r="J36" s="321">
        <v>0.5</v>
      </c>
      <c r="K36" s="195" t="s">
        <v>197</v>
      </c>
      <c r="L36" s="170">
        <f t="shared" si="2"/>
        <v>8</v>
      </c>
      <c r="M36" s="1074"/>
      <c r="N36" s="353">
        <v>43994</v>
      </c>
      <c r="O36" s="201" t="s">
        <v>219</v>
      </c>
      <c r="P36" s="180"/>
      <c r="Q36" s="22"/>
      <c r="R36" s="201" t="s">
        <v>7</v>
      </c>
      <c r="S36" s="181"/>
      <c r="T36" s="201" t="s">
        <v>178</v>
      </c>
      <c r="U36" s="1070"/>
      <c r="V36" s="181"/>
      <c r="X36" s="239">
        <f t="shared" si="1"/>
        <v>8.0000000000000002E-3</v>
      </c>
    </row>
    <row r="37" spans="1:31" ht="15.75">
      <c r="A37" s="338">
        <v>30</v>
      </c>
      <c r="B37" s="296" t="s">
        <v>406</v>
      </c>
      <c r="C37" s="351">
        <v>43998</v>
      </c>
      <c r="D37" s="297" t="s">
        <v>24</v>
      </c>
      <c r="E37" s="369" t="s">
        <v>407</v>
      </c>
      <c r="F37" s="19" t="s">
        <v>408</v>
      </c>
      <c r="G37" s="19" t="s">
        <v>373</v>
      </c>
      <c r="H37" s="279">
        <v>3</v>
      </c>
      <c r="I37" s="175" t="s">
        <v>207</v>
      </c>
      <c r="J37" s="318">
        <v>3</v>
      </c>
      <c r="K37" s="185" t="s">
        <v>197</v>
      </c>
      <c r="L37" s="165">
        <f t="shared" si="2"/>
        <v>9</v>
      </c>
      <c r="M37" s="1072">
        <v>3.8</v>
      </c>
      <c r="N37" s="351">
        <v>43998</v>
      </c>
      <c r="O37" s="197" t="s">
        <v>219</v>
      </c>
      <c r="P37" s="176"/>
      <c r="Q37" s="19"/>
      <c r="R37" s="197" t="s">
        <v>4</v>
      </c>
      <c r="S37" s="341"/>
      <c r="T37" s="197" t="s">
        <v>178</v>
      </c>
      <c r="U37" s="1068">
        <f>54.83*23300</f>
        <v>1277539</v>
      </c>
      <c r="V37" s="341"/>
      <c r="X37" s="239">
        <f t="shared" si="1"/>
        <v>8.9999999999999993E-3</v>
      </c>
    </row>
    <row r="38" spans="1:31" ht="15.75">
      <c r="A38" s="339">
        <v>30</v>
      </c>
      <c r="B38" s="211" t="s">
        <v>406</v>
      </c>
      <c r="C38" s="352">
        <v>43998</v>
      </c>
      <c r="D38" s="295" t="s">
        <v>24</v>
      </c>
      <c r="E38" s="370" t="s">
        <v>407</v>
      </c>
      <c r="F38" s="21" t="s">
        <v>409</v>
      </c>
      <c r="G38" s="21" t="s">
        <v>179</v>
      </c>
      <c r="H38" s="207">
        <v>2</v>
      </c>
      <c r="I38" s="177" t="s">
        <v>207</v>
      </c>
      <c r="J38" s="320">
        <v>6</v>
      </c>
      <c r="K38" s="189" t="s">
        <v>197</v>
      </c>
      <c r="L38" s="167">
        <f t="shared" si="2"/>
        <v>12</v>
      </c>
      <c r="M38" s="1073"/>
      <c r="N38" s="352">
        <v>43998</v>
      </c>
      <c r="O38" s="198" t="s">
        <v>219</v>
      </c>
      <c r="P38" s="178"/>
      <c r="Q38" s="21"/>
      <c r="R38" s="198" t="s">
        <v>4</v>
      </c>
      <c r="S38" s="342"/>
      <c r="T38" s="198" t="s">
        <v>178</v>
      </c>
      <c r="U38" s="1069"/>
      <c r="V38" s="342"/>
      <c r="X38" s="239">
        <f t="shared" si="1"/>
        <v>1.2E-2</v>
      </c>
    </row>
    <row r="39" spans="1:31" ht="15.75">
      <c r="A39" s="340">
        <v>30</v>
      </c>
      <c r="B39" s="214" t="s">
        <v>406</v>
      </c>
      <c r="C39" s="353">
        <v>43998</v>
      </c>
      <c r="D39" s="309" t="s">
        <v>24</v>
      </c>
      <c r="E39" s="371" t="s">
        <v>407</v>
      </c>
      <c r="F39" s="22" t="s">
        <v>410</v>
      </c>
      <c r="G39" s="22" t="s">
        <v>179</v>
      </c>
      <c r="H39" s="209">
        <v>2</v>
      </c>
      <c r="I39" s="179" t="s">
        <v>207</v>
      </c>
      <c r="J39" s="321">
        <v>6</v>
      </c>
      <c r="K39" s="195" t="s">
        <v>197</v>
      </c>
      <c r="L39" s="170">
        <f t="shared" si="2"/>
        <v>12</v>
      </c>
      <c r="M39" s="1074"/>
      <c r="N39" s="353">
        <v>43998</v>
      </c>
      <c r="O39" s="201" t="s">
        <v>219</v>
      </c>
      <c r="P39" s="180"/>
      <c r="Q39" s="22"/>
      <c r="R39" s="201" t="s">
        <v>4</v>
      </c>
      <c r="S39" s="181"/>
      <c r="T39" s="201" t="s">
        <v>178</v>
      </c>
      <c r="U39" s="1070"/>
      <c r="V39" s="181"/>
      <c r="X39" s="239">
        <f t="shared" si="1"/>
        <v>1.2E-2</v>
      </c>
    </row>
    <row r="40" spans="1:31" ht="15.75">
      <c r="A40" s="338">
        <v>31</v>
      </c>
      <c r="B40" s="296" t="s">
        <v>411</v>
      </c>
      <c r="C40" s="351">
        <v>44001</v>
      </c>
      <c r="D40" s="297" t="s">
        <v>24</v>
      </c>
      <c r="E40" s="369" t="s">
        <v>412</v>
      </c>
      <c r="F40" s="19" t="s">
        <v>413</v>
      </c>
      <c r="G40" s="19" t="s">
        <v>246</v>
      </c>
      <c r="H40" s="279">
        <v>2</v>
      </c>
      <c r="I40" s="175" t="s">
        <v>207</v>
      </c>
      <c r="J40" s="318">
        <v>2.5</v>
      </c>
      <c r="K40" s="185" t="s">
        <v>197</v>
      </c>
      <c r="L40" s="165">
        <f t="shared" si="2"/>
        <v>5</v>
      </c>
      <c r="M40" s="1029">
        <v>28.4</v>
      </c>
      <c r="N40" s="351">
        <v>44001</v>
      </c>
      <c r="O40" s="197" t="s">
        <v>219</v>
      </c>
      <c r="P40" s="176"/>
      <c r="Q40" s="19"/>
      <c r="R40" s="197" t="s">
        <v>4</v>
      </c>
      <c r="S40" s="341"/>
      <c r="T40" s="197" t="s">
        <v>178</v>
      </c>
      <c r="U40" s="1068">
        <f>274.24*23300</f>
        <v>6389792</v>
      </c>
      <c r="V40" s="341"/>
      <c r="X40" s="239">
        <f t="shared" si="1"/>
        <v>5.0000000000000001E-3</v>
      </c>
    </row>
    <row r="41" spans="1:31" ht="15.75">
      <c r="A41" s="339">
        <v>31</v>
      </c>
      <c r="B41" s="211" t="s">
        <v>411</v>
      </c>
      <c r="C41" s="352">
        <v>44001</v>
      </c>
      <c r="D41" s="295" t="s">
        <v>24</v>
      </c>
      <c r="E41" s="370" t="s">
        <v>412</v>
      </c>
      <c r="F41" s="21" t="s">
        <v>414</v>
      </c>
      <c r="G41" s="21" t="s">
        <v>246</v>
      </c>
      <c r="H41" s="207">
        <v>2</v>
      </c>
      <c r="I41" s="177" t="s">
        <v>207</v>
      </c>
      <c r="J41" s="320">
        <v>2.5</v>
      </c>
      <c r="K41" s="189" t="s">
        <v>197</v>
      </c>
      <c r="L41" s="167">
        <f t="shared" si="2"/>
        <v>5</v>
      </c>
      <c r="M41" s="1030"/>
      <c r="N41" s="352">
        <v>44001</v>
      </c>
      <c r="O41" s="198" t="s">
        <v>219</v>
      </c>
      <c r="P41" s="178"/>
      <c r="Q41" s="21"/>
      <c r="R41" s="198" t="s">
        <v>4</v>
      </c>
      <c r="S41" s="342"/>
      <c r="T41" s="198" t="s">
        <v>178</v>
      </c>
      <c r="U41" s="1069"/>
      <c r="V41" s="342"/>
      <c r="X41" s="239">
        <f t="shared" si="1"/>
        <v>5.0000000000000001E-3</v>
      </c>
    </row>
    <row r="42" spans="1:31" ht="15.75">
      <c r="A42" s="339">
        <v>31</v>
      </c>
      <c r="B42" s="211" t="s">
        <v>411</v>
      </c>
      <c r="C42" s="352">
        <v>44001</v>
      </c>
      <c r="D42" s="295" t="s">
        <v>24</v>
      </c>
      <c r="E42" s="370" t="s">
        <v>412</v>
      </c>
      <c r="F42" s="21" t="s">
        <v>415</v>
      </c>
      <c r="G42" s="21" t="s">
        <v>416</v>
      </c>
      <c r="H42" s="207">
        <v>6</v>
      </c>
      <c r="I42" s="177" t="s">
        <v>207</v>
      </c>
      <c r="J42" s="320">
        <v>7</v>
      </c>
      <c r="K42" s="189" t="s">
        <v>197</v>
      </c>
      <c r="L42" s="167">
        <f t="shared" si="2"/>
        <v>42</v>
      </c>
      <c r="M42" s="1030"/>
      <c r="N42" s="352">
        <v>44001</v>
      </c>
      <c r="O42" s="198" t="s">
        <v>219</v>
      </c>
      <c r="P42" s="178"/>
      <c r="Q42" s="21"/>
      <c r="R42" s="198" t="s">
        <v>4</v>
      </c>
      <c r="S42" s="342"/>
      <c r="T42" s="198" t="s">
        <v>178</v>
      </c>
      <c r="U42" s="1069"/>
      <c r="V42" s="342"/>
      <c r="X42" s="239">
        <f t="shared" si="1"/>
        <v>4.2000000000000003E-2</v>
      </c>
    </row>
    <row r="43" spans="1:31" ht="15.75" customHeight="1">
      <c r="A43" s="339">
        <v>31</v>
      </c>
      <c r="B43" s="211" t="s">
        <v>411</v>
      </c>
      <c r="C43" s="352">
        <v>44001</v>
      </c>
      <c r="D43" s="295" t="s">
        <v>24</v>
      </c>
      <c r="E43" s="370" t="s">
        <v>412</v>
      </c>
      <c r="F43" s="21" t="s">
        <v>417</v>
      </c>
      <c r="G43" s="21" t="s">
        <v>416</v>
      </c>
      <c r="H43" s="207">
        <v>1</v>
      </c>
      <c r="I43" s="177" t="s">
        <v>207</v>
      </c>
      <c r="J43" s="320">
        <v>15</v>
      </c>
      <c r="K43" s="189" t="s">
        <v>197</v>
      </c>
      <c r="L43" s="167">
        <f t="shared" si="2"/>
        <v>15</v>
      </c>
      <c r="M43" s="1030"/>
      <c r="N43" s="352">
        <v>44001</v>
      </c>
      <c r="O43" s="198" t="s">
        <v>219</v>
      </c>
      <c r="P43" s="178"/>
      <c r="Q43" s="21"/>
      <c r="R43" s="198" t="s">
        <v>4</v>
      </c>
      <c r="S43" s="342"/>
      <c r="T43" s="198" t="s">
        <v>178</v>
      </c>
      <c r="U43" s="1069"/>
      <c r="V43" s="342"/>
      <c r="X43" s="239">
        <f t="shared" si="1"/>
        <v>1.4999999999999999E-2</v>
      </c>
    </row>
    <row r="44" spans="1:31" ht="15.75" customHeight="1">
      <c r="A44" s="339">
        <v>31</v>
      </c>
      <c r="B44" s="211" t="s">
        <v>411</v>
      </c>
      <c r="C44" s="352">
        <v>44001</v>
      </c>
      <c r="D44" s="295" t="s">
        <v>24</v>
      </c>
      <c r="E44" s="370" t="s">
        <v>412</v>
      </c>
      <c r="F44" s="21" t="s">
        <v>250</v>
      </c>
      <c r="G44" s="21" t="s">
        <v>418</v>
      </c>
      <c r="H44" s="207">
        <v>1</v>
      </c>
      <c r="I44" s="177" t="s">
        <v>207</v>
      </c>
      <c r="J44" s="320">
        <v>9.33</v>
      </c>
      <c r="K44" s="189" t="s">
        <v>197</v>
      </c>
      <c r="L44" s="167">
        <f t="shared" si="2"/>
        <v>9.33</v>
      </c>
      <c r="M44" s="1030"/>
      <c r="N44" s="352">
        <v>44001</v>
      </c>
      <c r="O44" s="198" t="s">
        <v>219</v>
      </c>
      <c r="P44" s="178"/>
      <c r="Q44" s="21"/>
      <c r="R44" s="198" t="s">
        <v>4</v>
      </c>
      <c r="S44" s="342"/>
      <c r="T44" s="198" t="s">
        <v>178</v>
      </c>
      <c r="U44" s="1069"/>
      <c r="V44" s="342"/>
      <c r="X44" s="239">
        <f t="shared" si="1"/>
        <v>9.3299999999999998E-3</v>
      </c>
    </row>
    <row r="45" spans="1:31" ht="15.75" customHeight="1">
      <c r="A45" s="339">
        <v>31</v>
      </c>
      <c r="B45" s="211" t="s">
        <v>411</v>
      </c>
      <c r="C45" s="352">
        <v>44001</v>
      </c>
      <c r="D45" s="295" t="s">
        <v>24</v>
      </c>
      <c r="E45" s="370" t="s">
        <v>412</v>
      </c>
      <c r="F45" s="21" t="s">
        <v>419</v>
      </c>
      <c r="G45" s="21" t="s">
        <v>204</v>
      </c>
      <c r="H45" s="207">
        <v>1</v>
      </c>
      <c r="I45" s="177" t="s">
        <v>207</v>
      </c>
      <c r="J45" s="320">
        <v>15</v>
      </c>
      <c r="K45" s="189" t="s">
        <v>197</v>
      </c>
      <c r="L45" s="167">
        <f t="shared" si="2"/>
        <v>15</v>
      </c>
      <c r="M45" s="1030"/>
      <c r="N45" s="352">
        <v>44001</v>
      </c>
      <c r="O45" s="198" t="s">
        <v>219</v>
      </c>
      <c r="P45" s="178"/>
      <c r="Q45" s="21"/>
      <c r="R45" s="198" t="s">
        <v>4</v>
      </c>
      <c r="S45" s="342"/>
      <c r="T45" s="198" t="s">
        <v>178</v>
      </c>
      <c r="U45" s="1069"/>
      <c r="V45" s="342"/>
      <c r="X45" s="239">
        <f t="shared" si="1"/>
        <v>1.4999999999999999E-2</v>
      </c>
    </row>
    <row r="46" spans="1:31" ht="15.75" customHeight="1">
      <c r="A46" s="339">
        <v>31</v>
      </c>
      <c r="B46" s="211" t="s">
        <v>411</v>
      </c>
      <c r="C46" s="352">
        <v>44001</v>
      </c>
      <c r="D46" s="295" t="s">
        <v>24</v>
      </c>
      <c r="E46" s="370" t="s">
        <v>412</v>
      </c>
      <c r="F46" s="21" t="s">
        <v>420</v>
      </c>
      <c r="G46" s="21" t="s">
        <v>179</v>
      </c>
      <c r="H46" s="207">
        <v>37</v>
      </c>
      <c r="I46" s="177" t="s">
        <v>207</v>
      </c>
      <c r="J46" s="320">
        <v>2</v>
      </c>
      <c r="K46" s="189" t="s">
        <v>197</v>
      </c>
      <c r="L46" s="167">
        <f t="shared" si="2"/>
        <v>74</v>
      </c>
      <c r="M46" s="1030"/>
      <c r="N46" s="352">
        <v>44001</v>
      </c>
      <c r="O46" s="198" t="s">
        <v>219</v>
      </c>
      <c r="P46" s="178"/>
      <c r="Q46" s="21"/>
      <c r="R46" s="198" t="s">
        <v>4</v>
      </c>
      <c r="S46" s="342"/>
      <c r="T46" s="198" t="s">
        <v>178</v>
      </c>
      <c r="U46" s="1069"/>
      <c r="V46" s="342"/>
      <c r="X46" s="239">
        <f t="shared" si="1"/>
        <v>7.3999999999999996E-2</v>
      </c>
    </row>
    <row r="47" spans="1:31" ht="15.75" customHeight="1">
      <c r="A47" s="339">
        <v>31</v>
      </c>
      <c r="B47" s="211" t="s">
        <v>411</v>
      </c>
      <c r="C47" s="352">
        <v>44001</v>
      </c>
      <c r="D47" s="295" t="s">
        <v>24</v>
      </c>
      <c r="E47" s="370" t="s">
        <v>412</v>
      </c>
      <c r="F47" s="21" t="s">
        <v>421</v>
      </c>
      <c r="G47" s="21" t="s">
        <v>179</v>
      </c>
      <c r="H47" s="207">
        <v>2</v>
      </c>
      <c r="I47" s="177" t="s">
        <v>207</v>
      </c>
      <c r="J47" s="320">
        <v>2</v>
      </c>
      <c r="K47" s="189" t="s">
        <v>197</v>
      </c>
      <c r="L47" s="167">
        <f t="shared" si="2"/>
        <v>4</v>
      </c>
      <c r="M47" s="1030"/>
      <c r="N47" s="352">
        <v>44001</v>
      </c>
      <c r="O47" s="198" t="s">
        <v>219</v>
      </c>
      <c r="P47" s="178"/>
      <c r="Q47" s="21"/>
      <c r="R47" s="198" t="s">
        <v>4</v>
      </c>
      <c r="S47" s="342"/>
      <c r="T47" s="198" t="s">
        <v>178</v>
      </c>
      <c r="U47" s="1069"/>
      <c r="V47" s="342"/>
      <c r="X47" s="239">
        <f t="shared" si="1"/>
        <v>4.0000000000000001E-3</v>
      </c>
    </row>
    <row r="48" spans="1:31" ht="15.75" customHeight="1">
      <c r="A48" s="340">
        <v>31</v>
      </c>
      <c r="B48" s="214" t="s">
        <v>411</v>
      </c>
      <c r="C48" s="353">
        <v>44001</v>
      </c>
      <c r="D48" s="309" t="s">
        <v>24</v>
      </c>
      <c r="E48" s="371" t="s">
        <v>412</v>
      </c>
      <c r="F48" s="22" t="s">
        <v>422</v>
      </c>
      <c r="G48" s="22" t="s">
        <v>179</v>
      </c>
      <c r="H48" s="209">
        <v>2</v>
      </c>
      <c r="I48" s="179" t="s">
        <v>207</v>
      </c>
      <c r="J48" s="321">
        <v>2</v>
      </c>
      <c r="K48" s="195" t="s">
        <v>197</v>
      </c>
      <c r="L48" s="170">
        <f t="shared" si="2"/>
        <v>4</v>
      </c>
      <c r="M48" s="1031"/>
      <c r="N48" s="353">
        <v>44001</v>
      </c>
      <c r="O48" s="201" t="s">
        <v>219</v>
      </c>
      <c r="P48" s="180"/>
      <c r="Q48" s="22"/>
      <c r="R48" s="201" t="s">
        <v>4</v>
      </c>
      <c r="S48" s="181"/>
      <c r="T48" s="201" t="s">
        <v>178</v>
      </c>
      <c r="U48" s="1070"/>
      <c r="V48" s="181"/>
      <c r="X48" s="239">
        <f t="shared" si="1"/>
        <v>4.0000000000000001E-3</v>
      </c>
    </row>
    <row r="49" spans="1:24" ht="15.75" customHeight="1">
      <c r="A49" s="338">
        <v>32</v>
      </c>
      <c r="B49" s="296" t="s">
        <v>423</v>
      </c>
      <c r="C49" s="351">
        <v>44001</v>
      </c>
      <c r="D49" s="297" t="s">
        <v>24</v>
      </c>
      <c r="E49" s="369" t="s">
        <v>424</v>
      </c>
      <c r="F49" s="19" t="s">
        <v>425</v>
      </c>
      <c r="G49" s="19" t="s">
        <v>425</v>
      </c>
      <c r="H49" s="279">
        <v>11</v>
      </c>
      <c r="I49" s="175" t="s">
        <v>207</v>
      </c>
      <c r="J49" s="318">
        <v>0.5</v>
      </c>
      <c r="K49" s="185" t="s">
        <v>197</v>
      </c>
      <c r="L49" s="165">
        <f t="shared" si="2"/>
        <v>5.5</v>
      </c>
      <c r="M49" s="1072">
        <v>10.5</v>
      </c>
      <c r="N49" s="351">
        <v>44001</v>
      </c>
      <c r="O49" s="197" t="s">
        <v>219</v>
      </c>
      <c r="P49" s="176"/>
      <c r="Q49" s="19"/>
      <c r="R49" s="197" t="s">
        <v>7</v>
      </c>
      <c r="S49" s="341"/>
      <c r="T49" s="197" t="s">
        <v>178</v>
      </c>
      <c r="U49" s="1068">
        <f>115.47*23300</f>
        <v>2690451</v>
      </c>
      <c r="V49" s="341"/>
      <c r="X49" s="239">
        <f t="shared" si="1"/>
        <v>5.4999999999999997E-3</v>
      </c>
    </row>
    <row r="50" spans="1:24" ht="15.75" customHeight="1">
      <c r="A50" s="340">
        <v>32</v>
      </c>
      <c r="B50" s="214" t="s">
        <v>423</v>
      </c>
      <c r="C50" s="353">
        <v>44001</v>
      </c>
      <c r="D50" s="309" t="s">
        <v>24</v>
      </c>
      <c r="E50" s="371" t="s">
        <v>424</v>
      </c>
      <c r="F50" s="22" t="s">
        <v>426</v>
      </c>
      <c r="G50" s="22" t="s">
        <v>180</v>
      </c>
      <c r="H50" s="209">
        <v>3</v>
      </c>
      <c r="I50" s="179" t="s">
        <v>427</v>
      </c>
      <c r="J50" s="321">
        <v>3</v>
      </c>
      <c r="K50" s="195" t="s">
        <v>197</v>
      </c>
      <c r="L50" s="170">
        <f t="shared" si="2"/>
        <v>9</v>
      </c>
      <c r="M50" s="1074"/>
      <c r="N50" s="353">
        <v>44001</v>
      </c>
      <c r="O50" s="201" t="s">
        <v>219</v>
      </c>
      <c r="P50" s="180"/>
      <c r="Q50" s="22"/>
      <c r="R50" s="201" t="s">
        <v>7</v>
      </c>
      <c r="S50" s="181"/>
      <c r="T50" s="201" t="s">
        <v>178</v>
      </c>
      <c r="U50" s="1070"/>
      <c r="V50" s="181"/>
      <c r="X50" s="239">
        <f t="shared" si="1"/>
        <v>8.9999999999999993E-3</v>
      </c>
    </row>
    <row r="51" spans="1:24" ht="15.75">
      <c r="A51" s="338">
        <v>33</v>
      </c>
      <c r="B51" s="296" t="s">
        <v>428</v>
      </c>
      <c r="C51" s="351">
        <v>44005</v>
      </c>
      <c r="D51" s="297" t="s">
        <v>24</v>
      </c>
      <c r="E51" s="369" t="s">
        <v>429</v>
      </c>
      <c r="F51" s="19" t="s">
        <v>430</v>
      </c>
      <c r="G51" s="19" t="s">
        <v>431</v>
      </c>
      <c r="H51" s="279">
        <v>3</v>
      </c>
      <c r="I51" s="175" t="s">
        <v>207</v>
      </c>
      <c r="J51" s="318">
        <v>6</v>
      </c>
      <c r="K51" s="185" t="s">
        <v>197</v>
      </c>
      <c r="L51" s="165">
        <f>J51*H51</f>
        <v>18</v>
      </c>
      <c r="M51" s="1072">
        <v>9.8000000000000007</v>
      </c>
      <c r="N51" s="351">
        <v>44005</v>
      </c>
      <c r="O51" s="197" t="s">
        <v>219</v>
      </c>
      <c r="P51" s="176"/>
      <c r="Q51" s="19"/>
      <c r="R51" s="197" t="s">
        <v>4</v>
      </c>
      <c r="S51" s="341"/>
      <c r="T51" s="197" t="s">
        <v>178</v>
      </c>
      <c r="U51" s="1068">
        <f>109.61*23300</f>
        <v>2553913</v>
      </c>
      <c r="V51" s="341"/>
      <c r="X51" s="239">
        <f t="shared" si="1"/>
        <v>1.7999999999999999E-2</v>
      </c>
    </row>
    <row r="52" spans="1:24" ht="15.75">
      <c r="A52" s="340">
        <v>33</v>
      </c>
      <c r="B52" s="214" t="s">
        <v>428</v>
      </c>
      <c r="C52" s="353">
        <v>44005</v>
      </c>
      <c r="D52" s="309" t="s">
        <v>24</v>
      </c>
      <c r="E52" s="371" t="s">
        <v>429</v>
      </c>
      <c r="F52" s="22" t="s">
        <v>346</v>
      </c>
      <c r="G52" s="22" t="s">
        <v>210</v>
      </c>
      <c r="H52" s="209">
        <v>2</v>
      </c>
      <c r="I52" s="179" t="s">
        <v>207</v>
      </c>
      <c r="J52" s="321">
        <v>15</v>
      </c>
      <c r="K52" s="195" t="s">
        <v>197</v>
      </c>
      <c r="L52" s="170">
        <f t="shared" si="2"/>
        <v>30</v>
      </c>
      <c r="M52" s="1074"/>
      <c r="N52" s="353">
        <v>44005</v>
      </c>
      <c r="O52" s="201" t="s">
        <v>219</v>
      </c>
      <c r="P52" s="180"/>
      <c r="Q52" s="22"/>
      <c r="R52" s="201" t="s">
        <v>4</v>
      </c>
      <c r="S52" s="181"/>
      <c r="T52" s="201" t="s">
        <v>178</v>
      </c>
      <c r="U52" s="1070"/>
      <c r="V52" s="181"/>
      <c r="X52" s="239">
        <f t="shared" si="1"/>
        <v>0.03</v>
      </c>
    </row>
    <row r="53" spans="1:24" ht="15.75">
      <c r="A53" s="338">
        <v>34</v>
      </c>
      <c r="B53" s="296" t="s">
        <v>432</v>
      </c>
      <c r="C53" s="351">
        <v>44008</v>
      </c>
      <c r="D53" s="297" t="s">
        <v>24</v>
      </c>
      <c r="E53" s="369" t="s">
        <v>433</v>
      </c>
      <c r="F53" s="19" t="s">
        <v>434</v>
      </c>
      <c r="G53" s="19" t="s">
        <v>180</v>
      </c>
      <c r="H53" s="279">
        <v>14</v>
      </c>
      <c r="I53" s="175" t="s">
        <v>207</v>
      </c>
      <c r="J53" s="318">
        <v>1</v>
      </c>
      <c r="K53" s="185" t="s">
        <v>197</v>
      </c>
      <c r="L53" s="165">
        <f t="shared" si="2"/>
        <v>14</v>
      </c>
      <c r="M53" s="1072">
        <v>19.5</v>
      </c>
      <c r="N53" s="351">
        <v>44008</v>
      </c>
      <c r="O53" s="197" t="s">
        <v>219</v>
      </c>
      <c r="P53" s="176"/>
      <c r="Q53" s="19"/>
      <c r="R53" s="197" t="s">
        <v>7</v>
      </c>
      <c r="S53" s="341"/>
      <c r="T53" s="197" t="s">
        <v>178</v>
      </c>
      <c r="U53" s="1068">
        <f>184.47*23300</f>
        <v>4298151</v>
      </c>
      <c r="V53" s="341"/>
      <c r="X53" s="239">
        <f t="shared" si="1"/>
        <v>1.4E-2</v>
      </c>
    </row>
    <row r="54" spans="1:24" ht="15.75">
      <c r="A54" s="339">
        <v>34</v>
      </c>
      <c r="B54" s="211" t="s">
        <v>432</v>
      </c>
      <c r="C54" s="352">
        <v>44008</v>
      </c>
      <c r="D54" s="295" t="s">
        <v>24</v>
      </c>
      <c r="E54" s="370" t="s">
        <v>433</v>
      </c>
      <c r="F54" s="21" t="s">
        <v>435</v>
      </c>
      <c r="G54" s="21" t="s">
        <v>180</v>
      </c>
      <c r="H54" s="207">
        <v>8</v>
      </c>
      <c r="I54" s="177" t="s">
        <v>207</v>
      </c>
      <c r="J54" s="320">
        <v>1</v>
      </c>
      <c r="K54" s="189" t="s">
        <v>197</v>
      </c>
      <c r="L54" s="167">
        <f t="shared" si="2"/>
        <v>8</v>
      </c>
      <c r="M54" s="1073"/>
      <c r="N54" s="352">
        <v>44008</v>
      </c>
      <c r="O54" s="198" t="s">
        <v>219</v>
      </c>
      <c r="P54" s="178"/>
      <c r="Q54" s="21"/>
      <c r="R54" s="198" t="s">
        <v>7</v>
      </c>
      <c r="S54" s="342"/>
      <c r="T54" s="198" t="s">
        <v>178</v>
      </c>
      <c r="U54" s="1069"/>
      <c r="V54" s="342"/>
      <c r="X54" s="239">
        <f t="shared" si="1"/>
        <v>8.0000000000000002E-3</v>
      </c>
    </row>
    <row r="55" spans="1:24" ht="15.75" customHeight="1">
      <c r="A55" s="339">
        <v>34</v>
      </c>
      <c r="B55" s="211" t="s">
        <v>432</v>
      </c>
      <c r="C55" s="352">
        <v>44008</v>
      </c>
      <c r="D55" s="295" t="s">
        <v>24</v>
      </c>
      <c r="E55" s="370" t="s">
        <v>433</v>
      </c>
      <c r="F55" s="21" t="s">
        <v>436</v>
      </c>
      <c r="G55" s="21" t="s">
        <v>180</v>
      </c>
      <c r="H55" s="207">
        <v>3</v>
      </c>
      <c r="I55" s="177" t="s">
        <v>427</v>
      </c>
      <c r="J55" s="320">
        <v>3</v>
      </c>
      <c r="K55" s="189" t="s">
        <v>197</v>
      </c>
      <c r="L55" s="167">
        <f t="shared" si="2"/>
        <v>9</v>
      </c>
      <c r="M55" s="1073"/>
      <c r="N55" s="352">
        <v>44008</v>
      </c>
      <c r="O55" s="198" t="s">
        <v>219</v>
      </c>
      <c r="P55" s="178"/>
      <c r="Q55" s="21"/>
      <c r="R55" s="198" t="s">
        <v>7</v>
      </c>
      <c r="S55" s="342"/>
      <c r="T55" s="198" t="s">
        <v>178</v>
      </c>
      <c r="U55" s="1069"/>
      <c r="V55" s="342"/>
      <c r="X55" s="239">
        <f t="shared" si="1"/>
        <v>8.9999999999999993E-3</v>
      </c>
    </row>
    <row r="56" spans="1:24" ht="15.75" customHeight="1">
      <c r="A56" s="340">
        <v>34</v>
      </c>
      <c r="B56" s="214" t="s">
        <v>432</v>
      </c>
      <c r="C56" s="353">
        <v>44008</v>
      </c>
      <c r="D56" s="309" t="s">
        <v>24</v>
      </c>
      <c r="E56" s="371" t="s">
        <v>433</v>
      </c>
      <c r="F56" s="22" t="s">
        <v>282</v>
      </c>
      <c r="G56" s="22" t="s">
        <v>180</v>
      </c>
      <c r="H56" s="209">
        <v>22</v>
      </c>
      <c r="I56" s="179" t="s">
        <v>207</v>
      </c>
      <c r="J56" s="321">
        <v>1</v>
      </c>
      <c r="K56" s="195" t="s">
        <v>197</v>
      </c>
      <c r="L56" s="170">
        <f t="shared" si="2"/>
        <v>22</v>
      </c>
      <c r="M56" s="1074"/>
      <c r="N56" s="353">
        <v>44008</v>
      </c>
      <c r="O56" s="201" t="s">
        <v>219</v>
      </c>
      <c r="P56" s="180"/>
      <c r="Q56" s="22"/>
      <c r="R56" s="201" t="s">
        <v>7</v>
      </c>
      <c r="S56" s="181"/>
      <c r="T56" s="201" t="s">
        <v>178</v>
      </c>
      <c r="U56" s="1070"/>
      <c r="V56" s="181"/>
      <c r="X56" s="239">
        <f t="shared" si="1"/>
        <v>2.1999999999999999E-2</v>
      </c>
    </row>
    <row r="57" spans="1:24" ht="15.75" customHeight="1">
      <c r="A57" s="338">
        <v>35</v>
      </c>
      <c r="B57" s="296" t="s">
        <v>437</v>
      </c>
      <c r="C57" s="351">
        <v>44008</v>
      </c>
      <c r="D57" s="297" t="s">
        <v>24</v>
      </c>
      <c r="E57" s="369" t="s">
        <v>438</v>
      </c>
      <c r="F57" s="19" t="s">
        <v>439</v>
      </c>
      <c r="G57" s="19" t="s">
        <v>271</v>
      </c>
      <c r="H57" s="279">
        <v>1</v>
      </c>
      <c r="I57" s="175" t="s">
        <v>207</v>
      </c>
      <c r="J57" s="318">
        <v>15</v>
      </c>
      <c r="K57" s="185" t="s">
        <v>197</v>
      </c>
      <c r="L57" s="165">
        <f t="shared" si="2"/>
        <v>15</v>
      </c>
      <c r="M57" s="1029">
        <v>19</v>
      </c>
      <c r="N57" s="351">
        <v>44008</v>
      </c>
      <c r="O57" s="197" t="s">
        <v>219</v>
      </c>
      <c r="P57" s="176"/>
      <c r="Q57" s="19"/>
      <c r="R57" s="197" t="s">
        <v>4</v>
      </c>
      <c r="S57" s="341"/>
      <c r="T57" s="197" t="s">
        <v>178</v>
      </c>
      <c r="U57" s="1068">
        <f>191.07*23300</f>
        <v>4451931</v>
      </c>
      <c r="V57" s="341"/>
      <c r="X57" s="239">
        <f t="shared" si="1"/>
        <v>1.4999999999999999E-2</v>
      </c>
    </row>
    <row r="58" spans="1:24" ht="15.75" customHeight="1">
      <c r="A58" s="339">
        <v>35</v>
      </c>
      <c r="B58" s="211" t="s">
        <v>437</v>
      </c>
      <c r="C58" s="352">
        <v>44008</v>
      </c>
      <c r="D58" s="295" t="s">
        <v>24</v>
      </c>
      <c r="E58" s="370" t="s">
        <v>438</v>
      </c>
      <c r="F58" s="21" t="s">
        <v>440</v>
      </c>
      <c r="G58" s="21" t="s">
        <v>210</v>
      </c>
      <c r="H58" s="207">
        <v>1</v>
      </c>
      <c r="I58" s="177" t="s">
        <v>207</v>
      </c>
      <c r="J58" s="320">
        <v>15</v>
      </c>
      <c r="K58" s="189" t="s">
        <v>197</v>
      </c>
      <c r="L58" s="167">
        <f t="shared" si="2"/>
        <v>15</v>
      </c>
      <c r="M58" s="1030"/>
      <c r="N58" s="352">
        <v>44008</v>
      </c>
      <c r="O58" s="198" t="s">
        <v>219</v>
      </c>
      <c r="P58" s="178"/>
      <c r="Q58" s="21"/>
      <c r="R58" s="198" t="s">
        <v>4</v>
      </c>
      <c r="S58" s="342"/>
      <c r="T58" s="198" t="s">
        <v>178</v>
      </c>
      <c r="U58" s="1069"/>
      <c r="V58" s="342"/>
      <c r="X58" s="239">
        <f t="shared" si="1"/>
        <v>1.4999999999999999E-2</v>
      </c>
    </row>
    <row r="59" spans="1:24" ht="15.75" customHeight="1">
      <c r="A59" s="339">
        <v>35</v>
      </c>
      <c r="B59" s="211" t="s">
        <v>437</v>
      </c>
      <c r="C59" s="352">
        <v>44008</v>
      </c>
      <c r="D59" s="295" t="s">
        <v>24</v>
      </c>
      <c r="E59" s="370" t="s">
        <v>438</v>
      </c>
      <c r="F59" s="21" t="s">
        <v>441</v>
      </c>
      <c r="G59" s="21" t="s">
        <v>442</v>
      </c>
      <c r="H59" s="207">
        <v>1</v>
      </c>
      <c r="I59" s="177" t="s">
        <v>207</v>
      </c>
      <c r="J59" s="320">
        <v>15</v>
      </c>
      <c r="K59" s="189" t="s">
        <v>197</v>
      </c>
      <c r="L59" s="167">
        <f t="shared" si="2"/>
        <v>15</v>
      </c>
      <c r="M59" s="1030"/>
      <c r="N59" s="352">
        <v>44008</v>
      </c>
      <c r="O59" s="198" t="s">
        <v>219</v>
      </c>
      <c r="P59" s="178"/>
      <c r="Q59" s="21"/>
      <c r="R59" s="198" t="s">
        <v>4</v>
      </c>
      <c r="S59" s="342"/>
      <c r="T59" s="198" t="s">
        <v>178</v>
      </c>
      <c r="U59" s="1069"/>
      <c r="V59" s="342"/>
      <c r="X59" s="239">
        <f t="shared" si="1"/>
        <v>1.4999999999999999E-2</v>
      </c>
    </row>
    <row r="60" spans="1:24" ht="15.75" customHeight="1">
      <c r="A60" s="339">
        <v>35</v>
      </c>
      <c r="B60" s="211" t="s">
        <v>437</v>
      </c>
      <c r="C60" s="352">
        <v>44008</v>
      </c>
      <c r="D60" s="295" t="s">
        <v>24</v>
      </c>
      <c r="E60" s="370" t="s">
        <v>438</v>
      </c>
      <c r="F60" s="21" t="s">
        <v>443</v>
      </c>
      <c r="G60" s="21" t="s">
        <v>442</v>
      </c>
      <c r="H60" s="207">
        <v>1</v>
      </c>
      <c r="I60" s="177" t="s">
        <v>207</v>
      </c>
      <c r="J60" s="320">
        <v>15</v>
      </c>
      <c r="K60" s="189" t="s">
        <v>197</v>
      </c>
      <c r="L60" s="167">
        <f t="shared" si="2"/>
        <v>15</v>
      </c>
      <c r="M60" s="1030"/>
      <c r="N60" s="352">
        <v>44008</v>
      </c>
      <c r="O60" s="198" t="s">
        <v>219</v>
      </c>
      <c r="P60" s="178"/>
      <c r="Q60" s="21"/>
      <c r="R60" s="198" t="s">
        <v>4</v>
      </c>
      <c r="S60" s="342"/>
      <c r="T60" s="198" t="s">
        <v>178</v>
      </c>
      <c r="U60" s="1069"/>
      <c r="V60" s="342"/>
      <c r="X60" s="239">
        <f t="shared" si="1"/>
        <v>1.4999999999999999E-2</v>
      </c>
    </row>
    <row r="61" spans="1:24" ht="15.75" customHeight="1">
      <c r="A61" s="339">
        <v>35</v>
      </c>
      <c r="B61" s="211" t="s">
        <v>437</v>
      </c>
      <c r="C61" s="352">
        <v>44008</v>
      </c>
      <c r="D61" s="295" t="s">
        <v>24</v>
      </c>
      <c r="E61" s="370" t="s">
        <v>438</v>
      </c>
      <c r="F61" s="21" t="s">
        <v>444</v>
      </c>
      <c r="G61" s="21" t="s">
        <v>442</v>
      </c>
      <c r="H61" s="207">
        <v>1</v>
      </c>
      <c r="I61" s="177" t="s">
        <v>207</v>
      </c>
      <c r="J61" s="320">
        <v>20</v>
      </c>
      <c r="K61" s="189" t="s">
        <v>197</v>
      </c>
      <c r="L61" s="167">
        <f t="shared" si="2"/>
        <v>20</v>
      </c>
      <c r="M61" s="1030"/>
      <c r="N61" s="352">
        <v>44008</v>
      </c>
      <c r="O61" s="198" t="s">
        <v>219</v>
      </c>
      <c r="P61" s="178"/>
      <c r="Q61" s="21"/>
      <c r="R61" s="198" t="s">
        <v>4</v>
      </c>
      <c r="S61" s="342"/>
      <c r="T61" s="198" t="s">
        <v>178</v>
      </c>
      <c r="U61" s="1069"/>
      <c r="V61" s="342"/>
      <c r="X61" s="239">
        <f t="shared" si="1"/>
        <v>0.02</v>
      </c>
    </row>
    <row r="62" spans="1:24" s="256" customFormat="1" ht="15.75" customHeight="1">
      <c r="A62" s="339">
        <v>35</v>
      </c>
      <c r="B62" s="211" t="s">
        <v>437</v>
      </c>
      <c r="C62" s="352">
        <v>44008</v>
      </c>
      <c r="D62" s="295" t="s">
        <v>24</v>
      </c>
      <c r="E62" s="370" t="s">
        <v>438</v>
      </c>
      <c r="F62" s="21" t="s">
        <v>445</v>
      </c>
      <c r="G62" s="21" t="s">
        <v>446</v>
      </c>
      <c r="H62" s="207">
        <v>1</v>
      </c>
      <c r="I62" s="177" t="s">
        <v>207</v>
      </c>
      <c r="J62" s="320">
        <v>5</v>
      </c>
      <c r="K62" s="189" t="s">
        <v>197</v>
      </c>
      <c r="L62" s="167">
        <f t="shared" si="2"/>
        <v>5</v>
      </c>
      <c r="M62" s="1030"/>
      <c r="N62" s="352">
        <v>44008</v>
      </c>
      <c r="O62" s="198" t="s">
        <v>219</v>
      </c>
      <c r="P62" s="178"/>
      <c r="Q62" s="21"/>
      <c r="R62" s="198" t="s">
        <v>4</v>
      </c>
      <c r="S62" s="342"/>
      <c r="T62" s="198" t="s">
        <v>178</v>
      </c>
      <c r="U62" s="1069"/>
      <c r="V62" s="342"/>
      <c r="X62" s="239">
        <f t="shared" si="1"/>
        <v>5.0000000000000001E-3</v>
      </c>
    </row>
    <row r="63" spans="1:24" ht="15.75" customHeight="1">
      <c r="A63" s="339">
        <v>35</v>
      </c>
      <c r="B63" s="211" t="s">
        <v>437</v>
      </c>
      <c r="C63" s="352">
        <v>44008</v>
      </c>
      <c r="D63" s="295" t="s">
        <v>24</v>
      </c>
      <c r="E63" s="370" t="s">
        <v>438</v>
      </c>
      <c r="F63" s="21" t="s">
        <v>447</v>
      </c>
      <c r="G63" s="21" t="s">
        <v>213</v>
      </c>
      <c r="H63" s="207">
        <v>1</v>
      </c>
      <c r="I63" s="177" t="s">
        <v>207</v>
      </c>
      <c r="J63" s="320">
        <v>11</v>
      </c>
      <c r="K63" s="189" t="s">
        <v>197</v>
      </c>
      <c r="L63" s="167">
        <f t="shared" si="2"/>
        <v>11</v>
      </c>
      <c r="M63" s="1030"/>
      <c r="N63" s="352">
        <v>44008</v>
      </c>
      <c r="O63" s="198" t="s">
        <v>219</v>
      </c>
      <c r="P63" s="178"/>
      <c r="Q63" s="21"/>
      <c r="R63" s="198" t="s">
        <v>4</v>
      </c>
      <c r="S63" s="342"/>
      <c r="T63" s="198" t="s">
        <v>178</v>
      </c>
      <c r="U63" s="1069"/>
      <c r="V63" s="342"/>
      <c r="X63" s="239">
        <f t="shared" si="1"/>
        <v>1.0999999999999999E-2</v>
      </c>
    </row>
    <row r="64" spans="1:24" ht="15.75" customHeight="1">
      <c r="A64" s="339">
        <v>35</v>
      </c>
      <c r="B64" s="211" t="s">
        <v>437</v>
      </c>
      <c r="C64" s="352">
        <v>44008</v>
      </c>
      <c r="D64" s="295" t="s">
        <v>24</v>
      </c>
      <c r="E64" s="370" t="s">
        <v>438</v>
      </c>
      <c r="F64" s="21" t="s">
        <v>448</v>
      </c>
      <c r="G64" s="21" t="s">
        <v>449</v>
      </c>
      <c r="H64" s="207">
        <v>5</v>
      </c>
      <c r="I64" s="177" t="s">
        <v>207</v>
      </c>
      <c r="J64" s="320">
        <v>2</v>
      </c>
      <c r="K64" s="189" t="s">
        <v>197</v>
      </c>
      <c r="L64" s="167">
        <f t="shared" si="2"/>
        <v>10</v>
      </c>
      <c r="M64" s="1030"/>
      <c r="N64" s="352">
        <v>44008</v>
      </c>
      <c r="O64" s="198" t="s">
        <v>219</v>
      </c>
      <c r="P64" s="178"/>
      <c r="Q64" s="21"/>
      <c r="R64" s="198" t="s">
        <v>4</v>
      </c>
      <c r="S64" s="342"/>
      <c r="T64" s="198" t="s">
        <v>178</v>
      </c>
      <c r="U64" s="1069"/>
      <c r="V64" s="342"/>
      <c r="X64" s="239">
        <f t="shared" si="1"/>
        <v>0.01</v>
      </c>
    </row>
    <row r="65" spans="1:24" ht="15.75">
      <c r="A65" s="339">
        <v>35</v>
      </c>
      <c r="B65" s="211" t="s">
        <v>437</v>
      </c>
      <c r="C65" s="352">
        <v>44008</v>
      </c>
      <c r="D65" s="295" t="s">
        <v>24</v>
      </c>
      <c r="E65" s="370" t="s">
        <v>438</v>
      </c>
      <c r="F65" s="21" t="s">
        <v>450</v>
      </c>
      <c r="G65" s="21" t="s">
        <v>179</v>
      </c>
      <c r="H65" s="207">
        <v>2</v>
      </c>
      <c r="I65" s="177" t="s">
        <v>207</v>
      </c>
      <c r="J65" s="320">
        <v>6</v>
      </c>
      <c r="K65" s="189" t="s">
        <v>197</v>
      </c>
      <c r="L65" s="167">
        <f t="shared" si="2"/>
        <v>12</v>
      </c>
      <c r="M65" s="1030"/>
      <c r="N65" s="352">
        <v>44008</v>
      </c>
      <c r="O65" s="198" t="s">
        <v>219</v>
      </c>
      <c r="P65" s="178"/>
      <c r="Q65" s="21"/>
      <c r="R65" s="198" t="s">
        <v>4</v>
      </c>
      <c r="S65" s="342"/>
      <c r="T65" s="198" t="s">
        <v>178</v>
      </c>
      <c r="U65" s="1069"/>
      <c r="V65" s="342"/>
      <c r="X65" s="239">
        <f t="shared" si="1"/>
        <v>1.2E-2</v>
      </c>
    </row>
    <row r="66" spans="1:24" ht="15.75">
      <c r="A66" s="339">
        <v>35</v>
      </c>
      <c r="B66" s="211" t="s">
        <v>437</v>
      </c>
      <c r="C66" s="352">
        <v>44008</v>
      </c>
      <c r="D66" s="295" t="s">
        <v>24</v>
      </c>
      <c r="E66" s="370" t="s">
        <v>438</v>
      </c>
      <c r="F66" s="21" t="s">
        <v>409</v>
      </c>
      <c r="G66" s="21" t="s">
        <v>179</v>
      </c>
      <c r="H66" s="207">
        <v>2</v>
      </c>
      <c r="I66" s="177" t="s">
        <v>207</v>
      </c>
      <c r="J66" s="320">
        <v>6</v>
      </c>
      <c r="K66" s="189" t="s">
        <v>197</v>
      </c>
      <c r="L66" s="167">
        <f t="shared" si="2"/>
        <v>12</v>
      </c>
      <c r="M66" s="1030"/>
      <c r="N66" s="352">
        <v>44008</v>
      </c>
      <c r="O66" s="198" t="s">
        <v>219</v>
      </c>
      <c r="P66" s="178"/>
      <c r="Q66" s="21"/>
      <c r="R66" s="198" t="s">
        <v>4</v>
      </c>
      <c r="S66" s="342"/>
      <c r="T66" s="198" t="s">
        <v>178</v>
      </c>
      <c r="U66" s="1069"/>
      <c r="V66" s="342"/>
      <c r="X66" s="239">
        <f t="shared" si="1"/>
        <v>1.2E-2</v>
      </c>
    </row>
    <row r="67" spans="1:24" ht="15.75">
      <c r="A67" s="340">
        <v>35</v>
      </c>
      <c r="B67" s="214" t="s">
        <v>437</v>
      </c>
      <c r="C67" s="353">
        <v>44008</v>
      </c>
      <c r="D67" s="309" t="s">
        <v>24</v>
      </c>
      <c r="E67" s="371" t="s">
        <v>438</v>
      </c>
      <c r="F67" s="22" t="s">
        <v>451</v>
      </c>
      <c r="G67" s="22" t="s">
        <v>179</v>
      </c>
      <c r="H67" s="209">
        <v>4</v>
      </c>
      <c r="I67" s="179" t="s">
        <v>207</v>
      </c>
      <c r="J67" s="321">
        <v>2</v>
      </c>
      <c r="K67" s="195" t="s">
        <v>197</v>
      </c>
      <c r="L67" s="170">
        <f t="shared" si="2"/>
        <v>8</v>
      </c>
      <c r="M67" s="1031"/>
      <c r="N67" s="353">
        <v>44008</v>
      </c>
      <c r="O67" s="201" t="s">
        <v>219</v>
      </c>
      <c r="P67" s="180"/>
      <c r="Q67" s="22"/>
      <c r="R67" s="201" t="s">
        <v>4</v>
      </c>
      <c r="S67" s="181"/>
      <c r="T67" s="201" t="s">
        <v>178</v>
      </c>
      <c r="U67" s="1070"/>
      <c r="V67" s="181"/>
      <c r="X67" s="239">
        <f t="shared" si="1"/>
        <v>8.0000000000000002E-3</v>
      </c>
    </row>
    <row r="68" spans="1:24" ht="15.75">
      <c r="A68" s="338">
        <v>36</v>
      </c>
      <c r="B68" s="296" t="s">
        <v>452</v>
      </c>
      <c r="C68" s="351">
        <v>44008</v>
      </c>
      <c r="D68" s="297" t="s">
        <v>24</v>
      </c>
      <c r="E68" s="369" t="s">
        <v>453</v>
      </c>
      <c r="F68" s="19" t="s">
        <v>398</v>
      </c>
      <c r="G68" s="19" t="s">
        <v>204</v>
      </c>
      <c r="H68" s="279">
        <v>2</v>
      </c>
      <c r="I68" s="175" t="s">
        <v>207</v>
      </c>
      <c r="J68" s="318">
        <v>15</v>
      </c>
      <c r="K68" s="185" t="s">
        <v>197</v>
      </c>
      <c r="L68" s="165">
        <f t="shared" si="2"/>
        <v>30</v>
      </c>
      <c r="M68" s="1072">
        <v>12.9</v>
      </c>
      <c r="N68" s="351">
        <v>44008</v>
      </c>
      <c r="O68" s="197" t="s">
        <v>219</v>
      </c>
      <c r="P68" s="176"/>
      <c r="Q68" s="19"/>
      <c r="R68" s="197" t="s">
        <v>4</v>
      </c>
      <c r="S68" s="341"/>
      <c r="T68" s="197" t="s">
        <v>178</v>
      </c>
      <c r="U68" s="1068">
        <f>150.27*23300</f>
        <v>3501291.0000000005</v>
      </c>
      <c r="V68" s="341"/>
      <c r="X68" s="239">
        <f t="shared" si="1"/>
        <v>0.03</v>
      </c>
    </row>
    <row r="69" spans="1:24" ht="15.75">
      <c r="A69" s="339">
        <v>36</v>
      </c>
      <c r="B69" s="211" t="s">
        <v>452</v>
      </c>
      <c r="C69" s="352">
        <v>44008</v>
      </c>
      <c r="D69" s="295" t="s">
        <v>24</v>
      </c>
      <c r="E69" s="370" t="s">
        <v>453</v>
      </c>
      <c r="F69" s="21" t="s">
        <v>454</v>
      </c>
      <c r="G69" s="21" t="s">
        <v>351</v>
      </c>
      <c r="H69" s="207">
        <v>2</v>
      </c>
      <c r="I69" s="177" t="s">
        <v>207</v>
      </c>
      <c r="J69" s="320">
        <v>15</v>
      </c>
      <c r="K69" s="189" t="s">
        <v>197</v>
      </c>
      <c r="L69" s="167">
        <f t="shared" si="2"/>
        <v>30</v>
      </c>
      <c r="M69" s="1073"/>
      <c r="N69" s="352">
        <v>44008</v>
      </c>
      <c r="O69" s="198" t="s">
        <v>219</v>
      </c>
      <c r="P69" s="178"/>
      <c r="Q69" s="21"/>
      <c r="R69" s="198" t="s">
        <v>4</v>
      </c>
      <c r="S69" s="342"/>
      <c r="T69" s="198" t="s">
        <v>178</v>
      </c>
      <c r="U69" s="1069"/>
      <c r="V69" s="342"/>
      <c r="X69" s="239">
        <f t="shared" si="1"/>
        <v>0.03</v>
      </c>
    </row>
    <row r="70" spans="1:24" ht="15.75">
      <c r="A70" s="340">
        <v>36</v>
      </c>
      <c r="B70" s="214" t="s">
        <v>452</v>
      </c>
      <c r="C70" s="353">
        <v>44008</v>
      </c>
      <c r="D70" s="309" t="s">
        <v>24</v>
      </c>
      <c r="E70" s="371" t="s">
        <v>453</v>
      </c>
      <c r="F70" s="22" t="s">
        <v>455</v>
      </c>
      <c r="G70" s="22" t="s">
        <v>416</v>
      </c>
      <c r="H70" s="209">
        <v>2</v>
      </c>
      <c r="I70" s="179" t="s">
        <v>207</v>
      </c>
      <c r="J70" s="321">
        <v>30</v>
      </c>
      <c r="K70" s="195" t="s">
        <v>197</v>
      </c>
      <c r="L70" s="170">
        <f t="shared" si="2"/>
        <v>60</v>
      </c>
      <c r="M70" s="1074"/>
      <c r="N70" s="353">
        <v>44008</v>
      </c>
      <c r="O70" s="201" t="s">
        <v>219</v>
      </c>
      <c r="P70" s="180"/>
      <c r="Q70" s="22"/>
      <c r="R70" s="201" t="s">
        <v>4</v>
      </c>
      <c r="S70" s="181"/>
      <c r="T70" s="201" t="s">
        <v>178</v>
      </c>
      <c r="U70" s="1070"/>
      <c r="V70" s="181"/>
      <c r="X70" s="239">
        <f t="shared" si="1"/>
        <v>0.06</v>
      </c>
    </row>
    <row r="71" spans="1:24" ht="15.75">
      <c r="A71" s="458">
        <v>130</v>
      </c>
      <c r="B71" s="459" t="s">
        <v>456</v>
      </c>
      <c r="C71" s="460">
        <v>43921</v>
      </c>
      <c r="D71" s="461" t="s">
        <v>24</v>
      </c>
      <c r="E71" s="462" t="s">
        <v>457</v>
      </c>
      <c r="F71" s="463" t="s">
        <v>458</v>
      </c>
      <c r="G71" s="463" t="s">
        <v>214</v>
      </c>
      <c r="H71" s="464">
        <v>1</v>
      </c>
      <c r="I71" s="465" t="s">
        <v>207</v>
      </c>
      <c r="J71" s="466">
        <v>2</v>
      </c>
      <c r="K71" s="467" t="s">
        <v>197</v>
      </c>
      <c r="L71" s="468">
        <f t="shared" si="2"/>
        <v>2</v>
      </c>
      <c r="M71" s="1089">
        <v>20.100000000000001</v>
      </c>
      <c r="N71" s="469">
        <v>43921</v>
      </c>
      <c r="O71" s="470" t="s">
        <v>219</v>
      </c>
      <c r="P71" s="471"/>
      <c r="Q71" s="463"/>
      <c r="R71" s="472" t="s">
        <v>4</v>
      </c>
      <c r="S71" s="473"/>
      <c r="T71" s="474" t="s">
        <v>178</v>
      </c>
      <c r="U71" s="1048">
        <f>14.66*23300</f>
        <v>341578</v>
      </c>
      <c r="V71" s="341"/>
      <c r="X71" s="239">
        <f t="shared" si="1"/>
        <v>2E-3</v>
      </c>
    </row>
    <row r="72" spans="1:24" ht="15.75">
      <c r="A72" s="475">
        <v>130</v>
      </c>
      <c r="B72" s="476" t="s">
        <v>456</v>
      </c>
      <c r="C72" s="477">
        <v>43921</v>
      </c>
      <c r="D72" s="478" t="s">
        <v>24</v>
      </c>
      <c r="E72" s="479" t="s">
        <v>457</v>
      </c>
      <c r="F72" s="480" t="s">
        <v>458</v>
      </c>
      <c r="G72" s="480" t="s">
        <v>214</v>
      </c>
      <c r="H72" s="481">
        <v>5</v>
      </c>
      <c r="I72" s="482" t="s">
        <v>207</v>
      </c>
      <c r="J72" s="483">
        <v>3</v>
      </c>
      <c r="K72" s="484" t="s">
        <v>197</v>
      </c>
      <c r="L72" s="485">
        <f t="shared" si="2"/>
        <v>15</v>
      </c>
      <c r="M72" s="1090"/>
      <c r="N72" s="486">
        <v>43921</v>
      </c>
      <c r="O72" s="487" t="s">
        <v>219</v>
      </c>
      <c r="P72" s="488"/>
      <c r="Q72" s="480"/>
      <c r="R72" s="266" t="s">
        <v>4</v>
      </c>
      <c r="S72" s="489"/>
      <c r="T72" s="490" t="s">
        <v>178</v>
      </c>
      <c r="U72" s="1050"/>
      <c r="V72" s="342"/>
      <c r="X72" s="239">
        <f t="shared" si="1"/>
        <v>1.4999999999999999E-2</v>
      </c>
    </row>
    <row r="73" spans="1:24" ht="15.75">
      <c r="A73" s="475">
        <v>130</v>
      </c>
      <c r="B73" s="476" t="s">
        <v>456</v>
      </c>
      <c r="C73" s="477">
        <v>43921</v>
      </c>
      <c r="D73" s="478" t="s">
        <v>24</v>
      </c>
      <c r="E73" s="479" t="s">
        <v>457</v>
      </c>
      <c r="F73" s="480" t="s">
        <v>459</v>
      </c>
      <c r="G73" s="480" t="s">
        <v>214</v>
      </c>
      <c r="H73" s="481">
        <v>6</v>
      </c>
      <c r="I73" s="482" t="s">
        <v>207</v>
      </c>
      <c r="J73" s="483">
        <v>10</v>
      </c>
      <c r="K73" s="484" t="s">
        <v>197</v>
      </c>
      <c r="L73" s="485">
        <f t="shared" si="2"/>
        <v>60</v>
      </c>
      <c r="M73" s="1090"/>
      <c r="N73" s="486">
        <v>43921</v>
      </c>
      <c r="O73" s="487" t="s">
        <v>219</v>
      </c>
      <c r="P73" s="488"/>
      <c r="Q73" s="480"/>
      <c r="R73" s="266" t="s">
        <v>4</v>
      </c>
      <c r="S73" s="489"/>
      <c r="T73" s="490" t="s">
        <v>178</v>
      </c>
      <c r="U73" s="1050"/>
      <c r="V73" s="342"/>
      <c r="X73" s="239">
        <f t="shared" si="1"/>
        <v>0.06</v>
      </c>
    </row>
    <row r="74" spans="1:24" ht="15.75">
      <c r="A74" s="475">
        <v>130</v>
      </c>
      <c r="B74" s="476" t="s">
        <v>456</v>
      </c>
      <c r="C74" s="477">
        <v>43921</v>
      </c>
      <c r="D74" s="478" t="s">
        <v>24</v>
      </c>
      <c r="E74" s="479" t="s">
        <v>457</v>
      </c>
      <c r="F74" s="480" t="s">
        <v>460</v>
      </c>
      <c r="G74" s="480" t="s">
        <v>214</v>
      </c>
      <c r="H74" s="481">
        <v>5</v>
      </c>
      <c r="I74" s="482" t="s">
        <v>207</v>
      </c>
      <c r="J74" s="483">
        <v>3</v>
      </c>
      <c r="K74" s="484" t="s">
        <v>197</v>
      </c>
      <c r="L74" s="485">
        <f t="shared" si="2"/>
        <v>15</v>
      </c>
      <c r="M74" s="1090"/>
      <c r="N74" s="486">
        <v>43921</v>
      </c>
      <c r="O74" s="487" t="s">
        <v>219</v>
      </c>
      <c r="P74" s="488"/>
      <c r="Q74" s="480"/>
      <c r="R74" s="266" t="s">
        <v>4</v>
      </c>
      <c r="S74" s="489"/>
      <c r="T74" s="490" t="s">
        <v>178</v>
      </c>
      <c r="U74" s="1050"/>
      <c r="V74" s="342"/>
      <c r="X74" s="239">
        <f t="shared" si="1"/>
        <v>1.4999999999999999E-2</v>
      </c>
    </row>
    <row r="75" spans="1:24" ht="15.75">
      <c r="A75" s="491">
        <v>130</v>
      </c>
      <c r="B75" s="492" t="s">
        <v>456</v>
      </c>
      <c r="C75" s="493">
        <v>43921</v>
      </c>
      <c r="D75" s="494" t="s">
        <v>24</v>
      </c>
      <c r="E75" s="495" t="s">
        <v>457</v>
      </c>
      <c r="F75" s="496" t="s">
        <v>461</v>
      </c>
      <c r="G75" s="496" t="s">
        <v>214</v>
      </c>
      <c r="H75" s="497">
        <v>6</v>
      </c>
      <c r="I75" s="498" t="s">
        <v>207</v>
      </c>
      <c r="J75" s="499">
        <v>10</v>
      </c>
      <c r="K75" s="500" t="s">
        <v>197</v>
      </c>
      <c r="L75" s="501">
        <f t="shared" si="2"/>
        <v>60</v>
      </c>
      <c r="M75" s="1091"/>
      <c r="N75" s="502">
        <v>43921</v>
      </c>
      <c r="O75" s="503" t="s">
        <v>219</v>
      </c>
      <c r="P75" s="504"/>
      <c r="Q75" s="496"/>
      <c r="R75" s="505" t="s">
        <v>4</v>
      </c>
      <c r="S75" s="506"/>
      <c r="T75" s="507" t="s">
        <v>178</v>
      </c>
      <c r="U75" s="1049"/>
      <c r="V75" s="181"/>
      <c r="X75" s="239">
        <f t="shared" si="1"/>
        <v>0.06</v>
      </c>
    </row>
    <row r="76" spans="1:24" ht="15.75">
      <c r="A76" s="339"/>
      <c r="B76" s="211"/>
      <c r="C76" s="352"/>
      <c r="D76" s="295"/>
      <c r="E76" s="370"/>
      <c r="F76" s="21"/>
      <c r="G76" s="21"/>
      <c r="H76" s="207"/>
      <c r="I76" s="177"/>
      <c r="J76" s="320"/>
      <c r="K76" s="189"/>
      <c r="L76" s="167"/>
      <c r="M76" s="174"/>
      <c r="N76" s="213"/>
      <c r="O76" s="198"/>
      <c r="P76" s="178"/>
      <c r="Q76" s="21"/>
      <c r="R76" s="198"/>
      <c r="S76" s="342"/>
      <c r="T76" s="198"/>
      <c r="U76" s="423"/>
      <c r="V76" s="342"/>
      <c r="X76" s="239">
        <f t="shared" si="1"/>
        <v>0</v>
      </c>
    </row>
    <row r="77" spans="1:24" ht="15.75">
      <c r="A77" s="339"/>
      <c r="B77" s="211"/>
      <c r="C77" s="352"/>
      <c r="D77" s="295"/>
      <c r="E77" s="370"/>
      <c r="F77" s="21"/>
      <c r="G77" s="21"/>
      <c r="H77" s="207"/>
      <c r="I77" s="177"/>
      <c r="J77" s="320"/>
      <c r="K77" s="189"/>
      <c r="L77" s="167"/>
      <c r="M77" s="174"/>
      <c r="N77" s="213"/>
      <c r="O77" s="198"/>
      <c r="P77" s="178"/>
      <c r="Q77" s="21"/>
      <c r="R77" s="198"/>
      <c r="S77" s="342"/>
      <c r="T77" s="198"/>
      <c r="U77" s="423"/>
      <c r="V77" s="342"/>
      <c r="X77" s="239">
        <f t="shared" si="1"/>
        <v>0</v>
      </c>
    </row>
    <row r="78" spans="1:24" ht="15.75">
      <c r="A78" s="339"/>
      <c r="B78" s="211"/>
      <c r="C78" s="352"/>
      <c r="D78" s="295"/>
      <c r="E78" s="370"/>
      <c r="F78" s="21"/>
      <c r="G78" s="21"/>
      <c r="H78" s="207"/>
      <c r="I78" s="177"/>
      <c r="J78" s="320"/>
      <c r="K78" s="189"/>
      <c r="L78" s="167"/>
      <c r="M78" s="174"/>
      <c r="N78" s="213"/>
      <c r="O78" s="198"/>
      <c r="P78" s="178"/>
      <c r="Q78" s="21"/>
      <c r="R78" s="198"/>
      <c r="S78" s="342"/>
      <c r="T78" s="198"/>
      <c r="U78" s="423"/>
      <c r="V78" s="342"/>
      <c r="X78" s="239">
        <f t="shared" ref="X78:X141" si="3">L78/1000</f>
        <v>0</v>
      </c>
    </row>
    <row r="79" spans="1:24" ht="15.75">
      <c r="A79" s="339"/>
      <c r="B79" s="211"/>
      <c r="C79" s="352"/>
      <c r="D79" s="295"/>
      <c r="E79" s="370"/>
      <c r="F79" s="21"/>
      <c r="G79" s="21"/>
      <c r="H79" s="207"/>
      <c r="I79" s="177"/>
      <c r="J79" s="320"/>
      <c r="K79" s="189"/>
      <c r="L79" s="167"/>
      <c r="M79" s="174"/>
      <c r="N79" s="213"/>
      <c r="O79" s="198"/>
      <c r="P79" s="178"/>
      <c r="Q79" s="21"/>
      <c r="R79" s="198"/>
      <c r="S79" s="342"/>
      <c r="T79" s="198"/>
      <c r="U79" s="423"/>
      <c r="V79" s="342"/>
      <c r="X79" s="239">
        <f t="shared" si="3"/>
        <v>0</v>
      </c>
    </row>
    <row r="80" spans="1:24" ht="15.75">
      <c r="A80" s="339"/>
      <c r="B80" s="211"/>
      <c r="C80" s="352"/>
      <c r="D80" s="295"/>
      <c r="E80" s="370"/>
      <c r="F80" s="21"/>
      <c r="G80" s="21"/>
      <c r="H80" s="207"/>
      <c r="I80" s="177"/>
      <c r="J80" s="320"/>
      <c r="K80" s="189"/>
      <c r="L80" s="167"/>
      <c r="M80" s="174"/>
      <c r="N80" s="213"/>
      <c r="O80" s="198"/>
      <c r="P80" s="178"/>
      <c r="Q80" s="21"/>
      <c r="R80" s="198"/>
      <c r="S80" s="342"/>
      <c r="T80" s="198"/>
      <c r="U80" s="423"/>
      <c r="V80" s="342"/>
      <c r="X80" s="239">
        <f t="shared" si="3"/>
        <v>0</v>
      </c>
    </row>
    <row r="81" spans="1:31" ht="15.75">
      <c r="A81" s="339"/>
      <c r="B81" s="211"/>
      <c r="C81" s="352"/>
      <c r="D81" s="295"/>
      <c r="E81" s="370"/>
      <c r="F81" s="21"/>
      <c r="G81" s="21"/>
      <c r="H81" s="207"/>
      <c r="I81" s="177"/>
      <c r="J81" s="320"/>
      <c r="K81" s="189"/>
      <c r="L81" s="167"/>
      <c r="M81" s="174"/>
      <c r="N81" s="213"/>
      <c r="O81" s="198"/>
      <c r="P81" s="178"/>
      <c r="Q81" s="21"/>
      <c r="R81" s="198"/>
      <c r="S81" s="342"/>
      <c r="T81" s="198"/>
      <c r="U81" s="423"/>
      <c r="V81" s="342"/>
      <c r="X81" s="239">
        <f t="shared" si="3"/>
        <v>0</v>
      </c>
    </row>
    <row r="82" spans="1:31" ht="15.75">
      <c r="A82" s="339"/>
      <c r="B82" s="211"/>
      <c r="C82" s="352"/>
      <c r="D82" s="295"/>
      <c r="E82" s="370"/>
      <c r="F82" s="21"/>
      <c r="G82" s="21"/>
      <c r="H82" s="207"/>
      <c r="I82" s="177"/>
      <c r="J82" s="320"/>
      <c r="K82" s="189"/>
      <c r="L82" s="167"/>
      <c r="M82" s="174"/>
      <c r="N82" s="213"/>
      <c r="O82" s="198"/>
      <c r="P82" s="178"/>
      <c r="Q82" s="21"/>
      <c r="R82" s="198"/>
      <c r="S82" s="342"/>
      <c r="T82" s="198"/>
      <c r="U82" s="423"/>
      <c r="V82" s="342"/>
      <c r="X82" s="239">
        <f t="shared" si="3"/>
        <v>0</v>
      </c>
    </row>
    <row r="83" spans="1:31" s="7" customFormat="1" ht="15.75">
      <c r="A83" s="339"/>
      <c r="B83" s="211"/>
      <c r="C83" s="352"/>
      <c r="D83" s="295"/>
      <c r="E83" s="370"/>
      <c r="F83" s="21"/>
      <c r="G83" s="21"/>
      <c r="H83" s="207"/>
      <c r="I83" s="177"/>
      <c r="J83" s="320"/>
      <c r="K83" s="189"/>
      <c r="L83" s="167"/>
      <c r="M83" s="174"/>
      <c r="N83" s="213"/>
      <c r="O83" s="198"/>
      <c r="P83" s="178"/>
      <c r="Q83" s="21"/>
      <c r="R83" s="198"/>
      <c r="S83" s="342"/>
      <c r="T83" s="198"/>
      <c r="U83" s="423"/>
      <c r="V83" s="342"/>
      <c r="W83"/>
      <c r="X83" s="239">
        <f t="shared" si="3"/>
        <v>0</v>
      </c>
      <c r="Y83"/>
      <c r="Z83"/>
      <c r="AA83"/>
      <c r="AB83"/>
      <c r="AC83"/>
      <c r="AD83"/>
      <c r="AE83"/>
    </row>
    <row r="84" spans="1:31" s="7" customFormat="1" ht="15.75">
      <c r="A84" s="339"/>
      <c r="B84" s="211"/>
      <c r="C84" s="352"/>
      <c r="D84" s="295"/>
      <c r="E84" s="370"/>
      <c r="F84" s="21"/>
      <c r="G84" s="21"/>
      <c r="H84" s="207"/>
      <c r="I84" s="177"/>
      <c r="J84" s="320"/>
      <c r="K84" s="189"/>
      <c r="L84" s="167"/>
      <c r="M84" s="174"/>
      <c r="N84" s="213"/>
      <c r="O84" s="198"/>
      <c r="P84" s="178"/>
      <c r="Q84" s="21"/>
      <c r="R84" s="198"/>
      <c r="S84" s="342"/>
      <c r="T84" s="198"/>
      <c r="U84" s="423"/>
      <c r="V84" s="342"/>
      <c r="W84"/>
      <c r="X84" s="239">
        <f t="shared" si="3"/>
        <v>0</v>
      </c>
      <c r="Y84"/>
      <c r="Z84"/>
      <c r="AA84"/>
      <c r="AB84"/>
      <c r="AC84"/>
      <c r="AD84"/>
      <c r="AE84"/>
    </row>
    <row r="85" spans="1:31" ht="15.75">
      <c r="A85" s="339"/>
      <c r="B85" s="211"/>
      <c r="C85" s="352"/>
      <c r="D85" s="295"/>
      <c r="E85" s="370"/>
      <c r="F85" s="21"/>
      <c r="G85" s="21"/>
      <c r="H85" s="207"/>
      <c r="I85" s="177"/>
      <c r="J85" s="320"/>
      <c r="K85" s="189"/>
      <c r="L85" s="167"/>
      <c r="M85" s="174"/>
      <c r="N85" s="213"/>
      <c r="O85" s="198"/>
      <c r="P85" s="178"/>
      <c r="Q85" s="21"/>
      <c r="R85" s="198"/>
      <c r="S85" s="342"/>
      <c r="T85" s="198"/>
      <c r="U85" s="423"/>
      <c r="V85" s="342"/>
      <c r="X85" s="239">
        <f t="shared" si="3"/>
        <v>0</v>
      </c>
    </row>
    <row r="86" spans="1:31" ht="15.75">
      <c r="A86" s="339"/>
      <c r="B86" s="211"/>
      <c r="C86" s="352"/>
      <c r="D86" s="295"/>
      <c r="E86" s="370"/>
      <c r="F86" s="21"/>
      <c r="G86" s="21"/>
      <c r="H86" s="207"/>
      <c r="I86" s="177"/>
      <c r="J86" s="320"/>
      <c r="K86" s="189"/>
      <c r="L86" s="167"/>
      <c r="M86" s="174"/>
      <c r="N86" s="213"/>
      <c r="O86" s="198"/>
      <c r="P86" s="178"/>
      <c r="Q86" s="21"/>
      <c r="R86" s="198"/>
      <c r="S86" s="342"/>
      <c r="T86" s="198"/>
      <c r="U86" s="423"/>
      <c r="V86" s="342"/>
      <c r="X86" s="239">
        <f t="shared" si="3"/>
        <v>0</v>
      </c>
    </row>
    <row r="87" spans="1:31" ht="15.75">
      <c r="A87" s="339"/>
      <c r="B87" s="211"/>
      <c r="C87" s="352"/>
      <c r="D87" s="295"/>
      <c r="E87" s="370"/>
      <c r="F87" s="21"/>
      <c r="G87" s="21"/>
      <c r="H87" s="207"/>
      <c r="I87" s="177"/>
      <c r="J87" s="320"/>
      <c r="K87" s="189"/>
      <c r="L87" s="167"/>
      <c r="M87" s="174"/>
      <c r="N87" s="213"/>
      <c r="O87" s="198"/>
      <c r="P87" s="178"/>
      <c r="Q87" s="21"/>
      <c r="R87" s="198"/>
      <c r="S87" s="342"/>
      <c r="T87" s="198"/>
      <c r="U87" s="423"/>
      <c r="V87" s="342"/>
      <c r="X87" s="239">
        <f t="shared" si="3"/>
        <v>0</v>
      </c>
    </row>
    <row r="88" spans="1:31" ht="15.75">
      <c r="A88" s="339"/>
      <c r="B88" s="211"/>
      <c r="C88" s="352"/>
      <c r="D88" s="295"/>
      <c r="E88" s="370"/>
      <c r="F88" s="21"/>
      <c r="G88" s="21"/>
      <c r="H88" s="207"/>
      <c r="I88" s="177"/>
      <c r="J88" s="320"/>
      <c r="K88" s="189"/>
      <c r="L88" s="167"/>
      <c r="M88" s="174"/>
      <c r="N88" s="213"/>
      <c r="O88" s="198"/>
      <c r="P88" s="178"/>
      <c r="Q88" s="21"/>
      <c r="R88" s="198"/>
      <c r="S88" s="342"/>
      <c r="T88" s="198"/>
      <c r="U88" s="423"/>
      <c r="V88" s="342"/>
      <c r="X88" s="239">
        <f t="shared" si="3"/>
        <v>0</v>
      </c>
    </row>
    <row r="89" spans="1:31" ht="15.75">
      <c r="A89" s="339"/>
      <c r="B89" s="211"/>
      <c r="C89" s="352"/>
      <c r="D89" s="295"/>
      <c r="E89" s="370"/>
      <c r="F89" s="21"/>
      <c r="G89" s="21"/>
      <c r="H89" s="207"/>
      <c r="I89" s="177"/>
      <c r="J89" s="320"/>
      <c r="K89" s="189"/>
      <c r="L89" s="167"/>
      <c r="M89" s="174"/>
      <c r="N89" s="213"/>
      <c r="O89" s="198"/>
      <c r="P89" s="178"/>
      <c r="Q89" s="21"/>
      <c r="R89" s="198"/>
      <c r="S89" s="342"/>
      <c r="T89" s="198"/>
      <c r="U89" s="423"/>
      <c r="V89" s="342"/>
      <c r="X89" s="239">
        <f t="shared" si="3"/>
        <v>0</v>
      </c>
    </row>
    <row r="90" spans="1:31" ht="15.75">
      <c r="A90" s="339"/>
      <c r="B90" s="211"/>
      <c r="C90" s="352"/>
      <c r="D90" s="295"/>
      <c r="E90" s="370"/>
      <c r="F90" s="21"/>
      <c r="G90" s="21"/>
      <c r="H90" s="207"/>
      <c r="I90" s="177"/>
      <c r="J90" s="320"/>
      <c r="K90" s="189"/>
      <c r="L90" s="167"/>
      <c r="M90" s="174"/>
      <c r="N90" s="213"/>
      <c r="O90" s="198"/>
      <c r="P90" s="178"/>
      <c r="Q90" s="21"/>
      <c r="R90" s="198"/>
      <c r="S90" s="342"/>
      <c r="T90" s="198"/>
      <c r="U90" s="423"/>
      <c r="V90" s="342"/>
      <c r="X90" s="239">
        <f t="shared" si="3"/>
        <v>0</v>
      </c>
    </row>
    <row r="91" spans="1:31" ht="15.75">
      <c r="A91" s="339"/>
      <c r="B91" s="211"/>
      <c r="C91" s="352"/>
      <c r="D91" s="295"/>
      <c r="E91" s="370"/>
      <c r="F91" s="21"/>
      <c r="G91" s="21"/>
      <c r="H91" s="207"/>
      <c r="I91" s="177"/>
      <c r="J91" s="320"/>
      <c r="K91" s="189"/>
      <c r="L91" s="167"/>
      <c r="M91" s="174"/>
      <c r="N91" s="213"/>
      <c r="O91" s="198"/>
      <c r="P91" s="178"/>
      <c r="Q91" s="21"/>
      <c r="R91" s="198"/>
      <c r="S91" s="342"/>
      <c r="T91" s="198"/>
      <c r="U91" s="423"/>
      <c r="V91" s="342"/>
      <c r="X91" s="239">
        <f t="shared" si="3"/>
        <v>0</v>
      </c>
    </row>
    <row r="92" spans="1:31" ht="15.75">
      <c r="A92" s="339"/>
      <c r="B92" s="211"/>
      <c r="C92" s="352"/>
      <c r="D92" s="295"/>
      <c r="E92" s="370"/>
      <c r="F92" s="21"/>
      <c r="G92" s="21"/>
      <c r="H92" s="207"/>
      <c r="I92" s="177"/>
      <c r="J92" s="320"/>
      <c r="K92" s="189"/>
      <c r="L92" s="167"/>
      <c r="M92" s="174"/>
      <c r="N92" s="213"/>
      <c r="O92" s="198"/>
      <c r="P92" s="178"/>
      <c r="Q92" s="21"/>
      <c r="R92" s="198"/>
      <c r="S92" s="342"/>
      <c r="T92" s="198"/>
      <c r="U92" s="423"/>
      <c r="V92" s="342"/>
      <c r="X92" s="239">
        <f t="shared" si="3"/>
        <v>0</v>
      </c>
    </row>
    <row r="93" spans="1:31" ht="31.5" customHeight="1">
      <c r="A93" s="339"/>
      <c r="B93" s="211"/>
      <c r="C93" s="352"/>
      <c r="D93" s="295"/>
      <c r="E93" s="370"/>
      <c r="F93" s="21"/>
      <c r="G93" s="21"/>
      <c r="H93" s="207"/>
      <c r="I93" s="177"/>
      <c r="J93" s="320"/>
      <c r="K93" s="189"/>
      <c r="L93" s="167"/>
      <c r="M93" s="174"/>
      <c r="N93" s="213"/>
      <c r="O93" s="198"/>
      <c r="P93" s="178"/>
      <c r="Q93" s="21"/>
      <c r="R93" s="198"/>
      <c r="S93" s="342"/>
      <c r="T93" s="198"/>
      <c r="U93" s="423"/>
      <c r="V93" s="342"/>
      <c r="X93" s="239">
        <f t="shared" si="3"/>
        <v>0</v>
      </c>
    </row>
    <row r="94" spans="1:31" ht="15.75">
      <c r="A94" s="339"/>
      <c r="B94" s="211"/>
      <c r="C94" s="352"/>
      <c r="D94" s="295"/>
      <c r="E94" s="370"/>
      <c r="F94" s="21"/>
      <c r="G94" s="21"/>
      <c r="H94" s="207"/>
      <c r="I94" s="177"/>
      <c r="J94" s="320"/>
      <c r="K94" s="189"/>
      <c r="L94" s="167"/>
      <c r="M94" s="174"/>
      <c r="N94" s="213"/>
      <c r="O94" s="198"/>
      <c r="P94" s="178"/>
      <c r="Q94" s="21"/>
      <c r="R94" s="198"/>
      <c r="S94" s="342"/>
      <c r="T94" s="198"/>
      <c r="U94" s="423"/>
      <c r="V94" s="342"/>
      <c r="X94" s="239">
        <f t="shared" si="3"/>
        <v>0</v>
      </c>
    </row>
    <row r="95" spans="1:31" ht="15.75">
      <c r="A95" s="339"/>
      <c r="B95" s="211"/>
      <c r="C95" s="352"/>
      <c r="D95" s="295"/>
      <c r="E95" s="370"/>
      <c r="F95" s="21"/>
      <c r="G95" s="21"/>
      <c r="H95" s="207"/>
      <c r="I95" s="177"/>
      <c r="J95" s="320"/>
      <c r="K95" s="189"/>
      <c r="L95" s="167"/>
      <c r="M95" s="174"/>
      <c r="N95" s="213"/>
      <c r="O95" s="198"/>
      <c r="P95" s="178"/>
      <c r="Q95" s="21"/>
      <c r="R95" s="198"/>
      <c r="S95" s="342"/>
      <c r="T95" s="198"/>
      <c r="U95" s="423"/>
      <c r="V95" s="342"/>
      <c r="X95" s="239">
        <f t="shared" si="3"/>
        <v>0</v>
      </c>
    </row>
    <row r="96" spans="1:31" ht="15.75">
      <c r="A96" s="339"/>
      <c r="B96" s="211"/>
      <c r="C96" s="352"/>
      <c r="D96" s="295"/>
      <c r="E96" s="370"/>
      <c r="F96" s="21"/>
      <c r="G96" s="21"/>
      <c r="H96" s="207"/>
      <c r="I96" s="177"/>
      <c r="J96" s="320"/>
      <c r="K96" s="189"/>
      <c r="L96" s="167"/>
      <c r="M96" s="174"/>
      <c r="N96" s="213"/>
      <c r="O96" s="198"/>
      <c r="P96" s="178"/>
      <c r="Q96" s="21"/>
      <c r="R96" s="198"/>
      <c r="S96" s="342"/>
      <c r="T96" s="198"/>
      <c r="U96" s="423"/>
      <c r="V96" s="342"/>
      <c r="X96" s="239">
        <f t="shared" si="3"/>
        <v>0</v>
      </c>
    </row>
    <row r="97" spans="1:24" ht="15.75">
      <c r="A97" s="339"/>
      <c r="B97" s="211"/>
      <c r="C97" s="352"/>
      <c r="D97" s="295"/>
      <c r="E97" s="370"/>
      <c r="F97" s="21"/>
      <c r="G97" s="21"/>
      <c r="H97" s="207"/>
      <c r="I97" s="177"/>
      <c r="J97" s="320"/>
      <c r="K97" s="189"/>
      <c r="L97" s="167"/>
      <c r="M97" s="174"/>
      <c r="N97" s="213"/>
      <c r="O97" s="198"/>
      <c r="P97" s="178"/>
      <c r="Q97" s="21"/>
      <c r="R97" s="198"/>
      <c r="S97" s="342"/>
      <c r="T97" s="198"/>
      <c r="U97" s="423"/>
      <c r="V97" s="342"/>
      <c r="X97" s="239">
        <f t="shared" si="3"/>
        <v>0</v>
      </c>
    </row>
    <row r="98" spans="1:24" ht="15.75">
      <c r="A98" s="339"/>
      <c r="B98" s="211"/>
      <c r="C98" s="352"/>
      <c r="D98" s="295"/>
      <c r="E98" s="370"/>
      <c r="F98" s="21"/>
      <c r="G98" s="21"/>
      <c r="H98" s="207"/>
      <c r="I98" s="177"/>
      <c r="J98" s="320"/>
      <c r="K98" s="189"/>
      <c r="L98" s="167"/>
      <c r="M98" s="174"/>
      <c r="N98" s="213"/>
      <c r="O98" s="198"/>
      <c r="P98" s="178"/>
      <c r="Q98" s="21"/>
      <c r="R98" s="198"/>
      <c r="S98" s="342"/>
      <c r="T98" s="198"/>
      <c r="U98" s="423"/>
      <c r="V98" s="342"/>
      <c r="X98" s="239">
        <f t="shared" si="3"/>
        <v>0</v>
      </c>
    </row>
    <row r="99" spans="1:24" ht="15.75">
      <c r="A99" s="339"/>
      <c r="B99" s="211"/>
      <c r="C99" s="352"/>
      <c r="D99" s="295"/>
      <c r="E99" s="370"/>
      <c r="F99" s="21"/>
      <c r="G99" s="21"/>
      <c r="H99" s="207"/>
      <c r="I99" s="177"/>
      <c r="J99" s="320"/>
      <c r="K99" s="189"/>
      <c r="L99" s="167"/>
      <c r="M99" s="174"/>
      <c r="N99" s="213"/>
      <c r="O99" s="198"/>
      <c r="P99" s="178"/>
      <c r="Q99" s="21"/>
      <c r="R99" s="198"/>
      <c r="S99" s="342"/>
      <c r="T99" s="198"/>
      <c r="U99" s="423"/>
      <c r="V99" s="342"/>
      <c r="X99" s="239">
        <f t="shared" si="3"/>
        <v>0</v>
      </c>
    </row>
    <row r="100" spans="1:24" ht="15.75">
      <c r="A100" s="339"/>
      <c r="B100" s="211"/>
      <c r="C100" s="352"/>
      <c r="D100" s="295"/>
      <c r="E100" s="370"/>
      <c r="F100" s="21"/>
      <c r="G100" s="21"/>
      <c r="H100" s="207"/>
      <c r="I100" s="177"/>
      <c r="J100" s="320"/>
      <c r="K100" s="189"/>
      <c r="L100" s="167"/>
      <c r="M100" s="174"/>
      <c r="N100" s="213"/>
      <c r="O100" s="198"/>
      <c r="P100" s="178"/>
      <c r="Q100" s="21"/>
      <c r="R100" s="198"/>
      <c r="S100" s="342"/>
      <c r="T100" s="198"/>
      <c r="U100" s="423"/>
      <c r="V100" s="342"/>
      <c r="X100" s="239">
        <f t="shared" si="3"/>
        <v>0</v>
      </c>
    </row>
    <row r="101" spans="1:24" ht="15.75">
      <c r="A101" s="339"/>
      <c r="B101" s="211"/>
      <c r="C101" s="352"/>
      <c r="D101" s="295"/>
      <c r="E101" s="370"/>
      <c r="F101" s="21"/>
      <c r="G101" s="21"/>
      <c r="H101" s="207"/>
      <c r="I101" s="177"/>
      <c r="J101" s="320"/>
      <c r="K101" s="189"/>
      <c r="L101" s="167"/>
      <c r="M101" s="174"/>
      <c r="N101" s="213"/>
      <c r="O101" s="198"/>
      <c r="P101" s="178"/>
      <c r="Q101" s="21"/>
      <c r="R101" s="198"/>
      <c r="S101" s="342"/>
      <c r="T101" s="198"/>
      <c r="U101" s="423"/>
      <c r="V101" s="342"/>
      <c r="X101" s="239">
        <f t="shared" si="3"/>
        <v>0</v>
      </c>
    </row>
    <row r="102" spans="1:24" ht="15.75">
      <c r="A102" s="339"/>
      <c r="B102" s="211"/>
      <c r="C102" s="352"/>
      <c r="D102" s="295"/>
      <c r="E102" s="370"/>
      <c r="F102" s="21"/>
      <c r="G102" s="21"/>
      <c r="H102" s="207"/>
      <c r="I102" s="177"/>
      <c r="J102" s="320"/>
      <c r="K102" s="189"/>
      <c r="L102" s="167"/>
      <c r="M102" s="174"/>
      <c r="N102" s="213"/>
      <c r="O102" s="198"/>
      <c r="P102" s="178"/>
      <c r="Q102" s="21"/>
      <c r="R102" s="198"/>
      <c r="S102" s="342"/>
      <c r="T102" s="198"/>
      <c r="U102" s="423"/>
      <c r="V102" s="342"/>
      <c r="X102" s="239">
        <f t="shared" si="3"/>
        <v>0</v>
      </c>
    </row>
    <row r="103" spans="1:24" ht="15.75">
      <c r="A103" s="339"/>
      <c r="B103" s="211"/>
      <c r="C103" s="352"/>
      <c r="D103" s="295"/>
      <c r="E103" s="370"/>
      <c r="F103" s="21"/>
      <c r="G103" s="21"/>
      <c r="H103" s="207"/>
      <c r="I103" s="177"/>
      <c r="J103" s="320"/>
      <c r="K103" s="189"/>
      <c r="L103" s="167"/>
      <c r="M103" s="174"/>
      <c r="N103" s="213"/>
      <c r="O103" s="198"/>
      <c r="P103" s="178"/>
      <c r="Q103" s="21"/>
      <c r="R103" s="198"/>
      <c r="S103" s="342"/>
      <c r="T103" s="198"/>
      <c r="U103" s="423"/>
      <c r="V103" s="342"/>
      <c r="X103" s="239">
        <f t="shared" si="3"/>
        <v>0</v>
      </c>
    </row>
    <row r="104" spans="1:24" ht="15.75">
      <c r="A104" s="339"/>
      <c r="B104" s="211"/>
      <c r="C104" s="352"/>
      <c r="D104" s="295"/>
      <c r="E104" s="370"/>
      <c r="F104" s="21"/>
      <c r="G104" s="21"/>
      <c r="H104" s="207"/>
      <c r="I104" s="177"/>
      <c r="J104" s="320"/>
      <c r="K104" s="189"/>
      <c r="L104" s="167"/>
      <c r="M104" s="174"/>
      <c r="N104" s="213"/>
      <c r="O104" s="198"/>
      <c r="P104" s="178"/>
      <c r="Q104" s="21"/>
      <c r="R104" s="198"/>
      <c r="S104" s="342"/>
      <c r="T104" s="198"/>
      <c r="U104" s="423"/>
      <c r="V104" s="342"/>
      <c r="X104" s="239">
        <f t="shared" si="3"/>
        <v>0</v>
      </c>
    </row>
    <row r="105" spans="1:24" ht="15.75">
      <c r="A105" s="339"/>
      <c r="B105" s="211"/>
      <c r="C105" s="352"/>
      <c r="D105" s="295"/>
      <c r="E105" s="370"/>
      <c r="F105" s="21"/>
      <c r="G105" s="21"/>
      <c r="H105" s="207"/>
      <c r="I105" s="177"/>
      <c r="J105" s="320"/>
      <c r="K105" s="189"/>
      <c r="L105" s="167"/>
      <c r="M105" s="174"/>
      <c r="N105" s="213"/>
      <c r="O105" s="198"/>
      <c r="P105" s="178"/>
      <c r="Q105" s="21"/>
      <c r="R105" s="198"/>
      <c r="S105" s="342"/>
      <c r="T105" s="198"/>
      <c r="U105" s="423"/>
      <c r="V105" s="342"/>
      <c r="X105" s="239">
        <f t="shared" si="3"/>
        <v>0</v>
      </c>
    </row>
    <row r="106" spans="1:24" ht="15.75">
      <c r="A106" s="339"/>
      <c r="B106" s="211"/>
      <c r="C106" s="352"/>
      <c r="D106" s="295"/>
      <c r="E106" s="370"/>
      <c r="F106" s="21"/>
      <c r="G106" s="21"/>
      <c r="H106" s="207"/>
      <c r="I106" s="177"/>
      <c r="J106" s="320"/>
      <c r="K106" s="189"/>
      <c r="L106" s="167"/>
      <c r="M106" s="174"/>
      <c r="N106" s="213"/>
      <c r="O106" s="198"/>
      <c r="P106" s="178"/>
      <c r="Q106" s="21"/>
      <c r="R106" s="198"/>
      <c r="S106" s="342"/>
      <c r="T106" s="198"/>
      <c r="U106" s="423"/>
      <c r="V106" s="342"/>
      <c r="X106" s="239">
        <f t="shared" si="3"/>
        <v>0</v>
      </c>
    </row>
    <row r="107" spans="1:24" ht="15.75">
      <c r="A107" s="339"/>
      <c r="B107" s="211"/>
      <c r="C107" s="352"/>
      <c r="D107" s="295"/>
      <c r="E107" s="370"/>
      <c r="F107" s="21"/>
      <c r="G107" s="21"/>
      <c r="H107" s="207"/>
      <c r="I107" s="177"/>
      <c r="J107" s="320"/>
      <c r="K107" s="189"/>
      <c r="L107" s="167"/>
      <c r="M107" s="174"/>
      <c r="N107" s="213"/>
      <c r="O107" s="198"/>
      <c r="P107" s="178"/>
      <c r="Q107" s="21"/>
      <c r="R107" s="198"/>
      <c r="S107" s="342"/>
      <c r="T107" s="198"/>
      <c r="U107" s="423"/>
      <c r="V107" s="342"/>
      <c r="X107" s="239">
        <f t="shared" si="3"/>
        <v>0</v>
      </c>
    </row>
    <row r="108" spans="1:24" ht="15.75">
      <c r="A108" s="339"/>
      <c r="B108" s="211"/>
      <c r="C108" s="352"/>
      <c r="D108" s="295"/>
      <c r="E108" s="370"/>
      <c r="F108" s="21"/>
      <c r="G108" s="21"/>
      <c r="H108" s="207"/>
      <c r="I108" s="177"/>
      <c r="J108" s="320"/>
      <c r="K108" s="189"/>
      <c r="L108" s="167"/>
      <c r="M108" s="174"/>
      <c r="N108" s="213"/>
      <c r="O108" s="198"/>
      <c r="P108" s="178"/>
      <c r="Q108" s="21"/>
      <c r="R108" s="198"/>
      <c r="S108" s="342"/>
      <c r="T108" s="198"/>
      <c r="U108" s="423"/>
      <c r="V108" s="342"/>
      <c r="X108" s="239">
        <f t="shared" si="3"/>
        <v>0</v>
      </c>
    </row>
    <row r="109" spans="1:24" ht="15.75">
      <c r="A109" s="339"/>
      <c r="B109" s="211"/>
      <c r="C109" s="352"/>
      <c r="D109" s="295"/>
      <c r="E109" s="370"/>
      <c r="F109" s="21"/>
      <c r="G109" s="21"/>
      <c r="H109" s="207"/>
      <c r="I109" s="177"/>
      <c r="J109" s="320"/>
      <c r="K109" s="189"/>
      <c r="L109" s="167"/>
      <c r="M109" s="174"/>
      <c r="N109" s="213"/>
      <c r="O109" s="198"/>
      <c r="P109" s="178"/>
      <c r="Q109" s="21"/>
      <c r="R109" s="198"/>
      <c r="S109" s="342"/>
      <c r="T109" s="198"/>
      <c r="U109" s="423"/>
      <c r="V109" s="342"/>
      <c r="X109" s="239">
        <f t="shared" si="3"/>
        <v>0</v>
      </c>
    </row>
    <row r="110" spans="1:24" ht="15.75">
      <c r="A110" s="339"/>
      <c r="B110" s="211"/>
      <c r="C110" s="352"/>
      <c r="D110" s="295"/>
      <c r="E110" s="370"/>
      <c r="F110" s="21"/>
      <c r="G110" s="21"/>
      <c r="H110" s="207"/>
      <c r="I110" s="177"/>
      <c r="J110" s="320"/>
      <c r="K110" s="189"/>
      <c r="L110" s="167"/>
      <c r="M110" s="174"/>
      <c r="N110" s="213"/>
      <c r="O110" s="198"/>
      <c r="P110" s="178"/>
      <c r="Q110" s="21"/>
      <c r="R110" s="198"/>
      <c r="S110" s="342"/>
      <c r="T110" s="198"/>
      <c r="U110" s="423"/>
      <c r="V110" s="342"/>
      <c r="X110" s="239">
        <f t="shared" si="3"/>
        <v>0</v>
      </c>
    </row>
    <row r="111" spans="1:24" ht="15.75">
      <c r="A111" s="339"/>
      <c r="B111" s="211"/>
      <c r="C111" s="352"/>
      <c r="D111" s="295"/>
      <c r="E111" s="370"/>
      <c r="F111" s="21"/>
      <c r="G111" s="21"/>
      <c r="H111" s="207"/>
      <c r="I111" s="177"/>
      <c r="J111" s="320"/>
      <c r="K111" s="189"/>
      <c r="L111" s="167"/>
      <c r="M111" s="174"/>
      <c r="N111" s="213"/>
      <c r="O111" s="198"/>
      <c r="P111" s="178"/>
      <c r="Q111" s="21"/>
      <c r="R111" s="198"/>
      <c r="S111" s="342"/>
      <c r="T111" s="198"/>
      <c r="U111" s="423"/>
      <c r="V111" s="342"/>
      <c r="X111" s="239">
        <f t="shared" si="3"/>
        <v>0</v>
      </c>
    </row>
    <row r="112" spans="1:24" ht="15.75">
      <c r="A112" s="339"/>
      <c r="B112" s="211"/>
      <c r="C112" s="352"/>
      <c r="D112" s="295"/>
      <c r="E112" s="370"/>
      <c r="F112" s="21"/>
      <c r="G112" s="21"/>
      <c r="H112" s="207"/>
      <c r="I112" s="177"/>
      <c r="J112" s="320"/>
      <c r="K112" s="189"/>
      <c r="L112" s="167"/>
      <c r="M112" s="174"/>
      <c r="N112" s="213"/>
      <c r="O112" s="198"/>
      <c r="P112" s="178"/>
      <c r="Q112" s="21"/>
      <c r="R112" s="198"/>
      <c r="S112" s="342"/>
      <c r="T112" s="198"/>
      <c r="U112" s="423"/>
      <c r="V112" s="342"/>
      <c r="X112" s="239">
        <f t="shared" si="3"/>
        <v>0</v>
      </c>
    </row>
    <row r="113" spans="1:24" ht="15.75">
      <c r="A113" s="339"/>
      <c r="B113" s="211"/>
      <c r="C113" s="352"/>
      <c r="D113" s="295"/>
      <c r="E113" s="370"/>
      <c r="F113" s="21"/>
      <c r="G113" s="21"/>
      <c r="H113" s="207"/>
      <c r="I113" s="177"/>
      <c r="J113" s="320"/>
      <c r="K113" s="189"/>
      <c r="L113" s="167"/>
      <c r="M113" s="174"/>
      <c r="N113" s="213"/>
      <c r="O113" s="198"/>
      <c r="P113" s="178"/>
      <c r="Q113" s="21"/>
      <c r="R113" s="198"/>
      <c r="S113" s="342"/>
      <c r="T113" s="198"/>
      <c r="U113" s="423"/>
      <c r="V113" s="342"/>
      <c r="X113" s="239">
        <f t="shared" si="3"/>
        <v>0</v>
      </c>
    </row>
    <row r="114" spans="1:24" ht="15.75">
      <c r="A114" s="339"/>
      <c r="B114" s="211"/>
      <c r="C114" s="352"/>
      <c r="D114" s="295"/>
      <c r="E114" s="370"/>
      <c r="F114" s="21"/>
      <c r="G114" s="21"/>
      <c r="H114" s="207"/>
      <c r="I114" s="177"/>
      <c r="J114" s="320"/>
      <c r="K114" s="189"/>
      <c r="L114" s="167"/>
      <c r="M114" s="174"/>
      <c r="N114" s="213"/>
      <c r="O114" s="198"/>
      <c r="P114" s="178"/>
      <c r="Q114" s="21"/>
      <c r="R114" s="198"/>
      <c r="S114" s="342"/>
      <c r="T114" s="198"/>
      <c r="U114" s="423"/>
      <c r="V114" s="342"/>
      <c r="X114" s="239">
        <f t="shared" si="3"/>
        <v>0</v>
      </c>
    </row>
    <row r="115" spans="1:24" ht="15.75">
      <c r="A115" s="339"/>
      <c r="B115" s="211"/>
      <c r="C115" s="352"/>
      <c r="D115" s="295"/>
      <c r="E115" s="370"/>
      <c r="F115" s="21"/>
      <c r="G115" s="21"/>
      <c r="H115" s="207"/>
      <c r="I115" s="177"/>
      <c r="J115" s="320"/>
      <c r="K115" s="189"/>
      <c r="L115" s="167"/>
      <c r="M115" s="174"/>
      <c r="N115" s="213"/>
      <c r="O115" s="198"/>
      <c r="P115" s="178"/>
      <c r="Q115" s="21"/>
      <c r="R115" s="198"/>
      <c r="S115" s="342"/>
      <c r="T115" s="198"/>
      <c r="U115" s="423"/>
      <c r="V115" s="342"/>
      <c r="X115" s="239">
        <f t="shared" si="3"/>
        <v>0</v>
      </c>
    </row>
    <row r="116" spans="1:24" ht="15.75">
      <c r="A116" s="339"/>
      <c r="B116" s="211"/>
      <c r="C116" s="352"/>
      <c r="D116" s="295"/>
      <c r="E116" s="370"/>
      <c r="F116" s="21"/>
      <c r="G116" s="21"/>
      <c r="H116" s="207"/>
      <c r="I116" s="177"/>
      <c r="J116" s="320"/>
      <c r="K116" s="189"/>
      <c r="L116" s="167"/>
      <c r="M116" s="174"/>
      <c r="N116" s="213"/>
      <c r="O116" s="198"/>
      <c r="P116" s="178"/>
      <c r="Q116" s="21"/>
      <c r="R116" s="198"/>
      <c r="S116" s="342"/>
      <c r="T116" s="198"/>
      <c r="U116" s="423"/>
      <c r="V116" s="342"/>
      <c r="X116" s="239">
        <f t="shared" si="3"/>
        <v>0</v>
      </c>
    </row>
    <row r="117" spans="1:24" ht="15.75">
      <c r="A117" s="339"/>
      <c r="B117" s="211"/>
      <c r="C117" s="352"/>
      <c r="D117" s="295"/>
      <c r="E117" s="370"/>
      <c r="F117" s="21"/>
      <c r="G117" s="21"/>
      <c r="H117" s="207"/>
      <c r="I117" s="177"/>
      <c r="J117" s="320"/>
      <c r="K117" s="189"/>
      <c r="L117" s="167"/>
      <c r="M117" s="174"/>
      <c r="N117" s="213"/>
      <c r="O117" s="198"/>
      <c r="P117" s="178"/>
      <c r="Q117" s="21"/>
      <c r="R117" s="198"/>
      <c r="S117" s="342"/>
      <c r="T117" s="198"/>
      <c r="U117" s="423"/>
      <c r="V117" s="342"/>
      <c r="X117" s="239">
        <f t="shared" si="3"/>
        <v>0</v>
      </c>
    </row>
    <row r="118" spans="1:24" ht="15.75">
      <c r="A118" s="339"/>
      <c r="B118" s="211"/>
      <c r="C118" s="352"/>
      <c r="D118" s="295"/>
      <c r="E118" s="370"/>
      <c r="F118" s="21"/>
      <c r="G118" s="21"/>
      <c r="H118" s="207"/>
      <c r="I118" s="177"/>
      <c r="J118" s="320"/>
      <c r="K118" s="189"/>
      <c r="L118" s="167"/>
      <c r="M118" s="174"/>
      <c r="N118" s="213"/>
      <c r="O118" s="198"/>
      <c r="P118" s="178"/>
      <c r="Q118" s="21"/>
      <c r="R118" s="198"/>
      <c r="S118" s="342"/>
      <c r="T118" s="198"/>
      <c r="U118" s="423"/>
      <c r="V118" s="342"/>
      <c r="X118" s="239">
        <f t="shared" si="3"/>
        <v>0</v>
      </c>
    </row>
    <row r="119" spans="1:24" ht="15.75">
      <c r="A119" s="339"/>
      <c r="B119" s="211"/>
      <c r="C119" s="352"/>
      <c r="D119" s="295"/>
      <c r="E119" s="370"/>
      <c r="F119" s="21"/>
      <c r="G119" s="21"/>
      <c r="H119" s="207"/>
      <c r="I119" s="177"/>
      <c r="J119" s="320"/>
      <c r="K119" s="189"/>
      <c r="L119" s="167"/>
      <c r="M119" s="174"/>
      <c r="N119" s="213"/>
      <c r="O119" s="198"/>
      <c r="P119" s="178"/>
      <c r="Q119" s="21"/>
      <c r="R119" s="198"/>
      <c r="S119" s="342"/>
      <c r="T119" s="198"/>
      <c r="U119" s="423"/>
      <c r="V119" s="342"/>
      <c r="X119" s="239">
        <f t="shared" si="3"/>
        <v>0</v>
      </c>
    </row>
    <row r="120" spans="1:24" ht="15.75">
      <c r="A120" s="339"/>
      <c r="B120" s="211"/>
      <c r="C120" s="352"/>
      <c r="D120" s="295"/>
      <c r="E120" s="370"/>
      <c r="F120" s="21"/>
      <c r="G120" s="21"/>
      <c r="H120" s="207"/>
      <c r="I120" s="177"/>
      <c r="J120" s="320"/>
      <c r="K120" s="189"/>
      <c r="L120" s="167"/>
      <c r="M120" s="174"/>
      <c r="N120" s="213"/>
      <c r="O120" s="198"/>
      <c r="P120" s="178"/>
      <c r="Q120" s="21"/>
      <c r="R120" s="198"/>
      <c r="S120" s="342"/>
      <c r="T120" s="198"/>
      <c r="U120" s="423"/>
      <c r="V120" s="342"/>
      <c r="X120" s="239">
        <f t="shared" si="3"/>
        <v>0</v>
      </c>
    </row>
    <row r="121" spans="1:24" ht="15.75">
      <c r="A121" s="339"/>
      <c r="B121" s="211"/>
      <c r="C121" s="352"/>
      <c r="D121" s="295"/>
      <c r="E121" s="370"/>
      <c r="F121" s="21"/>
      <c r="G121" s="21"/>
      <c r="H121" s="207"/>
      <c r="I121" s="177"/>
      <c r="J121" s="320"/>
      <c r="K121" s="189"/>
      <c r="L121" s="167"/>
      <c r="M121" s="174"/>
      <c r="N121" s="213"/>
      <c r="O121" s="198"/>
      <c r="P121" s="178"/>
      <c r="Q121" s="21"/>
      <c r="R121" s="198"/>
      <c r="S121" s="342"/>
      <c r="T121" s="198"/>
      <c r="U121" s="423"/>
      <c r="V121" s="342"/>
      <c r="X121" s="239">
        <f t="shared" si="3"/>
        <v>0</v>
      </c>
    </row>
    <row r="122" spans="1:24" ht="15.75">
      <c r="A122" s="340"/>
      <c r="B122" s="214"/>
      <c r="C122" s="353"/>
      <c r="D122" s="309"/>
      <c r="E122" s="371"/>
      <c r="F122" s="22"/>
      <c r="G122" s="22"/>
      <c r="H122" s="209"/>
      <c r="I122" s="179"/>
      <c r="J122" s="321"/>
      <c r="K122" s="195"/>
      <c r="L122" s="170"/>
      <c r="M122" s="163"/>
      <c r="N122" s="216"/>
      <c r="O122" s="201"/>
      <c r="P122" s="180"/>
      <c r="Q122" s="22"/>
      <c r="R122" s="201"/>
      <c r="S122" s="181"/>
      <c r="T122" s="201"/>
      <c r="U122" s="424"/>
      <c r="V122" s="181"/>
      <c r="X122" s="239">
        <f t="shared" si="3"/>
        <v>0</v>
      </c>
    </row>
    <row r="123" spans="1:24" ht="15.75">
      <c r="A123" s="322"/>
      <c r="B123" s="296"/>
      <c r="C123" s="351"/>
      <c r="D123" s="297"/>
      <c r="E123" s="323"/>
      <c r="F123" s="19"/>
      <c r="G123" s="324"/>
      <c r="H123" s="279"/>
      <c r="I123" s="325"/>
      <c r="J123" s="318"/>
      <c r="K123" s="185"/>
      <c r="L123" s="165"/>
      <c r="M123" s="374"/>
      <c r="N123" s="319"/>
      <c r="O123" s="197"/>
      <c r="P123" s="176"/>
      <c r="Q123" s="19"/>
      <c r="R123" s="197"/>
      <c r="S123" s="341"/>
      <c r="T123" s="197"/>
      <c r="U123" s="422"/>
      <c r="V123" s="341"/>
      <c r="X123" s="239">
        <f t="shared" si="3"/>
        <v>0</v>
      </c>
    </row>
    <row r="124" spans="1:24" ht="15.75">
      <c r="A124" s="326"/>
      <c r="B124" s="211"/>
      <c r="C124" s="352"/>
      <c r="D124" s="295"/>
      <c r="E124" s="327"/>
      <c r="F124" s="21"/>
      <c r="G124" s="230"/>
      <c r="H124" s="207"/>
      <c r="I124" s="305"/>
      <c r="J124" s="320"/>
      <c r="K124" s="189"/>
      <c r="L124" s="167"/>
      <c r="M124" s="375"/>
      <c r="N124" s="213"/>
      <c r="O124" s="198"/>
      <c r="P124" s="178"/>
      <c r="Q124" s="21"/>
      <c r="R124" s="198"/>
      <c r="S124" s="342"/>
      <c r="T124" s="198"/>
      <c r="U124" s="423"/>
      <c r="V124" s="342"/>
      <c r="X124" s="239">
        <f t="shared" si="3"/>
        <v>0</v>
      </c>
    </row>
    <row r="125" spans="1:24" ht="15.75">
      <c r="A125" s="326"/>
      <c r="B125" s="211"/>
      <c r="C125" s="352"/>
      <c r="D125" s="295"/>
      <c r="E125" s="327"/>
      <c r="F125" s="21"/>
      <c r="G125" s="230"/>
      <c r="H125" s="207"/>
      <c r="I125" s="305"/>
      <c r="J125" s="320"/>
      <c r="K125" s="189"/>
      <c r="L125" s="167"/>
      <c r="M125" s="375"/>
      <c r="N125" s="213"/>
      <c r="O125" s="198"/>
      <c r="P125" s="178"/>
      <c r="Q125" s="21"/>
      <c r="R125" s="198"/>
      <c r="S125" s="342"/>
      <c r="T125" s="198"/>
      <c r="U125" s="423"/>
      <c r="V125" s="342"/>
      <c r="X125" s="239">
        <f t="shared" si="3"/>
        <v>0</v>
      </c>
    </row>
    <row r="126" spans="1:24" ht="15.75">
      <c r="A126" s="326"/>
      <c r="B126" s="211"/>
      <c r="C126" s="352"/>
      <c r="D126" s="295"/>
      <c r="E126" s="327"/>
      <c r="F126" s="21"/>
      <c r="G126" s="230"/>
      <c r="H126" s="207"/>
      <c r="I126" s="305"/>
      <c r="J126" s="320"/>
      <c r="K126" s="189"/>
      <c r="L126" s="167"/>
      <c r="M126" s="375"/>
      <c r="N126" s="213"/>
      <c r="O126" s="198"/>
      <c r="P126" s="178"/>
      <c r="Q126" s="21"/>
      <c r="R126" s="198"/>
      <c r="S126" s="342"/>
      <c r="T126" s="198"/>
      <c r="U126" s="423"/>
      <c r="V126" s="342"/>
      <c r="X126" s="239">
        <f t="shared" si="3"/>
        <v>0</v>
      </c>
    </row>
    <row r="127" spans="1:24" ht="15.75">
      <c r="A127" s="328"/>
      <c r="B127" s="214"/>
      <c r="C127" s="353"/>
      <c r="D127" s="309"/>
      <c r="E127" s="329"/>
      <c r="F127" s="22"/>
      <c r="G127" s="311"/>
      <c r="H127" s="209"/>
      <c r="I127" s="313"/>
      <c r="J127" s="321"/>
      <c r="K127" s="195"/>
      <c r="L127" s="170"/>
      <c r="M127" s="376"/>
      <c r="N127" s="216"/>
      <c r="O127" s="201"/>
      <c r="P127" s="180"/>
      <c r="Q127" s="22"/>
      <c r="R127" s="201"/>
      <c r="S127" s="181"/>
      <c r="T127" s="201"/>
      <c r="U127" s="424"/>
      <c r="V127" s="181"/>
      <c r="X127" s="239">
        <f t="shared" si="3"/>
        <v>0</v>
      </c>
    </row>
    <row r="128" spans="1:24" ht="15.75">
      <c r="A128" s="322"/>
      <c r="B128" s="296"/>
      <c r="C128" s="354"/>
      <c r="D128" s="297"/>
      <c r="E128" s="323"/>
      <c r="F128" s="19"/>
      <c r="G128" s="324"/>
      <c r="H128" s="279"/>
      <c r="I128" s="325"/>
      <c r="J128" s="318"/>
      <c r="K128" s="185"/>
      <c r="L128" s="165"/>
      <c r="M128" s="377"/>
      <c r="N128" s="319"/>
      <c r="O128" s="197"/>
      <c r="P128" s="176"/>
      <c r="Q128" s="324"/>
      <c r="R128" s="197"/>
      <c r="S128" s="341"/>
      <c r="T128" s="197"/>
      <c r="U128" s="422"/>
      <c r="V128" s="341"/>
      <c r="X128" s="239">
        <f t="shared" si="3"/>
        <v>0</v>
      </c>
    </row>
    <row r="129" spans="1:24" ht="15.75">
      <c r="A129" s="326"/>
      <c r="B129" s="211"/>
      <c r="C129" s="355"/>
      <c r="D129" s="295"/>
      <c r="E129" s="327"/>
      <c r="F129" s="21"/>
      <c r="G129" s="230"/>
      <c r="H129" s="207"/>
      <c r="I129" s="305"/>
      <c r="J129" s="320"/>
      <c r="K129" s="189"/>
      <c r="L129" s="167"/>
      <c r="M129" s="378"/>
      <c r="N129" s="213"/>
      <c r="O129" s="198"/>
      <c r="P129" s="178"/>
      <c r="Q129" s="230"/>
      <c r="R129" s="198"/>
      <c r="S129" s="342"/>
      <c r="T129" s="198"/>
      <c r="U129" s="423"/>
      <c r="V129" s="342"/>
      <c r="X129" s="239">
        <f t="shared" si="3"/>
        <v>0</v>
      </c>
    </row>
    <row r="130" spans="1:24" ht="15.75">
      <c r="A130" s="326"/>
      <c r="B130" s="211"/>
      <c r="C130" s="355"/>
      <c r="D130" s="295"/>
      <c r="E130" s="327"/>
      <c r="F130" s="21"/>
      <c r="G130" s="230"/>
      <c r="H130" s="207"/>
      <c r="I130" s="305"/>
      <c r="J130" s="320"/>
      <c r="K130" s="189"/>
      <c r="L130" s="167"/>
      <c r="M130" s="378"/>
      <c r="N130" s="213"/>
      <c r="O130" s="198"/>
      <c r="P130" s="178"/>
      <c r="Q130" s="230"/>
      <c r="R130" s="198"/>
      <c r="S130" s="342"/>
      <c r="T130" s="198"/>
      <c r="U130" s="423"/>
      <c r="V130" s="342"/>
      <c r="X130" s="239">
        <f t="shared" si="3"/>
        <v>0</v>
      </c>
    </row>
    <row r="131" spans="1:24" ht="15.75">
      <c r="A131" s="326"/>
      <c r="B131" s="211"/>
      <c r="C131" s="355"/>
      <c r="D131" s="295"/>
      <c r="E131" s="327"/>
      <c r="F131" s="21"/>
      <c r="G131" s="230"/>
      <c r="H131" s="207"/>
      <c r="I131" s="305"/>
      <c r="J131" s="320"/>
      <c r="K131" s="189"/>
      <c r="L131" s="167"/>
      <c r="M131" s="378"/>
      <c r="N131" s="213"/>
      <c r="O131" s="198"/>
      <c r="P131" s="178"/>
      <c r="Q131" s="230"/>
      <c r="R131" s="198"/>
      <c r="S131" s="342"/>
      <c r="T131" s="198"/>
      <c r="U131" s="423"/>
      <c r="V131" s="342"/>
      <c r="X131" s="239">
        <f t="shared" si="3"/>
        <v>0</v>
      </c>
    </row>
    <row r="132" spans="1:24" ht="15.75">
      <c r="A132" s="326"/>
      <c r="B132" s="211"/>
      <c r="C132" s="355"/>
      <c r="D132" s="295"/>
      <c r="E132" s="327"/>
      <c r="F132" s="21"/>
      <c r="G132" s="230"/>
      <c r="H132" s="207"/>
      <c r="I132" s="305"/>
      <c r="J132" s="320"/>
      <c r="K132" s="189"/>
      <c r="L132" s="167"/>
      <c r="M132" s="378"/>
      <c r="N132" s="213"/>
      <c r="O132" s="198"/>
      <c r="P132" s="178"/>
      <c r="Q132" s="230"/>
      <c r="R132" s="198"/>
      <c r="S132" s="342"/>
      <c r="T132" s="198"/>
      <c r="U132" s="424"/>
      <c r="V132" s="342"/>
      <c r="X132" s="239">
        <f t="shared" si="3"/>
        <v>0</v>
      </c>
    </row>
    <row r="133" spans="1:24" ht="15.75">
      <c r="A133" s="338"/>
      <c r="B133" s="296"/>
      <c r="C133" s="351"/>
      <c r="D133" s="297"/>
      <c r="E133" s="369"/>
      <c r="F133" s="19"/>
      <c r="G133" s="19"/>
      <c r="H133" s="279"/>
      <c r="I133" s="345"/>
      <c r="J133" s="318"/>
      <c r="K133" s="185"/>
      <c r="L133" s="165"/>
      <c r="M133" s="377"/>
      <c r="N133" s="319"/>
      <c r="O133" s="263"/>
      <c r="P133" s="176"/>
      <c r="Q133" s="19"/>
      <c r="R133" s="197"/>
      <c r="S133" s="341"/>
      <c r="T133" s="197"/>
      <c r="U133" s="422"/>
      <c r="V133" s="341"/>
      <c r="X133" s="239">
        <f t="shared" si="3"/>
        <v>0</v>
      </c>
    </row>
    <row r="134" spans="1:24" ht="15.75">
      <c r="A134" s="339"/>
      <c r="B134" s="211"/>
      <c r="C134" s="352"/>
      <c r="D134" s="295"/>
      <c r="E134" s="370"/>
      <c r="F134" s="21"/>
      <c r="G134" s="21"/>
      <c r="H134" s="207"/>
      <c r="I134" s="346"/>
      <c r="J134" s="320"/>
      <c r="K134" s="189"/>
      <c r="L134" s="167"/>
      <c r="M134" s="378"/>
      <c r="N134" s="213"/>
      <c r="O134" s="264"/>
      <c r="P134" s="178"/>
      <c r="Q134" s="21"/>
      <c r="R134" s="198"/>
      <c r="S134" s="342"/>
      <c r="T134" s="198"/>
      <c r="U134" s="423"/>
      <c r="V134" s="342"/>
      <c r="X134" s="239">
        <f t="shared" si="3"/>
        <v>0</v>
      </c>
    </row>
    <row r="135" spans="1:24" ht="15.75">
      <c r="A135" s="339"/>
      <c r="B135" s="211"/>
      <c r="C135" s="352"/>
      <c r="D135" s="295"/>
      <c r="E135" s="370"/>
      <c r="F135" s="21"/>
      <c r="G135" s="21"/>
      <c r="H135" s="207"/>
      <c r="I135" s="346"/>
      <c r="J135" s="320"/>
      <c r="K135" s="189"/>
      <c r="L135" s="167"/>
      <c r="M135" s="378"/>
      <c r="N135" s="213"/>
      <c r="O135" s="264"/>
      <c r="P135" s="178"/>
      <c r="Q135" s="21"/>
      <c r="R135" s="198"/>
      <c r="S135" s="342"/>
      <c r="T135" s="198"/>
      <c r="U135" s="423"/>
      <c r="V135" s="342"/>
      <c r="X135" s="239">
        <f t="shared" si="3"/>
        <v>0</v>
      </c>
    </row>
    <row r="136" spans="1:24" ht="15.75">
      <c r="A136" s="339"/>
      <c r="B136" s="211"/>
      <c r="C136" s="352"/>
      <c r="D136" s="295"/>
      <c r="E136" s="370"/>
      <c r="F136" s="21"/>
      <c r="G136" s="21"/>
      <c r="H136" s="207"/>
      <c r="I136" s="346"/>
      <c r="J136" s="320"/>
      <c r="K136" s="189"/>
      <c r="L136" s="167"/>
      <c r="M136" s="378"/>
      <c r="N136" s="213"/>
      <c r="O136" s="264"/>
      <c r="P136" s="178"/>
      <c r="Q136" s="21"/>
      <c r="R136" s="198"/>
      <c r="S136" s="342"/>
      <c r="T136" s="198"/>
      <c r="U136" s="423"/>
      <c r="V136" s="342"/>
      <c r="X136" s="239">
        <f t="shared" si="3"/>
        <v>0</v>
      </c>
    </row>
    <row r="137" spans="1:24" ht="15.75">
      <c r="A137" s="340"/>
      <c r="B137" s="214"/>
      <c r="C137" s="353"/>
      <c r="D137" s="309"/>
      <c r="E137" s="371"/>
      <c r="F137" s="22"/>
      <c r="G137" s="22"/>
      <c r="H137" s="209"/>
      <c r="I137" s="347"/>
      <c r="J137" s="321"/>
      <c r="K137" s="195"/>
      <c r="L137" s="170"/>
      <c r="M137" s="379"/>
      <c r="N137" s="216"/>
      <c r="O137" s="343"/>
      <c r="P137" s="180"/>
      <c r="Q137" s="22"/>
      <c r="R137" s="201"/>
      <c r="S137" s="181"/>
      <c r="T137" s="201"/>
      <c r="U137" s="424"/>
      <c r="V137" s="181"/>
      <c r="X137" s="239">
        <f t="shared" si="3"/>
        <v>0</v>
      </c>
    </row>
    <row r="138" spans="1:24" ht="15.75">
      <c r="A138" s="338"/>
      <c r="B138" s="348"/>
      <c r="C138" s="351"/>
      <c r="D138" s="297"/>
      <c r="E138" s="323"/>
      <c r="F138" s="19"/>
      <c r="G138" s="324"/>
      <c r="H138" s="279"/>
      <c r="I138" s="325"/>
      <c r="J138" s="318"/>
      <c r="K138" s="185"/>
      <c r="L138" s="165"/>
      <c r="M138" s="377"/>
      <c r="N138" s="319"/>
      <c r="O138" s="263"/>
      <c r="P138" s="344"/>
      <c r="Q138" s="19"/>
      <c r="R138" s="197"/>
      <c r="S138" s="341"/>
      <c r="T138" s="197"/>
      <c r="U138" s="422"/>
      <c r="V138" s="341"/>
      <c r="X138" s="239">
        <f t="shared" si="3"/>
        <v>0</v>
      </c>
    </row>
    <row r="139" spans="1:24" ht="15.75">
      <c r="A139" s="339"/>
      <c r="B139" s="230"/>
      <c r="C139" s="352"/>
      <c r="D139" s="21"/>
      <c r="E139" s="327"/>
      <c r="F139" s="21"/>
      <c r="G139" s="230"/>
      <c r="H139" s="207"/>
      <c r="I139" s="305"/>
      <c r="J139" s="320"/>
      <c r="K139" s="189"/>
      <c r="L139" s="167"/>
      <c r="M139" s="378"/>
      <c r="N139" s="213"/>
      <c r="O139" s="264"/>
      <c r="P139" s="306"/>
      <c r="Q139" s="21"/>
      <c r="R139" s="198"/>
      <c r="S139" s="342"/>
      <c r="T139" s="198"/>
      <c r="U139" s="423"/>
      <c r="V139" s="342"/>
      <c r="X139" s="239">
        <f t="shared" si="3"/>
        <v>0</v>
      </c>
    </row>
    <row r="140" spans="1:24" ht="15.75">
      <c r="A140" s="340"/>
      <c r="B140" s="311"/>
      <c r="C140" s="353"/>
      <c r="D140" s="22"/>
      <c r="E140" s="329"/>
      <c r="F140" s="22"/>
      <c r="G140" s="311"/>
      <c r="H140" s="209"/>
      <c r="I140" s="313"/>
      <c r="J140" s="321"/>
      <c r="K140" s="195"/>
      <c r="L140" s="170"/>
      <c r="M140" s="379"/>
      <c r="N140" s="216"/>
      <c r="O140" s="343"/>
      <c r="P140" s="315"/>
      <c r="Q140" s="22"/>
      <c r="R140" s="201"/>
      <c r="S140" s="181"/>
      <c r="T140" s="201"/>
      <c r="U140" s="424"/>
      <c r="V140" s="181"/>
      <c r="X140" s="239">
        <f t="shared" si="3"/>
        <v>0</v>
      </c>
    </row>
    <row r="141" spans="1:24" ht="15.75">
      <c r="A141" s="322"/>
      <c r="B141" s="20"/>
      <c r="C141" s="354"/>
      <c r="D141" s="19"/>
      <c r="E141" s="323"/>
      <c r="F141" s="324"/>
      <c r="G141" s="19"/>
      <c r="H141" s="279"/>
      <c r="I141" s="325"/>
      <c r="J141" s="318"/>
      <c r="K141" s="185"/>
      <c r="L141" s="165"/>
      <c r="M141" s="380"/>
      <c r="N141" s="319"/>
      <c r="O141" s="263"/>
      <c r="P141" s="344"/>
      <c r="Q141" s="19"/>
      <c r="R141" s="323"/>
      <c r="S141" s="341"/>
      <c r="T141" s="197"/>
      <c r="U141" s="422"/>
      <c r="V141" s="341"/>
      <c r="X141" s="239">
        <f t="shared" si="3"/>
        <v>0</v>
      </c>
    </row>
    <row r="142" spans="1:24" ht="15.75">
      <c r="A142" s="328"/>
      <c r="B142" s="22"/>
      <c r="C142" s="356"/>
      <c r="D142" s="22"/>
      <c r="E142" s="329"/>
      <c r="F142" s="311"/>
      <c r="G142" s="22"/>
      <c r="H142" s="209"/>
      <c r="I142" s="313"/>
      <c r="J142" s="321"/>
      <c r="K142" s="195"/>
      <c r="L142" s="170"/>
      <c r="M142" s="381"/>
      <c r="N142" s="216"/>
      <c r="O142" s="343"/>
      <c r="P142" s="315"/>
      <c r="Q142" s="22"/>
      <c r="R142" s="329"/>
      <c r="S142" s="181"/>
      <c r="T142" s="201"/>
      <c r="U142" s="424"/>
      <c r="V142" s="181"/>
      <c r="X142" s="239">
        <f t="shared" ref="X142" si="4">L142/1000</f>
        <v>0</v>
      </c>
    </row>
  </sheetData>
  <autoFilter ref="A12:AE75"/>
  <dataConsolidate/>
  <mergeCells count="42">
    <mergeCell ref="M57:M67"/>
    <mergeCell ref="M68:M70"/>
    <mergeCell ref="AE3:AE4"/>
    <mergeCell ref="A11:A12"/>
    <mergeCell ref="B11:B12"/>
    <mergeCell ref="C11:C12"/>
    <mergeCell ref="D11:D12"/>
    <mergeCell ref="E11:E12"/>
    <mergeCell ref="N11:N12"/>
    <mergeCell ref="X11:X12"/>
    <mergeCell ref="P11:Q11"/>
    <mergeCell ref="R11:R12"/>
    <mergeCell ref="S11:S12"/>
    <mergeCell ref="T11:T12"/>
    <mergeCell ref="V11:V12"/>
    <mergeCell ref="M15:M21"/>
    <mergeCell ref="M23:M29"/>
    <mergeCell ref="A1:C1"/>
    <mergeCell ref="AA3:AA4"/>
    <mergeCell ref="AB3:AD3"/>
    <mergeCell ref="M13:M14"/>
    <mergeCell ref="M30:M34"/>
    <mergeCell ref="M35:M36"/>
    <mergeCell ref="M37:M39"/>
    <mergeCell ref="M40:M48"/>
    <mergeCell ref="M49:M50"/>
    <mergeCell ref="M71:M75"/>
    <mergeCell ref="U71:U75"/>
    <mergeCell ref="U13:U14"/>
    <mergeCell ref="U15:U21"/>
    <mergeCell ref="U23:U29"/>
    <mergeCell ref="U30:U34"/>
    <mergeCell ref="U35:U36"/>
    <mergeCell ref="U37:U39"/>
    <mergeCell ref="U40:U48"/>
    <mergeCell ref="U49:U50"/>
    <mergeCell ref="U51:U52"/>
    <mergeCell ref="U53:U56"/>
    <mergeCell ref="U57:U67"/>
    <mergeCell ref="U68:U70"/>
    <mergeCell ref="M51:M52"/>
    <mergeCell ref="M53:M5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142"/>
  <sheetViews>
    <sheetView topLeftCell="A10" zoomScale="70" zoomScaleNormal="70" workbookViewId="0">
      <pane xSplit="5" ySplit="3" topLeftCell="S13" activePane="bottomRight" state="frozen"/>
      <selection activeCell="A10" sqref="A10"/>
      <selection pane="topRight" activeCell="F10" sqref="F10"/>
      <selection pane="bottomLeft" activeCell="A13" sqref="A13"/>
      <selection pane="bottomRight" activeCell="U78" sqref="U13:U86"/>
    </sheetView>
  </sheetViews>
  <sheetFormatPr defaultRowHeight="15"/>
  <cols>
    <col min="1" max="1" width="9.140625" style="156" customWidth="1"/>
    <col min="2" max="2" width="22.28515625" customWidth="1"/>
    <col min="3" max="3" width="14.7109375" style="350" customWidth="1"/>
    <col min="4" max="4" width="22.42578125" customWidth="1"/>
    <col min="5" max="5" width="22.7109375" style="9" customWidth="1"/>
    <col min="6" max="6" width="41" customWidth="1"/>
    <col min="7" max="7" width="27.28515625" customWidth="1"/>
    <col min="8" max="8" width="14.85546875" customWidth="1"/>
    <col min="9" max="9" width="13" style="153" customWidth="1"/>
    <col min="10" max="10" width="14.7109375" style="267" customWidth="1"/>
    <col min="11" max="11" width="13.140625" customWidth="1"/>
    <col min="12" max="12" width="13" customWidth="1"/>
    <col min="13" max="13" width="12.42578125" style="162" customWidth="1"/>
    <col min="14" max="14" width="13.7109375" style="9" customWidth="1"/>
    <col min="15" max="15" width="32.140625" style="9" customWidth="1"/>
    <col min="16" max="16" width="23.85546875" style="1" customWidth="1"/>
    <col min="17" max="17" width="15.5703125" customWidth="1"/>
    <col min="18" max="18" width="17.7109375" style="9" customWidth="1"/>
    <col min="19" max="19" width="16.7109375" style="7" customWidth="1"/>
    <col min="20" max="20" width="18.7109375" style="404" customWidth="1"/>
    <col min="21" max="21" width="20.85546875" style="238" customWidth="1"/>
    <col min="22" max="22" width="15.140625" style="7" customWidth="1"/>
    <col min="24" max="24" width="16.7109375" customWidth="1"/>
    <col min="25" max="25" width="14.42578125" customWidth="1"/>
    <col min="26" max="26" width="14.28515625" customWidth="1"/>
    <col min="27" max="27" width="13.7109375" customWidth="1"/>
    <col min="28" max="28" width="19.7109375" bestFit="1" customWidth="1"/>
    <col min="29" max="31" width="11" customWidth="1"/>
    <col min="32" max="32" width="13.28515625" customWidth="1"/>
    <col min="33" max="33" width="16.140625" customWidth="1"/>
  </cols>
  <sheetData>
    <row r="1" spans="1:32" ht="34.5" customHeight="1">
      <c r="A1" s="1023">
        <v>43891</v>
      </c>
      <c r="B1" s="1023"/>
      <c r="C1" s="1023"/>
      <c r="D1" s="2"/>
      <c r="E1" s="257"/>
      <c r="F1" s="2"/>
      <c r="G1" s="2"/>
      <c r="H1" s="2"/>
      <c r="I1" s="152"/>
      <c r="J1" s="152"/>
      <c r="K1" s="2"/>
      <c r="L1" s="2"/>
      <c r="M1" s="160"/>
      <c r="N1" s="257"/>
      <c r="O1" s="257"/>
      <c r="P1" s="8"/>
      <c r="Q1" s="2"/>
      <c r="R1" s="257"/>
      <c r="S1" s="257"/>
      <c r="T1" s="2"/>
      <c r="U1" s="233"/>
    </row>
    <row r="2" spans="1:32" ht="34.5" customHeight="1">
      <c r="A2" s="157"/>
      <c r="B2" s="44"/>
      <c r="C2" s="349"/>
      <c r="D2" s="2"/>
      <c r="E2" s="257"/>
      <c r="F2" s="2"/>
      <c r="G2" s="2"/>
      <c r="H2" s="2"/>
      <c r="I2" s="152"/>
      <c r="J2" s="152"/>
      <c r="K2" s="2"/>
      <c r="L2" s="2"/>
      <c r="M2" s="160"/>
      <c r="N2" s="257"/>
      <c r="O2" s="257"/>
      <c r="P2" s="8"/>
      <c r="Q2" s="2"/>
      <c r="R2" s="257"/>
      <c r="S2" s="257"/>
      <c r="T2" s="2"/>
      <c r="U2" s="233"/>
    </row>
    <row r="3" spans="1:32" ht="54.75" customHeight="1">
      <c r="A3" s="157"/>
      <c r="B3" s="44"/>
      <c r="C3" s="349"/>
      <c r="D3" s="2"/>
      <c r="E3" s="257"/>
      <c r="F3" s="2"/>
      <c r="G3" s="2"/>
      <c r="H3" s="2"/>
      <c r="I3" s="152"/>
      <c r="J3" s="152"/>
      <c r="K3" s="2"/>
      <c r="L3" s="2"/>
      <c r="M3" s="160"/>
      <c r="N3" s="259" t="s">
        <v>0</v>
      </c>
      <c r="O3" s="260" t="s">
        <v>16</v>
      </c>
      <c r="P3" s="260" t="s">
        <v>27</v>
      </c>
      <c r="Q3" s="260" t="s">
        <v>14</v>
      </c>
      <c r="R3" s="260" t="s">
        <v>31</v>
      </c>
      <c r="S3" s="260" t="s">
        <v>203</v>
      </c>
      <c r="T3" s="155" t="s">
        <v>46</v>
      </c>
      <c r="U3" s="234" t="s">
        <v>45</v>
      </c>
      <c r="AB3" s="1024" t="s">
        <v>14</v>
      </c>
      <c r="AC3" s="1026" t="s">
        <v>3</v>
      </c>
      <c r="AD3" s="1027"/>
      <c r="AE3" s="1028"/>
      <c r="AF3" s="1009" t="s">
        <v>21</v>
      </c>
    </row>
    <row r="4" spans="1:32" ht="46.5" customHeight="1">
      <c r="A4" s="157"/>
      <c r="B4" s="44"/>
      <c r="C4" s="349"/>
      <c r="D4" s="2"/>
      <c r="E4" s="257"/>
      <c r="F4" s="2"/>
      <c r="G4" s="2"/>
      <c r="H4" s="2"/>
      <c r="I4" s="152"/>
      <c r="J4" s="152"/>
      <c r="K4" s="2"/>
      <c r="L4" s="2"/>
      <c r="M4" s="160"/>
      <c r="N4" s="32">
        <v>1</v>
      </c>
      <c r="O4" s="32" t="s">
        <v>28</v>
      </c>
      <c r="P4" s="32">
        <v>7</v>
      </c>
      <c r="Q4" s="32" t="s">
        <v>24</v>
      </c>
      <c r="R4" s="32" t="s">
        <v>32</v>
      </c>
      <c r="S4" s="32" t="s">
        <v>4</v>
      </c>
      <c r="T4" s="101"/>
      <c r="U4" s="235" t="s">
        <v>178</v>
      </c>
      <c r="AB4" s="1025"/>
      <c r="AC4" s="118" t="s">
        <v>20</v>
      </c>
      <c r="AD4" s="119" t="s">
        <v>22</v>
      </c>
      <c r="AE4" s="120" t="s">
        <v>23</v>
      </c>
      <c r="AF4" s="1010"/>
    </row>
    <row r="5" spans="1:32" ht="48.75" customHeight="1">
      <c r="A5" s="157"/>
      <c r="B5" s="44"/>
      <c r="C5" s="349"/>
      <c r="D5" s="2"/>
      <c r="E5" s="257"/>
      <c r="F5" s="362"/>
      <c r="G5" s="2"/>
      <c r="H5" s="2"/>
      <c r="I5" s="152"/>
      <c r="J5" s="152"/>
      <c r="K5" s="2"/>
      <c r="L5" s="2"/>
      <c r="M5" s="160"/>
      <c r="N5" s="61">
        <v>2</v>
      </c>
      <c r="O5" s="61" t="s">
        <v>180</v>
      </c>
      <c r="P5" s="61">
        <v>4</v>
      </c>
      <c r="Q5" s="61" t="s">
        <v>24</v>
      </c>
      <c r="R5" s="61" t="s">
        <v>32</v>
      </c>
      <c r="S5" s="61" t="s">
        <v>7</v>
      </c>
      <c r="T5" s="403"/>
      <c r="U5" s="236" t="s">
        <v>178</v>
      </c>
      <c r="AB5" s="121" t="s">
        <v>24</v>
      </c>
      <c r="AC5" s="121"/>
      <c r="AD5" s="121"/>
      <c r="AE5" s="121"/>
      <c r="AF5" s="121">
        <f>SUM(AC5:AE5)</f>
        <v>0</v>
      </c>
    </row>
    <row r="6" spans="1:32" ht="37.5" customHeight="1">
      <c r="A6" s="157"/>
      <c r="B6" s="44"/>
      <c r="C6" s="349"/>
      <c r="D6" s="2"/>
      <c r="E6" s="257"/>
      <c r="F6" s="2"/>
      <c r="G6" s="2"/>
      <c r="H6" s="2"/>
      <c r="I6" s="152"/>
      <c r="J6" s="152"/>
      <c r="K6" s="2"/>
      <c r="L6" s="2"/>
      <c r="M6" s="160"/>
      <c r="N6" s="32">
        <v>3</v>
      </c>
      <c r="O6" s="32" t="s">
        <v>217</v>
      </c>
      <c r="P6" s="32">
        <v>1</v>
      </c>
      <c r="Q6" s="32" t="s">
        <v>218</v>
      </c>
      <c r="R6" s="32" t="s">
        <v>32</v>
      </c>
      <c r="S6" s="32"/>
      <c r="T6" s="101" t="s">
        <v>29</v>
      </c>
      <c r="U6" s="235" t="s">
        <v>29</v>
      </c>
      <c r="AB6" s="124" t="s">
        <v>171</v>
      </c>
      <c r="AC6" s="61"/>
      <c r="AD6" s="124"/>
      <c r="AE6" s="61"/>
      <c r="AF6" s="61">
        <f>+AC6+AD6+AE6</f>
        <v>0</v>
      </c>
    </row>
    <row r="7" spans="1:32" ht="38.25" customHeight="1">
      <c r="A7" s="157"/>
      <c r="B7" s="44"/>
      <c r="C7" s="349"/>
      <c r="D7" s="2"/>
      <c r="E7" s="257"/>
      <c r="F7" s="2"/>
      <c r="G7" s="2"/>
      <c r="H7" s="2"/>
      <c r="I7" s="152"/>
      <c r="J7" s="152"/>
      <c r="K7" s="2"/>
      <c r="L7" s="2"/>
      <c r="M7" s="160"/>
      <c r="N7" s="61"/>
      <c r="O7" s="61"/>
      <c r="P7" s="61"/>
      <c r="Q7" s="61"/>
      <c r="R7" s="61"/>
      <c r="S7" s="61"/>
      <c r="T7" s="403"/>
      <c r="U7" s="236"/>
      <c r="AB7" s="121" t="s">
        <v>21</v>
      </c>
      <c r="AC7" s="121">
        <f>AC5+AC6</f>
        <v>0</v>
      </c>
      <c r="AD7" s="121">
        <f>AD5+AD6</f>
        <v>0</v>
      </c>
      <c r="AE7" s="121">
        <f>AE5+AE6</f>
        <v>0</v>
      </c>
      <c r="AF7" s="121">
        <f>AF5+AF6</f>
        <v>0</v>
      </c>
    </row>
    <row r="8" spans="1:32" ht="34.5" customHeight="1">
      <c r="A8" s="157"/>
      <c r="B8" s="44"/>
      <c r="C8" s="349"/>
      <c r="D8" s="2"/>
      <c r="E8" s="257"/>
      <c r="F8" s="2"/>
      <c r="G8" s="2"/>
      <c r="H8" s="2"/>
      <c r="I8" s="152"/>
      <c r="J8" s="152"/>
      <c r="K8" s="2"/>
      <c r="L8" s="2"/>
      <c r="M8" s="160"/>
      <c r="N8" s="32"/>
      <c r="O8" s="32"/>
      <c r="P8" s="32"/>
      <c r="Q8" s="32"/>
      <c r="R8" s="32"/>
      <c r="S8" s="32"/>
      <c r="T8" s="101"/>
      <c r="U8" s="235"/>
      <c r="AC8" s="138" t="e">
        <f>+AC7/$AF$7</f>
        <v>#DIV/0!</v>
      </c>
      <c r="AD8" s="138" t="e">
        <f t="shared" ref="AD8:AE8" si="0">+AD7/$AF$7</f>
        <v>#DIV/0!</v>
      </c>
      <c r="AE8" s="138" t="e">
        <f t="shared" si="0"/>
        <v>#DIV/0!</v>
      </c>
    </row>
    <row r="9" spans="1:32" ht="34.5" customHeight="1">
      <c r="A9" s="157"/>
      <c r="B9" s="44"/>
      <c r="C9" s="349"/>
      <c r="D9" s="2"/>
      <c r="E9" s="257"/>
      <c r="F9" s="2"/>
      <c r="G9" s="2"/>
      <c r="H9" s="2"/>
      <c r="I9" s="152"/>
      <c r="J9" s="152"/>
      <c r="K9" s="2"/>
      <c r="L9" s="2"/>
      <c r="M9" s="160"/>
      <c r="N9" s="257"/>
      <c r="O9" s="257"/>
      <c r="P9" s="8"/>
      <c r="Q9" s="2"/>
      <c r="R9" s="257"/>
      <c r="S9" s="257"/>
      <c r="T9" s="2"/>
      <c r="U9" s="233"/>
    </row>
    <row r="10" spans="1:32" ht="26.25" customHeight="1">
      <c r="T10" s="404" t="s">
        <v>198</v>
      </c>
      <c r="U10" s="237">
        <v>23580</v>
      </c>
    </row>
    <row r="11" spans="1:32" ht="30.75" customHeight="1">
      <c r="A11" s="1011" t="s">
        <v>0</v>
      </c>
      <c r="B11" s="1013" t="s">
        <v>1</v>
      </c>
      <c r="C11" s="1015" t="s">
        <v>13</v>
      </c>
      <c r="D11" s="1013" t="s">
        <v>14</v>
      </c>
      <c r="E11" s="1013" t="s">
        <v>37</v>
      </c>
      <c r="F11" s="365" t="s">
        <v>9</v>
      </c>
      <c r="G11" s="366"/>
      <c r="H11" s="366"/>
      <c r="I11" s="366"/>
      <c r="J11" s="366"/>
      <c r="K11" s="366"/>
      <c r="L11" s="366"/>
      <c r="M11" s="367"/>
      <c r="N11" s="1017" t="s">
        <v>5</v>
      </c>
      <c r="O11" s="155" t="s">
        <v>205</v>
      </c>
      <c r="P11" s="1032" t="s">
        <v>10</v>
      </c>
      <c r="Q11" s="1033"/>
      <c r="R11" s="1034" t="s">
        <v>203</v>
      </c>
      <c r="S11" s="1013" t="s">
        <v>2</v>
      </c>
      <c r="T11" s="1019" t="s">
        <v>35</v>
      </c>
      <c r="U11" s="1078" t="s">
        <v>190</v>
      </c>
      <c r="V11" s="1071" t="s">
        <v>184</v>
      </c>
      <c r="X11" s="1021" t="s">
        <v>206</v>
      </c>
    </row>
    <row r="12" spans="1:32" ht="23.25" customHeight="1">
      <c r="A12" s="1012"/>
      <c r="B12" s="1014"/>
      <c r="C12" s="1016"/>
      <c r="D12" s="1014"/>
      <c r="E12" s="1014"/>
      <c r="F12" s="151" t="s">
        <v>15</v>
      </c>
      <c r="G12" s="151" t="s">
        <v>16</v>
      </c>
      <c r="H12" s="151" t="s">
        <v>193</v>
      </c>
      <c r="I12" s="154" t="s">
        <v>195</v>
      </c>
      <c r="J12" s="268" t="s">
        <v>194</v>
      </c>
      <c r="K12" s="151" t="s">
        <v>195</v>
      </c>
      <c r="L12" s="151" t="s">
        <v>21</v>
      </c>
      <c r="M12" s="161" t="s">
        <v>34</v>
      </c>
      <c r="N12" s="1018"/>
      <c r="O12" s="158"/>
      <c r="P12" s="258" t="s">
        <v>17</v>
      </c>
      <c r="Q12" s="259" t="s">
        <v>3</v>
      </c>
      <c r="R12" s="1013"/>
      <c r="S12" s="1014"/>
      <c r="T12" s="1020"/>
      <c r="U12" s="1079"/>
      <c r="V12" s="1013"/>
      <c r="X12" s="1022"/>
    </row>
    <row r="13" spans="1:32" s="9" customFormat="1" ht="15.75">
      <c r="A13" s="250">
        <v>1</v>
      </c>
      <c r="B13" s="20" t="s">
        <v>227</v>
      </c>
      <c r="C13" s="357">
        <v>43924</v>
      </c>
      <c r="D13" s="20" t="s">
        <v>18</v>
      </c>
      <c r="E13" s="183" t="s">
        <v>228</v>
      </c>
      <c r="F13" s="248" t="s">
        <v>226</v>
      </c>
      <c r="G13" s="172" t="s">
        <v>222</v>
      </c>
      <c r="H13" s="164">
        <v>5</v>
      </c>
      <c r="I13" s="382" t="s">
        <v>207</v>
      </c>
      <c r="J13" s="383">
        <v>1</v>
      </c>
      <c r="K13" s="185" t="s">
        <v>197</v>
      </c>
      <c r="L13" s="165">
        <f>J13*H13</f>
        <v>5</v>
      </c>
      <c r="M13" s="1072">
        <v>89.4</v>
      </c>
      <c r="N13" s="244">
        <v>43924</v>
      </c>
      <c r="O13" s="197" t="s">
        <v>219</v>
      </c>
      <c r="P13" s="263"/>
      <c r="Q13" s="197"/>
      <c r="R13" s="197" t="s">
        <v>4</v>
      </c>
      <c r="S13" s="197"/>
      <c r="T13" s="197" t="s">
        <v>178</v>
      </c>
      <c r="U13" s="1092">
        <f>687.53*23580</f>
        <v>16211957.399999999</v>
      </c>
      <c r="V13" s="197"/>
      <c r="W13"/>
      <c r="X13" s="239">
        <f>L13/1000</f>
        <v>5.0000000000000001E-3</v>
      </c>
      <c r="Y13"/>
      <c r="Z13"/>
      <c r="AA13"/>
      <c r="AB13"/>
      <c r="AC13"/>
      <c r="AD13"/>
      <c r="AE13"/>
      <c r="AF13"/>
    </row>
    <row r="14" spans="1:32" s="9" customFormat="1" ht="15.75">
      <c r="A14" s="251">
        <v>1</v>
      </c>
      <c r="B14" s="17" t="s">
        <v>227</v>
      </c>
      <c r="C14" s="358">
        <v>43924</v>
      </c>
      <c r="D14" s="17" t="s">
        <v>18</v>
      </c>
      <c r="E14" s="187" t="s">
        <v>228</v>
      </c>
      <c r="F14" s="246" t="s">
        <v>226</v>
      </c>
      <c r="G14" s="89" t="s">
        <v>222</v>
      </c>
      <c r="H14" s="166">
        <v>5</v>
      </c>
      <c r="I14" s="384" t="s">
        <v>207</v>
      </c>
      <c r="J14" s="385">
        <v>0.5</v>
      </c>
      <c r="K14" s="189" t="s">
        <v>197</v>
      </c>
      <c r="L14" s="167">
        <f t="shared" ref="L14:L37" si="1">J14*H14</f>
        <v>2.5</v>
      </c>
      <c r="M14" s="1073"/>
      <c r="N14" s="245">
        <v>43924</v>
      </c>
      <c r="O14" s="198" t="s">
        <v>219</v>
      </c>
      <c r="P14" s="264"/>
      <c r="Q14" s="198"/>
      <c r="R14" s="198" t="s">
        <v>4</v>
      </c>
      <c r="S14" s="198"/>
      <c r="T14" s="198" t="s">
        <v>178</v>
      </c>
      <c r="U14" s="1093"/>
      <c r="V14" s="198"/>
      <c r="W14"/>
      <c r="X14" s="239">
        <f t="shared" ref="X14:X33" si="2">L14/1000</f>
        <v>2.5000000000000001E-3</v>
      </c>
      <c r="Y14"/>
      <c r="Z14"/>
      <c r="AA14"/>
      <c r="AB14"/>
      <c r="AC14"/>
      <c r="AD14"/>
      <c r="AE14"/>
      <c r="AF14"/>
    </row>
    <row r="15" spans="1:32" s="9" customFormat="1" ht="15.75">
      <c r="A15" s="251">
        <v>1</v>
      </c>
      <c r="B15" s="17" t="s">
        <v>227</v>
      </c>
      <c r="C15" s="358">
        <v>43924</v>
      </c>
      <c r="D15" s="17" t="s">
        <v>18</v>
      </c>
      <c r="E15" s="187" t="s">
        <v>228</v>
      </c>
      <c r="F15" s="246" t="s">
        <v>226</v>
      </c>
      <c r="G15" s="89" t="s">
        <v>222</v>
      </c>
      <c r="H15" s="166">
        <v>2</v>
      </c>
      <c r="I15" s="384" t="s">
        <v>207</v>
      </c>
      <c r="J15" s="385">
        <v>0.5</v>
      </c>
      <c r="K15" s="189" t="s">
        <v>197</v>
      </c>
      <c r="L15" s="167">
        <f t="shared" si="1"/>
        <v>1</v>
      </c>
      <c r="M15" s="1073"/>
      <c r="N15" s="245">
        <v>43924</v>
      </c>
      <c r="O15" s="198" t="s">
        <v>219</v>
      </c>
      <c r="P15" s="264"/>
      <c r="Q15" s="198"/>
      <c r="R15" s="198" t="s">
        <v>4</v>
      </c>
      <c r="S15" s="198"/>
      <c r="T15" s="198" t="s">
        <v>178</v>
      </c>
      <c r="U15" s="1093"/>
      <c r="V15" s="198"/>
      <c r="W15"/>
      <c r="X15" s="239">
        <f t="shared" si="2"/>
        <v>1E-3</v>
      </c>
      <c r="Y15"/>
      <c r="Z15"/>
      <c r="AA15"/>
      <c r="AB15"/>
      <c r="AC15"/>
      <c r="AD15"/>
      <c r="AE15"/>
      <c r="AF15"/>
    </row>
    <row r="16" spans="1:32" s="9" customFormat="1" ht="15.75">
      <c r="A16" s="251">
        <v>1</v>
      </c>
      <c r="B16" s="17" t="s">
        <v>227</v>
      </c>
      <c r="C16" s="358">
        <v>43924</v>
      </c>
      <c r="D16" s="17" t="s">
        <v>18</v>
      </c>
      <c r="E16" s="187" t="s">
        <v>228</v>
      </c>
      <c r="F16" s="246" t="s">
        <v>223</v>
      </c>
      <c r="G16" s="89" t="s">
        <v>222</v>
      </c>
      <c r="H16" s="166">
        <v>7</v>
      </c>
      <c r="I16" s="384" t="s">
        <v>207</v>
      </c>
      <c r="J16" s="385">
        <v>0.5</v>
      </c>
      <c r="K16" s="189" t="s">
        <v>197</v>
      </c>
      <c r="L16" s="167">
        <f t="shared" si="1"/>
        <v>3.5</v>
      </c>
      <c r="M16" s="1073"/>
      <c r="N16" s="245">
        <v>43924</v>
      </c>
      <c r="O16" s="198" t="s">
        <v>219</v>
      </c>
      <c r="P16" s="264"/>
      <c r="Q16" s="198"/>
      <c r="R16" s="198" t="s">
        <v>4</v>
      </c>
      <c r="S16" s="198"/>
      <c r="T16" s="198" t="s">
        <v>178</v>
      </c>
      <c r="U16" s="1093"/>
      <c r="V16" s="198"/>
      <c r="W16"/>
      <c r="X16" s="239">
        <f t="shared" si="2"/>
        <v>3.5000000000000001E-3</v>
      </c>
      <c r="Y16"/>
      <c r="Z16"/>
      <c r="AA16"/>
      <c r="AB16"/>
      <c r="AC16"/>
      <c r="AD16"/>
      <c r="AE16"/>
      <c r="AF16"/>
    </row>
    <row r="17" spans="1:32" s="9" customFormat="1" ht="15.75">
      <c r="A17" s="251">
        <v>1</v>
      </c>
      <c r="B17" s="17" t="s">
        <v>227</v>
      </c>
      <c r="C17" s="358">
        <v>43924</v>
      </c>
      <c r="D17" s="17" t="s">
        <v>18</v>
      </c>
      <c r="E17" s="187" t="s">
        <v>228</v>
      </c>
      <c r="F17" s="246" t="s">
        <v>223</v>
      </c>
      <c r="G17" s="89" t="s">
        <v>222</v>
      </c>
      <c r="H17" s="166">
        <v>16</v>
      </c>
      <c r="I17" s="384" t="s">
        <v>207</v>
      </c>
      <c r="J17" s="385">
        <v>0.5</v>
      </c>
      <c r="K17" s="189" t="s">
        <v>197</v>
      </c>
      <c r="L17" s="167">
        <f t="shared" si="1"/>
        <v>8</v>
      </c>
      <c r="M17" s="1073"/>
      <c r="N17" s="245">
        <v>43924</v>
      </c>
      <c r="O17" s="198" t="s">
        <v>219</v>
      </c>
      <c r="P17" s="264"/>
      <c r="Q17" s="198"/>
      <c r="R17" s="198" t="s">
        <v>4</v>
      </c>
      <c r="S17" s="198"/>
      <c r="T17" s="198" t="s">
        <v>178</v>
      </c>
      <c r="U17" s="1093"/>
      <c r="V17" s="198"/>
      <c r="W17"/>
      <c r="X17" s="239">
        <f t="shared" si="2"/>
        <v>8.0000000000000002E-3</v>
      </c>
      <c r="Y17"/>
      <c r="Z17"/>
      <c r="AA17"/>
      <c r="AB17"/>
      <c r="AC17"/>
      <c r="AD17"/>
      <c r="AE17"/>
      <c r="AF17"/>
    </row>
    <row r="18" spans="1:32" s="9" customFormat="1" ht="15.75">
      <c r="A18" s="251">
        <v>1</v>
      </c>
      <c r="B18" s="17" t="s">
        <v>227</v>
      </c>
      <c r="C18" s="358">
        <v>43924</v>
      </c>
      <c r="D18" s="17" t="s">
        <v>18</v>
      </c>
      <c r="E18" s="187" t="s">
        <v>228</v>
      </c>
      <c r="F18" s="246" t="s">
        <v>223</v>
      </c>
      <c r="G18" s="89" t="s">
        <v>222</v>
      </c>
      <c r="H18" s="166">
        <v>16</v>
      </c>
      <c r="I18" s="384" t="s">
        <v>207</v>
      </c>
      <c r="J18" s="385">
        <v>0.5</v>
      </c>
      <c r="K18" s="189" t="s">
        <v>197</v>
      </c>
      <c r="L18" s="167">
        <f t="shared" si="1"/>
        <v>8</v>
      </c>
      <c r="M18" s="1073"/>
      <c r="N18" s="245">
        <v>43924</v>
      </c>
      <c r="O18" s="198" t="s">
        <v>219</v>
      </c>
      <c r="P18" s="264"/>
      <c r="Q18" s="198"/>
      <c r="R18" s="198" t="s">
        <v>4</v>
      </c>
      <c r="S18" s="198"/>
      <c r="T18" s="198" t="s">
        <v>178</v>
      </c>
      <c r="U18" s="1093"/>
      <c r="V18" s="198"/>
      <c r="W18"/>
      <c r="X18" s="239">
        <f t="shared" si="2"/>
        <v>8.0000000000000002E-3</v>
      </c>
      <c r="Y18"/>
      <c r="Z18"/>
      <c r="AA18"/>
      <c r="AB18"/>
      <c r="AC18"/>
      <c r="AD18"/>
      <c r="AE18"/>
      <c r="AF18"/>
    </row>
    <row r="19" spans="1:32" s="9" customFormat="1" ht="15.75">
      <c r="A19" s="251">
        <v>1</v>
      </c>
      <c r="B19" s="17" t="s">
        <v>227</v>
      </c>
      <c r="C19" s="358">
        <v>43924</v>
      </c>
      <c r="D19" s="17" t="s">
        <v>18</v>
      </c>
      <c r="E19" s="187" t="s">
        <v>228</v>
      </c>
      <c r="F19" s="246" t="s">
        <v>223</v>
      </c>
      <c r="G19" s="89" t="s">
        <v>222</v>
      </c>
      <c r="H19" s="166">
        <v>16</v>
      </c>
      <c r="I19" s="384" t="s">
        <v>207</v>
      </c>
      <c r="J19" s="385">
        <v>0.5</v>
      </c>
      <c r="K19" s="189" t="s">
        <v>197</v>
      </c>
      <c r="L19" s="167">
        <f t="shared" si="1"/>
        <v>8</v>
      </c>
      <c r="M19" s="1073"/>
      <c r="N19" s="245">
        <v>43924</v>
      </c>
      <c r="O19" s="198" t="s">
        <v>219</v>
      </c>
      <c r="P19" s="264"/>
      <c r="Q19" s="198"/>
      <c r="R19" s="198" t="s">
        <v>4</v>
      </c>
      <c r="S19" s="198"/>
      <c r="T19" s="198" t="s">
        <v>178</v>
      </c>
      <c r="U19" s="1093"/>
      <c r="V19" s="198"/>
      <c r="W19"/>
      <c r="X19" s="239">
        <f t="shared" si="2"/>
        <v>8.0000000000000002E-3</v>
      </c>
      <c r="Y19"/>
      <c r="Z19"/>
      <c r="AA19"/>
      <c r="AB19"/>
      <c r="AC19"/>
      <c r="AD19"/>
      <c r="AE19"/>
      <c r="AF19"/>
    </row>
    <row r="20" spans="1:32" s="9" customFormat="1" ht="15.75">
      <c r="A20" s="251">
        <v>1</v>
      </c>
      <c r="B20" s="17" t="s">
        <v>227</v>
      </c>
      <c r="C20" s="358">
        <v>43924</v>
      </c>
      <c r="D20" s="17" t="s">
        <v>18</v>
      </c>
      <c r="E20" s="187" t="s">
        <v>228</v>
      </c>
      <c r="F20" s="246" t="s">
        <v>224</v>
      </c>
      <c r="G20" s="89" t="s">
        <v>222</v>
      </c>
      <c r="H20" s="166">
        <v>7</v>
      </c>
      <c r="I20" s="384" t="s">
        <v>207</v>
      </c>
      <c r="J20" s="385">
        <v>1</v>
      </c>
      <c r="K20" s="189" t="s">
        <v>197</v>
      </c>
      <c r="L20" s="167">
        <f t="shared" si="1"/>
        <v>7</v>
      </c>
      <c r="M20" s="1073"/>
      <c r="N20" s="245">
        <v>43924</v>
      </c>
      <c r="O20" s="198" t="s">
        <v>219</v>
      </c>
      <c r="P20" s="264"/>
      <c r="Q20" s="198"/>
      <c r="R20" s="198" t="s">
        <v>4</v>
      </c>
      <c r="S20" s="198"/>
      <c r="T20" s="198" t="s">
        <v>178</v>
      </c>
      <c r="U20" s="1093"/>
      <c r="V20" s="198"/>
      <c r="W20"/>
      <c r="X20" s="239">
        <f t="shared" si="2"/>
        <v>7.0000000000000001E-3</v>
      </c>
      <c r="Y20"/>
      <c r="Z20"/>
      <c r="AA20"/>
      <c r="AB20"/>
      <c r="AC20"/>
      <c r="AD20"/>
      <c r="AE20"/>
      <c r="AF20"/>
    </row>
    <row r="21" spans="1:32" s="9" customFormat="1" ht="15.75">
      <c r="A21" s="251">
        <v>1</v>
      </c>
      <c r="B21" s="17" t="s">
        <v>227</v>
      </c>
      <c r="C21" s="358">
        <v>43924</v>
      </c>
      <c r="D21" s="17" t="s">
        <v>18</v>
      </c>
      <c r="E21" s="187" t="s">
        <v>228</v>
      </c>
      <c r="F21" s="246" t="s">
        <v>224</v>
      </c>
      <c r="G21" s="89" t="s">
        <v>222</v>
      </c>
      <c r="H21" s="166">
        <v>7</v>
      </c>
      <c r="I21" s="384" t="s">
        <v>207</v>
      </c>
      <c r="J21" s="385">
        <v>1</v>
      </c>
      <c r="K21" s="189" t="s">
        <v>197</v>
      </c>
      <c r="L21" s="167">
        <f t="shared" si="1"/>
        <v>7</v>
      </c>
      <c r="M21" s="1073"/>
      <c r="N21" s="245">
        <v>43924</v>
      </c>
      <c r="O21" s="198" t="s">
        <v>219</v>
      </c>
      <c r="P21" s="264"/>
      <c r="Q21" s="198"/>
      <c r="R21" s="198" t="s">
        <v>4</v>
      </c>
      <c r="S21" s="198"/>
      <c r="T21" s="198" t="s">
        <v>178</v>
      </c>
      <c r="U21" s="1093"/>
      <c r="V21" s="363"/>
      <c r="W21"/>
      <c r="X21" s="239">
        <f t="shared" si="2"/>
        <v>7.0000000000000001E-3</v>
      </c>
      <c r="Y21"/>
      <c r="Z21"/>
      <c r="AA21"/>
      <c r="AB21"/>
      <c r="AC21"/>
      <c r="AD21"/>
      <c r="AE21"/>
      <c r="AF21"/>
    </row>
    <row r="22" spans="1:32" s="9" customFormat="1" ht="15.75">
      <c r="A22" s="251">
        <v>1</v>
      </c>
      <c r="B22" s="17" t="s">
        <v>227</v>
      </c>
      <c r="C22" s="358">
        <v>43924</v>
      </c>
      <c r="D22" s="17" t="s">
        <v>18</v>
      </c>
      <c r="E22" s="187" t="s">
        <v>228</v>
      </c>
      <c r="F22" s="246" t="s">
        <v>224</v>
      </c>
      <c r="G22" s="89" t="s">
        <v>222</v>
      </c>
      <c r="H22" s="166">
        <v>6</v>
      </c>
      <c r="I22" s="384" t="s">
        <v>207</v>
      </c>
      <c r="J22" s="385">
        <v>1</v>
      </c>
      <c r="K22" s="189" t="s">
        <v>197</v>
      </c>
      <c r="L22" s="167">
        <f t="shared" si="1"/>
        <v>6</v>
      </c>
      <c r="M22" s="1073"/>
      <c r="N22" s="245">
        <v>43924</v>
      </c>
      <c r="O22" s="198" t="s">
        <v>219</v>
      </c>
      <c r="P22" s="264"/>
      <c r="Q22" s="198"/>
      <c r="R22" s="198" t="s">
        <v>4</v>
      </c>
      <c r="S22" s="198"/>
      <c r="T22" s="198" t="s">
        <v>178</v>
      </c>
      <c r="U22" s="1093"/>
      <c r="V22" s="363"/>
      <c r="W22"/>
      <c r="X22" s="239">
        <f t="shared" si="2"/>
        <v>6.0000000000000001E-3</v>
      </c>
      <c r="Y22"/>
      <c r="Z22"/>
      <c r="AA22"/>
      <c r="AB22"/>
      <c r="AC22"/>
      <c r="AD22"/>
      <c r="AE22"/>
      <c r="AF22"/>
    </row>
    <row r="23" spans="1:32" s="9" customFormat="1" ht="15.75">
      <c r="A23" s="251">
        <v>1</v>
      </c>
      <c r="B23" s="17" t="s">
        <v>227</v>
      </c>
      <c r="C23" s="358">
        <v>43924</v>
      </c>
      <c r="D23" s="17" t="s">
        <v>18</v>
      </c>
      <c r="E23" s="187" t="s">
        <v>228</v>
      </c>
      <c r="F23" s="246" t="s">
        <v>224</v>
      </c>
      <c r="G23" s="89" t="s">
        <v>222</v>
      </c>
      <c r="H23" s="166">
        <v>23</v>
      </c>
      <c r="I23" s="384" t="s">
        <v>207</v>
      </c>
      <c r="J23" s="385">
        <v>1</v>
      </c>
      <c r="K23" s="189" t="s">
        <v>197</v>
      </c>
      <c r="L23" s="167">
        <f t="shared" si="1"/>
        <v>23</v>
      </c>
      <c r="M23" s="1073"/>
      <c r="N23" s="245">
        <v>43924</v>
      </c>
      <c r="O23" s="198" t="s">
        <v>219</v>
      </c>
      <c r="P23" s="264"/>
      <c r="Q23" s="198"/>
      <c r="R23" s="198" t="s">
        <v>4</v>
      </c>
      <c r="S23" s="198"/>
      <c r="T23" s="198" t="s">
        <v>178</v>
      </c>
      <c r="U23" s="1093"/>
      <c r="V23" s="363"/>
      <c r="W23"/>
      <c r="X23" s="239">
        <f t="shared" si="2"/>
        <v>2.3E-2</v>
      </c>
      <c r="Y23"/>
      <c r="Z23"/>
      <c r="AA23"/>
      <c r="AB23"/>
      <c r="AC23"/>
      <c r="AD23"/>
      <c r="AE23"/>
      <c r="AF23"/>
    </row>
    <row r="24" spans="1:32" s="9" customFormat="1" ht="15.75">
      <c r="A24" s="251">
        <v>1</v>
      </c>
      <c r="B24" s="17" t="s">
        <v>227</v>
      </c>
      <c r="C24" s="358">
        <v>43924</v>
      </c>
      <c r="D24" s="17" t="s">
        <v>18</v>
      </c>
      <c r="E24" s="187" t="s">
        <v>228</v>
      </c>
      <c r="F24" s="246" t="s">
        <v>224</v>
      </c>
      <c r="G24" s="89" t="s">
        <v>222</v>
      </c>
      <c r="H24" s="166">
        <v>19</v>
      </c>
      <c r="I24" s="384" t="s">
        <v>207</v>
      </c>
      <c r="J24" s="385">
        <v>1</v>
      </c>
      <c r="K24" s="189" t="s">
        <v>197</v>
      </c>
      <c r="L24" s="167">
        <f t="shared" si="1"/>
        <v>19</v>
      </c>
      <c r="M24" s="1073"/>
      <c r="N24" s="245">
        <v>43924</v>
      </c>
      <c r="O24" s="198" t="s">
        <v>219</v>
      </c>
      <c r="P24" s="264"/>
      <c r="Q24" s="198"/>
      <c r="R24" s="198" t="s">
        <v>4</v>
      </c>
      <c r="S24" s="198"/>
      <c r="T24" s="198" t="s">
        <v>178</v>
      </c>
      <c r="U24" s="1093"/>
      <c r="V24" s="363"/>
      <c r="W24"/>
      <c r="X24" s="239">
        <f t="shared" si="2"/>
        <v>1.9E-2</v>
      </c>
      <c r="Y24"/>
      <c r="Z24"/>
      <c r="AA24"/>
      <c r="AB24"/>
      <c r="AC24"/>
      <c r="AD24"/>
      <c r="AE24"/>
      <c r="AF24"/>
    </row>
    <row r="25" spans="1:32" s="9" customFormat="1" ht="15.75">
      <c r="A25" s="251">
        <v>1</v>
      </c>
      <c r="B25" s="17" t="s">
        <v>227</v>
      </c>
      <c r="C25" s="358">
        <v>43924</v>
      </c>
      <c r="D25" s="17" t="s">
        <v>18</v>
      </c>
      <c r="E25" s="187" t="s">
        <v>228</v>
      </c>
      <c r="F25" s="246" t="s">
        <v>225</v>
      </c>
      <c r="G25" s="89" t="s">
        <v>222</v>
      </c>
      <c r="H25" s="166">
        <v>4</v>
      </c>
      <c r="I25" s="384" t="s">
        <v>207</v>
      </c>
      <c r="J25" s="385">
        <v>2</v>
      </c>
      <c r="K25" s="189" t="s">
        <v>197</v>
      </c>
      <c r="L25" s="167">
        <f t="shared" si="1"/>
        <v>8</v>
      </c>
      <c r="M25" s="1073"/>
      <c r="N25" s="245">
        <v>43924</v>
      </c>
      <c r="O25" s="198" t="s">
        <v>219</v>
      </c>
      <c r="P25" s="264"/>
      <c r="Q25" s="198"/>
      <c r="R25" s="198" t="s">
        <v>4</v>
      </c>
      <c r="S25" s="198"/>
      <c r="T25" s="198" t="s">
        <v>178</v>
      </c>
      <c r="U25" s="1093"/>
      <c r="V25" s="363"/>
      <c r="W25"/>
      <c r="X25" s="239">
        <f t="shared" si="2"/>
        <v>8.0000000000000002E-3</v>
      </c>
      <c r="Y25"/>
      <c r="Z25"/>
      <c r="AA25"/>
      <c r="AB25"/>
      <c r="AC25"/>
      <c r="AD25"/>
      <c r="AE25"/>
      <c r="AF25"/>
    </row>
    <row r="26" spans="1:32" s="9" customFormat="1" ht="15.75">
      <c r="A26" s="251">
        <v>1</v>
      </c>
      <c r="B26" s="17" t="s">
        <v>227</v>
      </c>
      <c r="C26" s="358">
        <v>43924</v>
      </c>
      <c r="D26" s="17" t="s">
        <v>18</v>
      </c>
      <c r="E26" s="187" t="s">
        <v>228</v>
      </c>
      <c r="F26" s="246" t="s">
        <v>225</v>
      </c>
      <c r="G26" s="89" t="s">
        <v>222</v>
      </c>
      <c r="H26" s="166">
        <v>4</v>
      </c>
      <c r="I26" s="384" t="s">
        <v>207</v>
      </c>
      <c r="J26" s="385">
        <v>2</v>
      </c>
      <c r="K26" s="189" t="s">
        <v>197</v>
      </c>
      <c r="L26" s="167">
        <f t="shared" si="1"/>
        <v>8</v>
      </c>
      <c r="M26" s="1073"/>
      <c r="N26" s="245">
        <v>43924</v>
      </c>
      <c r="O26" s="198" t="s">
        <v>219</v>
      </c>
      <c r="P26" s="264"/>
      <c r="Q26" s="198"/>
      <c r="R26" s="198" t="s">
        <v>4</v>
      </c>
      <c r="S26" s="198"/>
      <c r="T26" s="198" t="s">
        <v>178</v>
      </c>
      <c r="U26" s="1093"/>
      <c r="V26" s="363"/>
      <c r="W26"/>
      <c r="X26" s="239">
        <f t="shared" si="2"/>
        <v>8.0000000000000002E-3</v>
      </c>
      <c r="Y26"/>
      <c r="Z26"/>
      <c r="AA26"/>
      <c r="AB26"/>
      <c r="AC26"/>
      <c r="AD26"/>
      <c r="AE26"/>
      <c r="AF26"/>
    </row>
    <row r="27" spans="1:32" s="9" customFormat="1" ht="15.75">
      <c r="A27" s="251">
        <v>1</v>
      </c>
      <c r="B27" s="17" t="s">
        <v>227</v>
      </c>
      <c r="C27" s="358">
        <v>43924</v>
      </c>
      <c r="D27" s="17" t="s">
        <v>18</v>
      </c>
      <c r="E27" s="187" t="s">
        <v>228</v>
      </c>
      <c r="F27" s="246" t="s">
        <v>225</v>
      </c>
      <c r="G27" s="89" t="s">
        <v>222</v>
      </c>
      <c r="H27" s="166">
        <v>4</v>
      </c>
      <c r="I27" s="384" t="s">
        <v>207</v>
      </c>
      <c r="J27" s="385">
        <v>2</v>
      </c>
      <c r="K27" s="189" t="s">
        <v>197</v>
      </c>
      <c r="L27" s="167">
        <f t="shared" si="1"/>
        <v>8</v>
      </c>
      <c r="M27" s="1073"/>
      <c r="N27" s="245">
        <v>43924</v>
      </c>
      <c r="O27" s="198" t="s">
        <v>219</v>
      </c>
      <c r="P27" s="264"/>
      <c r="Q27" s="198"/>
      <c r="R27" s="198" t="s">
        <v>4</v>
      </c>
      <c r="S27" s="198"/>
      <c r="T27" s="198" t="s">
        <v>178</v>
      </c>
      <c r="U27" s="1093"/>
      <c r="V27" s="363"/>
      <c r="W27"/>
      <c r="X27" s="239">
        <f t="shared" si="2"/>
        <v>8.0000000000000002E-3</v>
      </c>
      <c r="Y27"/>
      <c r="Z27"/>
      <c r="AA27"/>
      <c r="AB27"/>
      <c r="AC27"/>
      <c r="AD27"/>
      <c r="AE27"/>
      <c r="AF27"/>
    </row>
    <row r="28" spans="1:32" s="9" customFormat="1" ht="15.75">
      <c r="A28" s="251">
        <v>1</v>
      </c>
      <c r="B28" s="17" t="s">
        <v>227</v>
      </c>
      <c r="C28" s="358">
        <v>43924</v>
      </c>
      <c r="D28" s="17" t="s">
        <v>18</v>
      </c>
      <c r="E28" s="187" t="s">
        <v>228</v>
      </c>
      <c r="F28" s="246" t="s">
        <v>225</v>
      </c>
      <c r="G28" s="89" t="s">
        <v>222</v>
      </c>
      <c r="H28" s="166">
        <v>3</v>
      </c>
      <c r="I28" s="384" t="s">
        <v>207</v>
      </c>
      <c r="J28" s="385">
        <v>2</v>
      </c>
      <c r="K28" s="189" t="s">
        <v>197</v>
      </c>
      <c r="L28" s="167">
        <f t="shared" si="1"/>
        <v>6</v>
      </c>
      <c r="M28" s="1073"/>
      <c r="N28" s="245">
        <v>43924</v>
      </c>
      <c r="O28" s="198" t="s">
        <v>219</v>
      </c>
      <c r="P28" s="264"/>
      <c r="Q28" s="198"/>
      <c r="R28" s="198" t="s">
        <v>4</v>
      </c>
      <c r="S28" s="198"/>
      <c r="T28" s="198" t="s">
        <v>178</v>
      </c>
      <c r="U28" s="1093"/>
      <c r="V28" s="363"/>
      <c r="W28"/>
      <c r="X28" s="239">
        <f t="shared" si="2"/>
        <v>6.0000000000000001E-3</v>
      </c>
      <c r="Y28"/>
      <c r="Z28"/>
      <c r="AA28"/>
      <c r="AB28"/>
      <c r="AC28"/>
      <c r="AD28"/>
      <c r="AE28"/>
      <c r="AF28"/>
    </row>
    <row r="29" spans="1:32" s="9" customFormat="1" ht="15.75">
      <c r="A29" s="251">
        <v>1</v>
      </c>
      <c r="B29" s="17" t="s">
        <v>227</v>
      </c>
      <c r="C29" s="358">
        <v>43924</v>
      </c>
      <c r="D29" s="17" t="s">
        <v>18</v>
      </c>
      <c r="E29" s="187" t="s">
        <v>228</v>
      </c>
      <c r="F29" s="246" t="s">
        <v>229</v>
      </c>
      <c r="G29" s="89" t="s">
        <v>204</v>
      </c>
      <c r="H29" s="166">
        <v>2</v>
      </c>
      <c r="I29" s="384" t="s">
        <v>207</v>
      </c>
      <c r="J29" s="385">
        <v>5</v>
      </c>
      <c r="K29" s="189" t="s">
        <v>197</v>
      </c>
      <c r="L29" s="167">
        <f t="shared" si="1"/>
        <v>10</v>
      </c>
      <c r="M29" s="1073"/>
      <c r="N29" s="245">
        <v>43924</v>
      </c>
      <c r="O29" s="198" t="s">
        <v>219</v>
      </c>
      <c r="P29" s="264"/>
      <c r="Q29" s="198"/>
      <c r="R29" s="198" t="s">
        <v>4</v>
      </c>
      <c r="S29" s="198"/>
      <c r="T29" s="198" t="s">
        <v>178</v>
      </c>
      <c r="U29" s="1093"/>
      <c r="V29" s="363"/>
      <c r="W29"/>
      <c r="X29" s="239">
        <f t="shared" si="2"/>
        <v>0.01</v>
      </c>
      <c r="Y29"/>
      <c r="Z29"/>
      <c r="AA29"/>
      <c r="AB29"/>
      <c r="AC29"/>
      <c r="AD29"/>
      <c r="AE29"/>
      <c r="AF29"/>
    </row>
    <row r="30" spans="1:32" s="9" customFormat="1" ht="15.75">
      <c r="A30" s="252">
        <v>1</v>
      </c>
      <c r="B30" s="3" t="s">
        <v>227</v>
      </c>
      <c r="C30" s="359">
        <v>43924</v>
      </c>
      <c r="D30" s="3" t="s">
        <v>18</v>
      </c>
      <c r="E30" s="192" t="s">
        <v>228</v>
      </c>
      <c r="F30" s="249" t="s">
        <v>230</v>
      </c>
      <c r="G30" s="168" t="s">
        <v>213</v>
      </c>
      <c r="H30" s="169">
        <v>1</v>
      </c>
      <c r="I30" s="386" t="s">
        <v>207</v>
      </c>
      <c r="J30" s="387">
        <v>5</v>
      </c>
      <c r="K30" s="195" t="s">
        <v>197</v>
      </c>
      <c r="L30" s="170">
        <f t="shared" si="1"/>
        <v>5</v>
      </c>
      <c r="M30" s="1074"/>
      <c r="N30" s="247">
        <v>43924</v>
      </c>
      <c r="O30" s="201" t="s">
        <v>219</v>
      </c>
      <c r="P30" s="343"/>
      <c r="Q30" s="201"/>
      <c r="R30" s="201" t="s">
        <v>4</v>
      </c>
      <c r="S30" s="201"/>
      <c r="T30" s="201" t="s">
        <v>178</v>
      </c>
      <c r="U30" s="1094"/>
      <c r="V30" s="364"/>
      <c r="W30"/>
      <c r="X30" s="239">
        <f t="shared" si="2"/>
        <v>5.0000000000000001E-3</v>
      </c>
      <c r="Y30"/>
      <c r="Z30"/>
      <c r="AA30"/>
      <c r="AB30"/>
      <c r="AC30"/>
      <c r="AD30"/>
      <c r="AE30"/>
      <c r="AF30"/>
    </row>
    <row r="31" spans="1:32" s="9" customFormat="1" ht="15.75">
      <c r="A31" s="250">
        <v>2</v>
      </c>
      <c r="B31" s="20" t="s">
        <v>231</v>
      </c>
      <c r="C31" s="357">
        <v>43924</v>
      </c>
      <c r="D31" s="20" t="s">
        <v>18</v>
      </c>
      <c r="E31" s="244" t="s">
        <v>232</v>
      </c>
      <c r="F31" s="196" t="s">
        <v>233</v>
      </c>
      <c r="G31" s="205" t="s">
        <v>179</v>
      </c>
      <c r="H31" s="164">
        <v>1</v>
      </c>
      <c r="I31" s="369" t="s">
        <v>207</v>
      </c>
      <c r="J31" s="269">
        <v>6</v>
      </c>
      <c r="K31" s="185" t="s">
        <v>197</v>
      </c>
      <c r="L31" s="165">
        <f t="shared" si="1"/>
        <v>6</v>
      </c>
      <c r="M31" s="1098">
        <v>2.02</v>
      </c>
      <c r="N31" s="244">
        <v>43924</v>
      </c>
      <c r="O31" s="197" t="s">
        <v>219</v>
      </c>
      <c r="P31" s="263"/>
      <c r="Q31" s="197"/>
      <c r="R31" s="197" t="s">
        <v>4</v>
      </c>
      <c r="S31" s="197"/>
      <c r="T31" s="197" t="s">
        <v>178</v>
      </c>
      <c r="U31" s="1095">
        <f>44.73*23580</f>
        <v>1054733.3999999999</v>
      </c>
      <c r="V31" s="243"/>
      <c r="W31"/>
      <c r="X31" s="239">
        <f t="shared" si="2"/>
        <v>6.0000000000000001E-3</v>
      </c>
      <c r="Y31"/>
      <c r="Z31"/>
      <c r="AA31"/>
      <c r="AB31"/>
      <c r="AC31"/>
      <c r="AD31"/>
      <c r="AE31"/>
      <c r="AF31"/>
    </row>
    <row r="32" spans="1:32" s="9" customFormat="1" ht="15.75">
      <c r="A32" s="251">
        <v>2</v>
      </c>
      <c r="B32" s="17" t="s">
        <v>231</v>
      </c>
      <c r="C32" s="358">
        <v>43924</v>
      </c>
      <c r="D32" s="17" t="s">
        <v>18</v>
      </c>
      <c r="E32" s="245" t="s">
        <v>232</v>
      </c>
      <c r="F32" s="190" t="s">
        <v>234</v>
      </c>
      <c r="G32" s="199" t="s">
        <v>214</v>
      </c>
      <c r="H32" s="166">
        <v>1</v>
      </c>
      <c r="I32" s="370" t="s">
        <v>207</v>
      </c>
      <c r="J32" s="270">
        <v>2.5</v>
      </c>
      <c r="K32" s="189" t="s">
        <v>197</v>
      </c>
      <c r="L32" s="167">
        <f t="shared" si="1"/>
        <v>2.5</v>
      </c>
      <c r="M32" s="1098"/>
      <c r="N32" s="245">
        <v>43924</v>
      </c>
      <c r="O32" s="198" t="s">
        <v>219</v>
      </c>
      <c r="P32" s="264"/>
      <c r="Q32" s="198"/>
      <c r="R32" s="198" t="s">
        <v>4</v>
      </c>
      <c r="S32" s="198"/>
      <c r="T32" s="198" t="s">
        <v>178</v>
      </c>
      <c r="U32" s="1096"/>
      <c r="V32" s="224"/>
      <c r="W32"/>
      <c r="X32" s="239">
        <f t="shared" si="2"/>
        <v>2.5000000000000001E-3</v>
      </c>
      <c r="Y32"/>
      <c r="Z32"/>
      <c r="AA32"/>
      <c r="AB32"/>
      <c r="AC32"/>
      <c r="AD32"/>
      <c r="AE32"/>
      <c r="AF32"/>
    </row>
    <row r="33" spans="1:32" s="9" customFormat="1" ht="15.75">
      <c r="A33" s="252">
        <v>2</v>
      </c>
      <c r="B33" s="3" t="s">
        <v>231</v>
      </c>
      <c r="C33" s="359">
        <v>43924</v>
      </c>
      <c r="D33" s="3" t="s">
        <v>18</v>
      </c>
      <c r="E33" s="247" t="s">
        <v>232</v>
      </c>
      <c r="F33" s="193" t="s">
        <v>235</v>
      </c>
      <c r="G33" s="200" t="s">
        <v>236</v>
      </c>
      <c r="H33" s="169">
        <v>3</v>
      </c>
      <c r="I33" s="371" t="s">
        <v>207</v>
      </c>
      <c r="J33" s="388">
        <v>6</v>
      </c>
      <c r="K33" s="195" t="s">
        <v>197</v>
      </c>
      <c r="L33" s="170">
        <f t="shared" si="1"/>
        <v>18</v>
      </c>
      <c r="M33" s="1098"/>
      <c r="N33" s="247">
        <v>43924</v>
      </c>
      <c r="O33" s="201" t="s">
        <v>219</v>
      </c>
      <c r="P33" s="343"/>
      <c r="Q33" s="201"/>
      <c r="R33" s="201" t="s">
        <v>4</v>
      </c>
      <c r="S33" s="201"/>
      <c r="T33" s="201" t="s">
        <v>178</v>
      </c>
      <c r="U33" s="1097"/>
      <c r="V33" s="225"/>
      <c r="W33"/>
      <c r="X33" s="239">
        <f t="shared" si="2"/>
        <v>1.7999999999999999E-2</v>
      </c>
      <c r="Y33"/>
      <c r="Z33"/>
      <c r="AA33"/>
      <c r="AB33"/>
      <c r="AC33"/>
      <c r="AD33"/>
      <c r="AE33"/>
      <c r="AF33"/>
    </row>
    <row r="34" spans="1:32" ht="15.75" hidden="1">
      <c r="A34" s="250">
        <v>3</v>
      </c>
      <c r="B34" s="20" t="s">
        <v>237</v>
      </c>
      <c r="C34" s="357">
        <v>43924</v>
      </c>
      <c r="D34" s="20" t="s">
        <v>18</v>
      </c>
      <c r="E34" s="244" t="s">
        <v>238</v>
      </c>
      <c r="F34" s="196" t="s">
        <v>239</v>
      </c>
      <c r="G34" s="205" t="s">
        <v>180</v>
      </c>
      <c r="H34" s="164">
        <v>20</v>
      </c>
      <c r="I34" s="369" t="s">
        <v>209</v>
      </c>
      <c r="J34" s="269">
        <v>1</v>
      </c>
      <c r="K34" s="185" t="s">
        <v>197</v>
      </c>
      <c r="L34" s="165">
        <f t="shared" si="1"/>
        <v>20</v>
      </c>
      <c r="M34" s="1083">
        <v>44</v>
      </c>
      <c r="N34" s="244">
        <v>43924</v>
      </c>
      <c r="O34" s="197" t="s">
        <v>219</v>
      </c>
      <c r="P34" s="197"/>
      <c r="Q34" s="197"/>
      <c r="R34" s="197" t="s">
        <v>7</v>
      </c>
      <c r="S34" s="197"/>
      <c r="T34" s="197" t="s">
        <v>178</v>
      </c>
      <c r="U34" s="1095">
        <f>407.82*23580</f>
        <v>9616395.5999999996</v>
      </c>
      <c r="V34" s="243"/>
      <c r="X34" s="239">
        <f t="shared" ref="X34:X77" si="3">L34/1000</f>
        <v>0.02</v>
      </c>
    </row>
    <row r="35" spans="1:32" ht="15.75" hidden="1">
      <c r="A35" s="252">
        <v>3</v>
      </c>
      <c r="B35" s="3" t="s">
        <v>237</v>
      </c>
      <c r="C35" s="359">
        <v>43924</v>
      </c>
      <c r="D35" s="3" t="s">
        <v>18</v>
      </c>
      <c r="E35" s="247" t="s">
        <v>238</v>
      </c>
      <c r="F35" s="193" t="s">
        <v>240</v>
      </c>
      <c r="G35" s="200" t="s">
        <v>180</v>
      </c>
      <c r="H35" s="169">
        <v>20</v>
      </c>
      <c r="I35" s="371" t="s">
        <v>209</v>
      </c>
      <c r="J35" s="388">
        <v>1</v>
      </c>
      <c r="K35" s="195" t="s">
        <v>197</v>
      </c>
      <c r="L35" s="170">
        <f t="shared" si="1"/>
        <v>20</v>
      </c>
      <c r="M35" s="1085"/>
      <c r="N35" s="247">
        <v>43924</v>
      </c>
      <c r="O35" s="201" t="s">
        <v>219</v>
      </c>
      <c r="P35" s="201"/>
      <c r="Q35" s="201"/>
      <c r="R35" s="201" t="s">
        <v>7</v>
      </c>
      <c r="S35" s="201"/>
      <c r="T35" s="201" t="s">
        <v>178</v>
      </c>
      <c r="U35" s="1097"/>
      <c r="V35" s="225"/>
      <c r="X35" s="239">
        <f t="shared" si="3"/>
        <v>0.02</v>
      </c>
    </row>
    <row r="36" spans="1:32" ht="15.75" hidden="1">
      <c r="A36" s="250">
        <v>4</v>
      </c>
      <c r="B36" s="20" t="s">
        <v>241</v>
      </c>
      <c r="C36" s="357">
        <v>43924</v>
      </c>
      <c r="D36" s="20" t="s">
        <v>18</v>
      </c>
      <c r="E36" s="244" t="s">
        <v>242</v>
      </c>
      <c r="F36" s="171" t="s">
        <v>212</v>
      </c>
      <c r="G36" s="205" t="s">
        <v>180</v>
      </c>
      <c r="H36" s="164">
        <v>48</v>
      </c>
      <c r="I36" s="369" t="s">
        <v>207</v>
      </c>
      <c r="J36" s="269">
        <v>0.5</v>
      </c>
      <c r="K36" s="185" t="s">
        <v>197</v>
      </c>
      <c r="L36" s="165">
        <f t="shared" si="1"/>
        <v>24</v>
      </c>
      <c r="M36" s="1083">
        <v>4.68</v>
      </c>
      <c r="N36" s="244">
        <v>43924</v>
      </c>
      <c r="O36" s="197" t="s">
        <v>219</v>
      </c>
      <c r="P36" s="197"/>
      <c r="Q36" s="197"/>
      <c r="R36" s="197" t="s">
        <v>7</v>
      </c>
      <c r="S36" s="197"/>
      <c r="T36" s="197" t="s">
        <v>178</v>
      </c>
      <c r="U36" s="1095">
        <f>66.28*23580</f>
        <v>1562882.4000000001</v>
      </c>
      <c r="V36" s="243"/>
      <c r="X36" s="239">
        <f t="shared" si="3"/>
        <v>2.4E-2</v>
      </c>
    </row>
    <row r="37" spans="1:32" ht="15.75" hidden="1">
      <c r="A37" s="252">
        <v>4</v>
      </c>
      <c r="B37" s="3" t="s">
        <v>241</v>
      </c>
      <c r="C37" s="359">
        <v>43924</v>
      </c>
      <c r="D37" s="3" t="s">
        <v>18</v>
      </c>
      <c r="E37" s="247" t="s">
        <v>242</v>
      </c>
      <c r="F37" s="193" t="s">
        <v>243</v>
      </c>
      <c r="G37" s="200" t="s">
        <v>180</v>
      </c>
      <c r="H37" s="169">
        <v>1</v>
      </c>
      <c r="I37" s="371" t="s">
        <v>207</v>
      </c>
      <c r="J37" s="388">
        <v>1</v>
      </c>
      <c r="K37" s="195" t="s">
        <v>197</v>
      </c>
      <c r="L37" s="170">
        <f t="shared" si="1"/>
        <v>1</v>
      </c>
      <c r="M37" s="1085"/>
      <c r="N37" s="247">
        <v>43924</v>
      </c>
      <c r="O37" s="201" t="s">
        <v>219</v>
      </c>
      <c r="P37" s="201"/>
      <c r="Q37" s="201"/>
      <c r="R37" s="201" t="s">
        <v>7</v>
      </c>
      <c r="S37" s="201"/>
      <c r="T37" s="201" t="s">
        <v>178</v>
      </c>
      <c r="U37" s="1097"/>
      <c r="V37" s="225"/>
      <c r="X37" s="239">
        <f t="shared" si="3"/>
        <v>1E-3</v>
      </c>
    </row>
    <row r="38" spans="1:32" ht="15.75">
      <c r="A38" s="250">
        <v>5</v>
      </c>
      <c r="B38" s="20" t="s">
        <v>244</v>
      </c>
      <c r="C38" s="357">
        <v>43931</v>
      </c>
      <c r="D38" s="20" t="s">
        <v>18</v>
      </c>
      <c r="E38" s="244" t="s">
        <v>262</v>
      </c>
      <c r="F38" s="196" t="s">
        <v>245</v>
      </c>
      <c r="G38" s="205" t="s">
        <v>246</v>
      </c>
      <c r="H38" s="164">
        <v>4</v>
      </c>
      <c r="I38" s="369" t="s">
        <v>207</v>
      </c>
      <c r="J38" s="269">
        <v>3</v>
      </c>
      <c r="K38" s="185" t="s">
        <v>197</v>
      </c>
      <c r="L38" s="165">
        <f>J38*H38</f>
        <v>12</v>
      </c>
      <c r="M38" s="1083">
        <v>28</v>
      </c>
      <c r="N38" s="244">
        <v>43931</v>
      </c>
      <c r="O38" s="197" t="s">
        <v>219</v>
      </c>
      <c r="P38" s="197"/>
      <c r="Q38" s="197"/>
      <c r="R38" s="197" t="s">
        <v>4</v>
      </c>
      <c r="S38" s="197"/>
      <c r="T38" s="197" t="s">
        <v>178</v>
      </c>
      <c r="U38" s="1095">
        <f>278.01*U10</f>
        <v>6555475.7999999998</v>
      </c>
      <c r="V38" s="243"/>
      <c r="X38" s="239">
        <f t="shared" si="3"/>
        <v>1.2E-2</v>
      </c>
    </row>
    <row r="39" spans="1:32" ht="15.75">
      <c r="A39" s="251">
        <v>5</v>
      </c>
      <c r="B39" s="17" t="s">
        <v>244</v>
      </c>
      <c r="C39" s="358">
        <v>43931</v>
      </c>
      <c r="D39" s="17" t="s">
        <v>18</v>
      </c>
      <c r="E39" s="245" t="s">
        <v>262</v>
      </c>
      <c r="F39" s="246" t="s">
        <v>247</v>
      </c>
      <c r="G39" s="89" t="s">
        <v>246</v>
      </c>
      <c r="H39" s="166">
        <v>3</v>
      </c>
      <c r="I39" s="370" t="s">
        <v>207</v>
      </c>
      <c r="J39" s="270">
        <v>2.5</v>
      </c>
      <c r="K39" s="189" t="s">
        <v>197</v>
      </c>
      <c r="L39" s="167">
        <f t="shared" ref="L39:L87" si="4">J39*H39</f>
        <v>7.5</v>
      </c>
      <c r="M39" s="1084"/>
      <c r="N39" s="245">
        <v>43931</v>
      </c>
      <c r="O39" s="198" t="s">
        <v>219</v>
      </c>
      <c r="P39" s="198"/>
      <c r="Q39" s="198"/>
      <c r="R39" s="198" t="s">
        <v>4</v>
      </c>
      <c r="S39" s="198"/>
      <c r="T39" s="198" t="s">
        <v>178</v>
      </c>
      <c r="U39" s="1096"/>
      <c r="V39" s="224"/>
      <c r="X39" s="239">
        <f t="shared" si="3"/>
        <v>7.4999999999999997E-3</v>
      </c>
    </row>
    <row r="40" spans="1:32" ht="15.75">
      <c r="A40" s="251">
        <v>5</v>
      </c>
      <c r="B40" s="17" t="s">
        <v>244</v>
      </c>
      <c r="C40" s="358">
        <v>43931</v>
      </c>
      <c r="D40" s="17" t="s">
        <v>18</v>
      </c>
      <c r="E40" s="245" t="s">
        <v>262</v>
      </c>
      <c r="F40" s="246" t="s">
        <v>248</v>
      </c>
      <c r="G40" s="89" t="s">
        <v>249</v>
      </c>
      <c r="H40" s="166">
        <v>1</v>
      </c>
      <c r="I40" s="370" t="s">
        <v>207</v>
      </c>
      <c r="J40" s="270">
        <v>5</v>
      </c>
      <c r="K40" s="189" t="s">
        <v>197</v>
      </c>
      <c r="L40" s="167">
        <f t="shared" si="4"/>
        <v>5</v>
      </c>
      <c r="M40" s="1084"/>
      <c r="N40" s="245">
        <v>43931</v>
      </c>
      <c r="O40" s="198" t="s">
        <v>219</v>
      </c>
      <c r="P40" s="198"/>
      <c r="Q40" s="198"/>
      <c r="R40" s="198" t="s">
        <v>4</v>
      </c>
      <c r="S40" s="198"/>
      <c r="T40" s="198" t="s">
        <v>178</v>
      </c>
      <c r="U40" s="1096"/>
      <c r="V40" s="224"/>
      <c r="X40" s="239">
        <f t="shared" si="3"/>
        <v>5.0000000000000001E-3</v>
      </c>
    </row>
    <row r="41" spans="1:32" ht="15.75">
      <c r="A41" s="251">
        <v>5</v>
      </c>
      <c r="B41" s="17" t="s">
        <v>244</v>
      </c>
      <c r="C41" s="358">
        <v>43931</v>
      </c>
      <c r="D41" s="17" t="s">
        <v>18</v>
      </c>
      <c r="E41" s="245" t="s">
        <v>262</v>
      </c>
      <c r="F41" s="246" t="s">
        <v>220</v>
      </c>
      <c r="G41" s="89" t="s">
        <v>249</v>
      </c>
      <c r="H41" s="166">
        <v>2</v>
      </c>
      <c r="I41" s="370" t="s">
        <v>207</v>
      </c>
      <c r="J41" s="270">
        <v>5</v>
      </c>
      <c r="K41" s="189" t="s">
        <v>197</v>
      </c>
      <c r="L41" s="167">
        <f t="shared" si="4"/>
        <v>10</v>
      </c>
      <c r="M41" s="1084"/>
      <c r="N41" s="245">
        <v>43931</v>
      </c>
      <c r="O41" s="198" t="s">
        <v>219</v>
      </c>
      <c r="P41" s="198"/>
      <c r="Q41" s="198"/>
      <c r="R41" s="198" t="s">
        <v>4</v>
      </c>
      <c r="S41" s="198"/>
      <c r="T41" s="198" t="s">
        <v>178</v>
      </c>
      <c r="U41" s="1096"/>
      <c r="V41" s="224"/>
      <c r="X41" s="239">
        <f t="shared" si="3"/>
        <v>0.01</v>
      </c>
    </row>
    <row r="42" spans="1:32" ht="15.75">
      <c r="A42" s="251">
        <v>5</v>
      </c>
      <c r="B42" s="17" t="s">
        <v>244</v>
      </c>
      <c r="C42" s="358">
        <v>43931</v>
      </c>
      <c r="D42" s="17" t="s">
        <v>18</v>
      </c>
      <c r="E42" s="245" t="s">
        <v>262</v>
      </c>
      <c r="F42" s="246" t="s">
        <v>250</v>
      </c>
      <c r="G42" s="89" t="s">
        <v>210</v>
      </c>
      <c r="H42" s="166">
        <v>1</v>
      </c>
      <c r="I42" s="370" t="s">
        <v>207</v>
      </c>
      <c r="J42" s="270">
        <v>15</v>
      </c>
      <c r="K42" s="189" t="s">
        <v>197</v>
      </c>
      <c r="L42" s="167">
        <f t="shared" si="4"/>
        <v>15</v>
      </c>
      <c r="M42" s="1084"/>
      <c r="N42" s="245">
        <v>43931</v>
      </c>
      <c r="O42" s="198" t="s">
        <v>219</v>
      </c>
      <c r="P42" s="198"/>
      <c r="Q42" s="198"/>
      <c r="R42" s="198" t="s">
        <v>4</v>
      </c>
      <c r="S42" s="198"/>
      <c r="T42" s="198" t="s">
        <v>178</v>
      </c>
      <c r="U42" s="1096"/>
      <c r="V42" s="224"/>
      <c r="X42" s="239">
        <f t="shared" si="3"/>
        <v>1.4999999999999999E-2</v>
      </c>
    </row>
    <row r="43" spans="1:32" ht="15.75" customHeight="1">
      <c r="A43" s="251">
        <v>5</v>
      </c>
      <c r="B43" s="17" t="s">
        <v>244</v>
      </c>
      <c r="C43" s="358">
        <v>43931</v>
      </c>
      <c r="D43" s="17" t="s">
        <v>18</v>
      </c>
      <c r="E43" s="245" t="s">
        <v>262</v>
      </c>
      <c r="F43" s="246" t="s">
        <v>250</v>
      </c>
      <c r="G43" s="89" t="s">
        <v>210</v>
      </c>
      <c r="H43" s="166">
        <v>1</v>
      </c>
      <c r="I43" s="370" t="s">
        <v>207</v>
      </c>
      <c r="J43" s="270">
        <v>15</v>
      </c>
      <c r="K43" s="189" t="s">
        <v>197</v>
      </c>
      <c r="L43" s="167">
        <f t="shared" si="4"/>
        <v>15</v>
      </c>
      <c r="M43" s="1084"/>
      <c r="N43" s="245">
        <v>43931</v>
      </c>
      <c r="O43" s="198" t="s">
        <v>219</v>
      </c>
      <c r="P43" s="198"/>
      <c r="Q43" s="198"/>
      <c r="R43" s="198" t="s">
        <v>4</v>
      </c>
      <c r="S43" s="198"/>
      <c r="T43" s="198" t="s">
        <v>178</v>
      </c>
      <c r="U43" s="1096"/>
      <c r="V43" s="224"/>
      <c r="X43" s="239">
        <f t="shared" si="3"/>
        <v>1.4999999999999999E-2</v>
      </c>
    </row>
    <row r="44" spans="1:32" ht="15.75" customHeight="1">
      <c r="A44" s="251">
        <v>5</v>
      </c>
      <c r="B44" s="17" t="s">
        <v>244</v>
      </c>
      <c r="C44" s="358">
        <v>43931</v>
      </c>
      <c r="D44" s="17" t="s">
        <v>18</v>
      </c>
      <c r="E44" s="245" t="s">
        <v>262</v>
      </c>
      <c r="F44" s="246" t="s">
        <v>251</v>
      </c>
      <c r="G44" s="89" t="s">
        <v>249</v>
      </c>
      <c r="H44" s="166">
        <v>2</v>
      </c>
      <c r="I44" s="370" t="s">
        <v>207</v>
      </c>
      <c r="J44" s="270">
        <v>5</v>
      </c>
      <c r="K44" s="189" t="s">
        <v>197</v>
      </c>
      <c r="L44" s="167">
        <f t="shared" si="4"/>
        <v>10</v>
      </c>
      <c r="M44" s="1084"/>
      <c r="N44" s="245">
        <v>43931</v>
      </c>
      <c r="O44" s="198" t="s">
        <v>219</v>
      </c>
      <c r="P44" s="198"/>
      <c r="Q44" s="198"/>
      <c r="R44" s="198" t="s">
        <v>4</v>
      </c>
      <c r="S44" s="198"/>
      <c r="T44" s="198" t="s">
        <v>178</v>
      </c>
      <c r="U44" s="1096"/>
      <c r="V44" s="224"/>
      <c r="X44" s="239">
        <f t="shared" si="3"/>
        <v>0.01</v>
      </c>
    </row>
    <row r="45" spans="1:32" ht="15.75" customHeight="1">
      <c r="A45" s="251">
        <v>5</v>
      </c>
      <c r="B45" s="17" t="s">
        <v>244</v>
      </c>
      <c r="C45" s="358">
        <v>43931</v>
      </c>
      <c r="D45" s="17" t="s">
        <v>18</v>
      </c>
      <c r="E45" s="245" t="s">
        <v>262</v>
      </c>
      <c r="F45" s="246" t="s">
        <v>252</v>
      </c>
      <c r="G45" s="89" t="s">
        <v>204</v>
      </c>
      <c r="H45" s="166">
        <v>1</v>
      </c>
      <c r="I45" s="370" t="s">
        <v>207</v>
      </c>
      <c r="J45" s="270">
        <v>5</v>
      </c>
      <c r="K45" s="189" t="s">
        <v>197</v>
      </c>
      <c r="L45" s="167">
        <f t="shared" si="4"/>
        <v>5</v>
      </c>
      <c r="M45" s="1084"/>
      <c r="N45" s="245">
        <v>43931</v>
      </c>
      <c r="O45" s="198" t="s">
        <v>219</v>
      </c>
      <c r="P45" s="198"/>
      <c r="Q45" s="198"/>
      <c r="R45" s="198" t="s">
        <v>4</v>
      </c>
      <c r="S45" s="198"/>
      <c r="T45" s="198" t="s">
        <v>178</v>
      </c>
      <c r="U45" s="1096"/>
      <c r="V45" s="224"/>
      <c r="X45" s="239">
        <f t="shared" si="3"/>
        <v>5.0000000000000001E-3</v>
      </c>
    </row>
    <row r="46" spans="1:32" ht="15.75" customHeight="1">
      <c r="A46" s="251">
        <v>5</v>
      </c>
      <c r="B46" s="17" t="s">
        <v>244</v>
      </c>
      <c r="C46" s="358">
        <v>43931</v>
      </c>
      <c r="D46" s="17" t="s">
        <v>18</v>
      </c>
      <c r="E46" s="245" t="s">
        <v>262</v>
      </c>
      <c r="F46" s="246" t="s">
        <v>216</v>
      </c>
      <c r="G46" s="89" t="s">
        <v>204</v>
      </c>
      <c r="H46" s="166">
        <v>2</v>
      </c>
      <c r="I46" s="370" t="s">
        <v>207</v>
      </c>
      <c r="J46" s="270">
        <v>5.3</v>
      </c>
      <c r="K46" s="189" t="s">
        <v>197</v>
      </c>
      <c r="L46" s="167">
        <f t="shared" si="4"/>
        <v>10.6</v>
      </c>
      <c r="M46" s="1084"/>
      <c r="N46" s="245">
        <v>43931</v>
      </c>
      <c r="O46" s="198" t="s">
        <v>219</v>
      </c>
      <c r="P46" s="198"/>
      <c r="Q46" s="198"/>
      <c r="R46" s="198" t="s">
        <v>4</v>
      </c>
      <c r="S46" s="198"/>
      <c r="T46" s="198" t="s">
        <v>178</v>
      </c>
      <c r="U46" s="1096"/>
      <c r="V46" s="224"/>
      <c r="X46" s="239">
        <f t="shared" si="3"/>
        <v>1.06E-2</v>
      </c>
    </row>
    <row r="47" spans="1:32" ht="15.75" customHeight="1">
      <c r="A47" s="251">
        <v>5</v>
      </c>
      <c r="B47" s="17" t="s">
        <v>244</v>
      </c>
      <c r="C47" s="358">
        <v>43931</v>
      </c>
      <c r="D47" s="17" t="s">
        <v>18</v>
      </c>
      <c r="E47" s="245" t="s">
        <v>262</v>
      </c>
      <c r="F47" s="246" t="s">
        <v>253</v>
      </c>
      <c r="G47" s="89" t="s">
        <v>208</v>
      </c>
      <c r="H47" s="166">
        <v>1</v>
      </c>
      <c r="I47" s="370" t="s">
        <v>207</v>
      </c>
      <c r="J47" s="270">
        <v>3.5</v>
      </c>
      <c r="K47" s="189" t="s">
        <v>197</v>
      </c>
      <c r="L47" s="167">
        <f t="shared" si="4"/>
        <v>3.5</v>
      </c>
      <c r="M47" s="1084"/>
      <c r="N47" s="245">
        <v>43931</v>
      </c>
      <c r="O47" s="198" t="s">
        <v>219</v>
      </c>
      <c r="P47" s="198"/>
      <c r="Q47" s="198"/>
      <c r="R47" s="198" t="s">
        <v>4</v>
      </c>
      <c r="S47" s="198"/>
      <c r="T47" s="198" t="s">
        <v>178</v>
      </c>
      <c r="U47" s="1096"/>
      <c r="V47" s="224"/>
      <c r="X47" s="239">
        <f t="shared" si="3"/>
        <v>3.5000000000000001E-3</v>
      </c>
    </row>
    <row r="48" spans="1:32" ht="15.75" customHeight="1">
      <c r="A48" s="251">
        <v>5</v>
      </c>
      <c r="B48" s="17" t="s">
        <v>244</v>
      </c>
      <c r="C48" s="358">
        <v>43931</v>
      </c>
      <c r="D48" s="17" t="s">
        <v>18</v>
      </c>
      <c r="E48" s="245" t="s">
        <v>262</v>
      </c>
      <c r="F48" s="246" t="s">
        <v>215</v>
      </c>
      <c r="G48" s="89" t="s">
        <v>213</v>
      </c>
      <c r="H48" s="166">
        <v>1</v>
      </c>
      <c r="I48" s="370" t="s">
        <v>207</v>
      </c>
      <c r="J48" s="270">
        <v>5</v>
      </c>
      <c r="K48" s="189" t="s">
        <v>197</v>
      </c>
      <c r="L48" s="167">
        <f t="shared" si="4"/>
        <v>5</v>
      </c>
      <c r="M48" s="1084"/>
      <c r="N48" s="245">
        <v>43931</v>
      </c>
      <c r="O48" s="198" t="s">
        <v>219</v>
      </c>
      <c r="P48" s="198"/>
      <c r="Q48" s="198"/>
      <c r="R48" s="198" t="s">
        <v>4</v>
      </c>
      <c r="S48" s="198"/>
      <c r="T48" s="198" t="s">
        <v>178</v>
      </c>
      <c r="U48" s="1096"/>
      <c r="V48" s="224"/>
      <c r="X48" s="239">
        <f t="shared" si="3"/>
        <v>5.0000000000000001E-3</v>
      </c>
    </row>
    <row r="49" spans="1:24" ht="15.75" customHeight="1">
      <c r="A49" s="251">
        <v>5</v>
      </c>
      <c r="B49" s="17" t="s">
        <v>244</v>
      </c>
      <c r="C49" s="358">
        <v>43931</v>
      </c>
      <c r="D49" s="17" t="s">
        <v>18</v>
      </c>
      <c r="E49" s="245" t="s">
        <v>262</v>
      </c>
      <c r="F49" s="246" t="s">
        <v>254</v>
      </c>
      <c r="G49" s="89" t="s">
        <v>204</v>
      </c>
      <c r="H49" s="166">
        <v>1</v>
      </c>
      <c r="I49" s="370" t="s">
        <v>207</v>
      </c>
      <c r="J49" s="270">
        <v>5</v>
      </c>
      <c r="K49" s="189" t="s">
        <v>197</v>
      </c>
      <c r="L49" s="167">
        <f t="shared" si="4"/>
        <v>5</v>
      </c>
      <c r="M49" s="1084"/>
      <c r="N49" s="245">
        <v>43931</v>
      </c>
      <c r="O49" s="198" t="s">
        <v>219</v>
      </c>
      <c r="P49" s="198"/>
      <c r="Q49" s="198"/>
      <c r="R49" s="198" t="s">
        <v>4</v>
      </c>
      <c r="S49" s="198"/>
      <c r="T49" s="198" t="s">
        <v>178</v>
      </c>
      <c r="U49" s="1096"/>
      <c r="V49" s="224"/>
      <c r="X49" s="239">
        <f t="shared" si="3"/>
        <v>5.0000000000000001E-3</v>
      </c>
    </row>
    <row r="50" spans="1:24" ht="15.75" customHeight="1">
      <c r="A50" s="251">
        <v>5</v>
      </c>
      <c r="B50" s="17" t="s">
        <v>244</v>
      </c>
      <c r="C50" s="358">
        <v>43931</v>
      </c>
      <c r="D50" s="17" t="s">
        <v>18</v>
      </c>
      <c r="E50" s="245" t="s">
        <v>262</v>
      </c>
      <c r="F50" s="246" t="s">
        <v>255</v>
      </c>
      <c r="G50" s="89" t="s">
        <v>213</v>
      </c>
      <c r="H50" s="166">
        <v>1</v>
      </c>
      <c r="I50" s="370" t="s">
        <v>207</v>
      </c>
      <c r="J50" s="270">
        <v>10</v>
      </c>
      <c r="K50" s="189" t="s">
        <v>197</v>
      </c>
      <c r="L50" s="167">
        <f t="shared" si="4"/>
        <v>10</v>
      </c>
      <c r="M50" s="1084"/>
      <c r="N50" s="245">
        <v>43931</v>
      </c>
      <c r="O50" s="198" t="s">
        <v>219</v>
      </c>
      <c r="P50" s="198"/>
      <c r="Q50" s="198"/>
      <c r="R50" s="198" t="s">
        <v>4</v>
      </c>
      <c r="S50" s="198"/>
      <c r="T50" s="198" t="s">
        <v>178</v>
      </c>
      <c r="U50" s="1096"/>
      <c r="V50" s="224"/>
      <c r="X50" s="239">
        <f t="shared" si="3"/>
        <v>0.01</v>
      </c>
    </row>
    <row r="51" spans="1:24" ht="15.75">
      <c r="A51" s="251">
        <v>5</v>
      </c>
      <c r="B51" s="17" t="s">
        <v>244</v>
      </c>
      <c r="C51" s="358">
        <v>43931</v>
      </c>
      <c r="D51" s="17" t="s">
        <v>18</v>
      </c>
      <c r="E51" s="245" t="s">
        <v>262</v>
      </c>
      <c r="F51" s="246" t="s">
        <v>256</v>
      </c>
      <c r="G51" s="89" t="s">
        <v>213</v>
      </c>
      <c r="H51" s="166">
        <v>1</v>
      </c>
      <c r="I51" s="370" t="s">
        <v>207</v>
      </c>
      <c r="J51" s="270">
        <v>10</v>
      </c>
      <c r="K51" s="189" t="s">
        <v>197</v>
      </c>
      <c r="L51" s="167">
        <f t="shared" si="4"/>
        <v>10</v>
      </c>
      <c r="M51" s="1084"/>
      <c r="N51" s="245">
        <v>43931</v>
      </c>
      <c r="O51" s="198" t="s">
        <v>219</v>
      </c>
      <c r="P51" s="198"/>
      <c r="Q51" s="198"/>
      <c r="R51" s="198" t="s">
        <v>4</v>
      </c>
      <c r="S51" s="198"/>
      <c r="T51" s="198" t="s">
        <v>178</v>
      </c>
      <c r="U51" s="1096"/>
      <c r="V51" s="224"/>
      <c r="X51" s="239">
        <f t="shared" si="3"/>
        <v>0.01</v>
      </c>
    </row>
    <row r="52" spans="1:24" ht="15.75">
      <c r="A52" s="251">
        <v>5</v>
      </c>
      <c r="B52" s="17" t="s">
        <v>244</v>
      </c>
      <c r="C52" s="358">
        <v>43931</v>
      </c>
      <c r="D52" s="17" t="s">
        <v>18</v>
      </c>
      <c r="E52" s="245" t="s">
        <v>262</v>
      </c>
      <c r="F52" s="246" t="s">
        <v>257</v>
      </c>
      <c r="G52" s="89" t="s">
        <v>192</v>
      </c>
      <c r="H52" s="166">
        <v>1</v>
      </c>
      <c r="I52" s="370" t="s">
        <v>207</v>
      </c>
      <c r="J52" s="270">
        <v>5</v>
      </c>
      <c r="K52" s="189" t="s">
        <v>197</v>
      </c>
      <c r="L52" s="167">
        <f t="shared" si="4"/>
        <v>5</v>
      </c>
      <c r="M52" s="1084"/>
      <c r="N52" s="245">
        <v>43931</v>
      </c>
      <c r="O52" s="198" t="s">
        <v>219</v>
      </c>
      <c r="P52" s="198"/>
      <c r="Q52" s="198"/>
      <c r="R52" s="198" t="s">
        <v>4</v>
      </c>
      <c r="S52" s="198"/>
      <c r="T52" s="198" t="s">
        <v>178</v>
      </c>
      <c r="U52" s="1096"/>
      <c r="V52" s="224"/>
      <c r="X52" s="239">
        <f t="shared" si="3"/>
        <v>5.0000000000000001E-3</v>
      </c>
    </row>
    <row r="53" spans="1:24" ht="15.75">
      <c r="A53" s="251">
        <v>5</v>
      </c>
      <c r="B53" s="17" t="s">
        <v>244</v>
      </c>
      <c r="C53" s="358">
        <v>43931</v>
      </c>
      <c r="D53" s="17" t="s">
        <v>18</v>
      </c>
      <c r="E53" s="245" t="s">
        <v>262</v>
      </c>
      <c r="F53" s="246" t="s">
        <v>258</v>
      </c>
      <c r="G53" s="89" t="s">
        <v>192</v>
      </c>
      <c r="H53" s="166">
        <v>2</v>
      </c>
      <c r="I53" s="370" t="s">
        <v>207</v>
      </c>
      <c r="J53" s="270">
        <v>5</v>
      </c>
      <c r="K53" s="189" t="s">
        <v>197</v>
      </c>
      <c r="L53" s="167">
        <f t="shared" si="4"/>
        <v>10</v>
      </c>
      <c r="M53" s="1084"/>
      <c r="N53" s="245">
        <v>43931</v>
      </c>
      <c r="O53" s="198" t="s">
        <v>219</v>
      </c>
      <c r="P53" s="198"/>
      <c r="Q53" s="198"/>
      <c r="R53" s="198" t="s">
        <v>4</v>
      </c>
      <c r="S53" s="198"/>
      <c r="T53" s="198" t="s">
        <v>178</v>
      </c>
      <c r="U53" s="1096"/>
      <c r="V53" s="224"/>
      <c r="X53" s="239">
        <f t="shared" si="3"/>
        <v>0.01</v>
      </c>
    </row>
    <row r="54" spans="1:24" ht="15.75">
      <c r="A54" s="251">
        <v>5</v>
      </c>
      <c r="B54" s="17" t="s">
        <v>244</v>
      </c>
      <c r="C54" s="358">
        <v>43931</v>
      </c>
      <c r="D54" s="17" t="s">
        <v>18</v>
      </c>
      <c r="E54" s="245" t="s">
        <v>262</v>
      </c>
      <c r="F54" s="246" t="s">
        <v>259</v>
      </c>
      <c r="G54" s="89" t="s">
        <v>211</v>
      </c>
      <c r="H54" s="166">
        <v>5</v>
      </c>
      <c r="I54" s="370" t="s">
        <v>207</v>
      </c>
      <c r="J54" s="270">
        <v>5</v>
      </c>
      <c r="K54" s="189" t="s">
        <v>197</v>
      </c>
      <c r="L54" s="167">
        <f t="shared" si="4"/>
        <v>25</v>
      </c>
      <c r="M54" s="1084"/>
      <c r="N54" s="245">
        <v>43931</v>
      </c>
      <c r="O54" s="198" t="s">
        <v>219</v>
      </c>
      <c r="P54" s="198"/>
      <c r="Q54" s="198"/>
      <c r="R54" s="198" t="s">
        <v>4</v>
      </c>
      <c r="S54" s="198"/>
      <c r="T54" s="198" t="s">
        <v>178</v>
      </c>
      <c r="U54" s="1096"/>
      <c r="V54" s="224"/>
      <c r="X54" s="239">
        <f t="shared" si="3"/>
        <v>2.5000000000000001E-2</v>
      </c>
    </row>
    <row r="55" spans="1:24" ht="15.75" customHeight="1">
      <c r="A55" s="251">
        <v>5</v>
      </c>
      <c r="B55" s="17" t="s">
        <v>244</v>
      </c>
      <c r="C55" s="358">
        <v>43931</v>
      </c>
      <c r="D55" s="17" t="s">
        <v>18</v>
      </c>
      <c r="E55" s="245" t="s">
        <v>262</v>
      </c>
      <c r="F55" s="246" t="s">
        <v>260</v>
      </c>
      <c r="G55" s="89" t="s">
        <v>211</v>
      </c>
      <c r="H55" s="166">
        <v>5</v>
      </c>
      <c r="I55" s="370" t="s">
        <v>207</v>
      </c>
      <c r="J55" s="270">
        <v>5</v>
      </c>
      <c r="K55" s="189" t="s">
        <v>197</v>
      </c>
      <c r="L55" s="167">
        <f t="shared" si="4"/>
        <v>25</v>
      </c>
      <c r="M55" s="1084"/>
      <c r="N55" s="245">
        <v>43931</v>
      </c>
      <c r="O55" s="198" t="s">
        <v>219</v>
      </c>
      <c r="P55" s="198"/>
      <c r="Q55" s="198"/>
      <c r="R55" s="198" t="s">
        <v>4</v>
      </c>
      <c r="S55" s="198"/>
      <c r="T55" s="198" t="s">
        <v>178</v>
      </c>
      <c r="U55" s="1096"/>
      <c r="V55" s="224"/>
      <c r="X55" s="239">
        <f t="shared" si="3"/>
        <v>2.5000000000000001E-2</v>
      </c>
    </row>
    <row r="56" spans="1:24" ht="15.75" customHeight="1">
      <c r="A56" s="252">
        <v>5</v>
      </c>
      <c r="B56" s="3" t="s">
        <v>244</v>
      </c>
      <c r="C56" s="359">
        <v>43931</v>
      </c>
      <c r="D56" s="3" t="s">
        <v>18</v>
      </c>
      <c r="E56" s="247" t="s">
        <v>262</v>
      </c>
      <c r="F56" s="249" t="s">
        <v>261</v>
      </c>
      <c r="G56" s="168" t="s">
        <v>213</v>
      </c>
      <c r="H56" s="169">
        <v>1</v>
      </c>
      <c r="I56" s="371" t="s">
        <v>207</v>
      </c>
      <c r="J56" s="388">
        <v>5</v>
      </c>
      <c r="K56" s="195" t="s">
        <v>197</v>
      </c>
      <c r="L56" s="170">
        <f t="shared" si="4"/>
        <v>5</v>
      </c>
      <c r="M56" s="1085"/>
      <c r="N56" s="247">
        <v>43931</v>
      </c>
      <c r="O56" s="201" t="s">
        <v>219</v>
      </c>
      <c r="P56" s="201"/>
      <c r="Q56" s="201"/>
      <c r="R56" s="201" t="s">
        <v>4</v>
      </c>
      <c r="S56" s="201"/>
      <c r="T56" s="201" t="s">
        <v>178</v>
      </c>
      <c r="U56" s="1097"/>
      <c r="V56" s="225"/>
      <c r="X56" s="239">
        <f t="shared" si="3"/>
        <v>5.0000000000000001E-3</v>
      </c>
    </row>
    <row r="57" spans="1:24" ht="15.75" customHeight="1">
      <c r="A57" s="250">
        <v>6</v>
      </c>
      <c r="B57" s="20" t="s">
        <v>264</v>
      </c>
      <c r="C57" s="357">
        <v>43935</v>
      </c>
      <c r="D57" s="20" t="s">
        <v>18</v>
      </c>
      <c r="E57" s="244" t="s">
        <v>265</v>
      </c>
      <c r="F57" s="248" t="s">
        <v>221</v>
      </c>
      <c r="G57" s="172" t="s">
        <v>213</v>
      </c>
      <c r="H57" s="164">
        <v>5</v>
      </c>
      <c r="I57" s="369" t="s">
        <v>207</v>
      </c>
      <c r="J57" s="269">
        <v>11</v>
      </c>
      <c r="K57" s="185" t="s">
        <v>197</v>
      </c>
      <c r="L57" s="165">
        <f t="shared" si="4"/>
        <v>55</v>
      </c>
      <c r="M57" s="1083">
        <v>6.2</v>
      </c>
      <c r="N57" s="244">
        <v>43935</v>
      </c>
      <c r="O57" s="197" t="s">
        <v>219</v>
      </c>
      <c r="P57" s="197"/>
      <c r="Q57" s="197"/>
      <c r="R57" s="197" t="s">
        <v>4</v>
      </c>
      <c r="S57" s="197"/>
      <c r="T57" s="197" t="s">
        <v>178</v>
      </c>
      <c r="U57" s="1095">
        <f>81.6*U10</f>
        <v>1924127.9999999998</v>
      </c>
      <c r="V57" s="243"/>
      <c r="X57" s="239">
        <f t="shared" si="3"/>
        <v>5.5E-2</v>
      </c>
    </row>
    <row r="58" spans="1:24" ht="15.75" customHeight="1">
      <c r="A58" s="251">
        <v>6</v>
      </c>
      <c r="B58" s="17" t="s">
        <v>264</v>
      </c>
      <c r="C58" s="358">
        <v>43935</v>
      </c>
      <c r="D58" s="17" t="s">
        <v>18</v>
      </c>
      <c r="E58" s="245" t="s">
        <v>265</v>
      </c>
      <c r="F58" s="246" t="s">
        <v>263</v>
      </c>
      <c r="G58" s="89" t="s">
        <v>179</v>
      </c>
      <c r="H58" s="166">
        <v>1</v>
      </c>
      <c r="I58" s="370" t="s">
        <v>207</v>
      </c>
      <c r="J58" s="270">
        <v>6</v>
      </c>
      <c r="K58" s="189" t="s">
        <v>197</v>
      </c>
      <c r="L58" s="167">
        <f t="shared" si="4"/>
        <v>6</v>
      </c>
      <c r="M58" s="1084"/>
      <c r="N58" s="245">
        <v>43935</v>
      </c>
      <c r="O58" s="198" t="s">
        <v>219</v>
      </c>
      <c r="P58" s="198"/>
      <c r="Q58" s="198"/>
      <c r="R58" s="198" t="s">
        <v>4</v>
      </c>
      <c r="S58" s="198"/>
      <c r="T58" s="198" t="s">
        <v>178</v>
      </c>
      <c r="U58" s="1097"/>
      <c r="V58" s="224"/>
      <c r="X58" s="239">
        <f t="shared" si="3"/>
        <v>6.0000000000000001E-3</v>
      </c>
    </row>
    <row r="59" spans="1:24" ht="15.75" customHeight="1">
      <c r="A59" s="250">
        <v>7</v>
      </c>
      <c r="B59" s="20" t="s">
        <v>266</v>
      </c>
      <c r="C59" s="357">
        <v>43936</v>
      </c>
      <c r="D59" s="20" t="s">
        <v>18</v>
      </c>
      <c r="E59" s="244" t="s">
        <v>267</v>
      </c>
      <c r="F59" s="248" t="s">
        <v>257</v>
      </c>
      <c r="G59" s="172" t="s">
        <v>192</v>
      </c>
      <c r="H59" s="164">
        <v>3</v>
      </c>
      <c r="I59" s="369" t="s">
        <v>207</v>
      </c>
      <c r="J59" s="269">
        <v>15</v>
      </c>
      <c r="K59" s="185" t="s">
        <v>197</v>
      </c>
      <c r="L59" s="165">
        <f t="shared" si="4"/>
        <v>45</v>
      </c>
      <c r="M59" s="1083">
        <v>10.58</v>
      </c>
      <c r="N59" s="244">
        <v>43936</v>
      </c>
      <c r="O59" s="197" t="s">
        <v>219</v>
      </c>
      <c r="P59" s="197"/>
      <c r="Q59" s="197"/>
      <c r="R59" s="197" t="s">
        <v>4</v>
      </c>
      <c r="S59" s="197"/>
      <c r="T59" s="197" t="s">
        <v>178</v>
      </c>
      <c r="U59" s="1095">
        <f>124.73*U10</f>
        <v>2941133.4</v>
      </c>
      <c r="V59" s="243"/>
      <c r="X59" s="239">
        <f t="shared" si="3"/>
        <v>4.4999999999999998E-2</v>
      </c>
    </row>
    <row r="60" spans="1:24" ht="15.75" customHeight="1">
      <c r="A60" s="252">
        <v>7</v>
      </c>
      <c r="B60" s="3" t="s">
        <v>266</v>
      </c>
      <c r="C60" s="359">
        <v>43936</v>
      </c>
      <c r="D60" s="3" t="s">
        <v>18</v>
      </c>
      <c r="E60" s="247" t="s">
        <v>267</v>
      </c>
      <c r="F60" s="249" t="s">
        <v>258</v>
      </c>
      <c r="G60" s="168" t="s">
        <v>192</v>
      </c>
      <c r="H60" s="169">
        <v>2</v>
      </c>
      <c r="I60" s="371" t="s">
        <v>207</v>
      </c>
      <c r="J60" s="388">
        <v>15</v>
      </c>
      <c r="K60" s="195" t="s">
        <v>197</v>
      </c>
      <c r="L60" s="170">
        <f t="shared" si="4"/>
        <v>30</v>
      </c>
      <c r="M60" s="1085"/>
      <c r="N60" s="247">
        <v>43936</v>
      </c>
      <c r="O60" s="201" t="s">
        <v>219</v>
      </c>
      <c r="P60" s="201"/>
      <c r="Q60" s="201"/>
      <c r="R60" s="201" t="s">
        <v>4</v>
      </c>
      <c r="S60" s="201"/>
      <c r="T60" s="201" t="s">
        <v>178</v>
      </c>
      <c r="U60" s="1097"/>
      <c r="V60" s="225"/>
      <c r="X60" s="239">
        <f t="shared" si="3"/>
        <v>0.03</v>
      </c>
    </row>
    <row r="61" spans="1:24" ht="15.75" customHeight="1">
      <c r="A61" s="250">
        <v>8</v>
      </c>
      <c r="B61" s="20" t="s">
        <v>268</v>
      </c>
      <c r="C61" s="357">
        <v>43938</v>
      </c>
      <c r="D61" s="20" t="s">
        <v>18</v>
      </c>
      <c r="E61" s="244" t="s">
        <v>269</v>
      </c>
      <c r="F61" s="248" t="s">
        <v>221</v>
      </c>
      <c r="G61" s="172" t="s">
        <v>213</v>
      </c>
      <c r="H61" s="164">
        <v>1</v>
      </c>
      <c r="I61" s="369" t="s">
        <v>207</v>
      </c>
      <c r="J61" s="269">
        <v>11</v>
      </c>
      <c r="K61" s="185" t="s">
        <v>197</v>
      </c>
      <c r="L61" s="165">
        <f t="shared" si="4"/>
        <v>11</v>
      </c>
      <c r="M61" s="1083">
        <v>18.8</v>
      </c>
      <c r="N61" s="244">
        <v>43938</v>
      </c>
      <c r="O61" s="197" t="s">
        <v>219</v>
      </c>
      <c r="P61" s="197"/>
      <c r="Q61" s="197"/>
      <c r="R61" s="197" t="s">
        <v>4</v>
      </c>
      <c r="S61" s="197"/>
      <c r="T61" s="197" t="s">
        <v>178</v>
      </c>
      <c r="U61" s="1095">
        <f>201.58*U10</f>
        <v>4753256.4000000004</v>
      </c>
      <c r="V61" s="243"/>
      <c r="X61" s="239">
        <f t="shared" si="3"/>
        <v>1.0999999999999999E-2</v>
      </c>
    </row>
    <row r="62" spans="1:24" s="256" customFormat="1" ht="15.75" customHeight="1">
      <c r="A62" s="251">
        <v>8</v>
      </c>
      <c r="B62" s="17" t="s">
        <v>268</v>
      </c>
      <c r="C62" s="358">
        <v>43938</v>
      </c>
      <c r="D62" s="17" t="s">
        <v>18</v>
      </c>
      <c r="E62" s="245" t="s">
        <v>269</v>
      </c>
      <c r="F62" s="246" t="s">
        <v>270</v>
      </c>
      <c r="G62" s="89" t="s">
        <v>271</v>
      </c>
      <c r="H62" s="166">
        <v>4</v>
      </c>
      <c r="I62" s="370" t="s">
        <v>207</v>
      </c>
      <c r="J62" s="270">
        <v>4</v>
      </c>
      <c r="K62" s="189" t="s">
        <v>197</v>
      </c>
      <c r="L62" s="167">
        <f t="shared" si="4"/>
        <v>16</v>
      </c>
      <c r="M62" s="1084"/>
      <c r="N62" s="245">
        <v>43938</v>
      </c>
      <c r="O62" s="198" t="s">
        <v>219</v>
      </c>
      <c r="P62" s="265"/>
      <c r="Q62" s="266"/>
      <c r="R62" s="198" t="s">
        <v>4</v>
      </c>
      <c r="S62" s="198"/>
      <c r="T62" s="198" t="s">
        <v>178</v>
      </c>
      <c r="U62" s="1096"/>
      <c r="V62" s="224"/>
      <c r="X62" s="239">
        <f t="shared" si="3"/>
        <v>1.6E-2</v>
      </c>
    </row>
    <row r="63" spans="1:24" ht="15.75" customHeight="1">
      <c r="A63" s="251">
        <v>8</v>
      </c>
      <c r="B63" s="17" t="s">
        <v>268</v>
      </c>
      <c r="C63" s="358">
        <v>43938</v>
      </c>
      <c r="D63" s="17" t="s">
        <v>18</v>
      </c>
      <c r="E63" s="245" t="s">
        <v>269</v>
      </c>
      <c r="F63" s="190" t="s">
        <v>272</v>
      </c>
      <c r="G63" s="199" t="s">
        <v>204</v>
      </c>
      <c r="H63" s="166">
        <v>4</v>
      </c>
      <c r="I63" s="370" t="s">
        <v>207</v>
      </c>
      <c r="J63" s="270">
        <v>20</v>
      </c>
      <c r="K63" s="189" t="s">
        <v>197</v>
      </c>
      <c r="L63" s="167">
        <f t="shared" si="4"/>
        <v>80</v>
      </c>
      <c r="M63" s="1084"/>
      <c r="N63" s="245">
        <v>43938</v>
      </c>
      <c r="O63" s="198" t="s">
        <v>219</v>
      </c>
      <c r="P63" s="198"/>
      <c r="Q63" s="198"/>
      <c r="R63" s="198" t="s">
        <v>4</v>
      </c>
      <c r="S63" s="198"/>
      <c r="T63" s="198" t="s">
        <v>178</v>
      </c>
      <c r="U63" s="1096"/>
      <c r="V63" s="224"/>
      <c r="X63" s="239">
        <f t="shared" si="3"/>
        <v>0.08</v>
      </c>
    </row>
    <row r="64" spans="1:24" ht="15.75" customHeight="1">
      <c r="A64" s="251">
        <v>8</v>
      </c>
      <c r="B64" s="17" t="s">
        <v>268</v>
      </c>
      <c r="C64" s="358">
        <v>43938</v>
      </c>
      <c r="D64" s="17" t="s">
        <v>18</v>
      </c>
      <c r="E64" s="245" t="s">
        <v>269</v>
      </c>
      <c r="F64" s="190" t="s">
        <v>273</v>
      </c>
      <c r="G64" s="199" t="s">
        <v>213</v>
      </c>
      <c r="H64" s="166">
        <v>2</v>
      </c>
      <c r="I64" s="370" t="s">
        <v>207</v>
      </c>
      <c r="J64" s="270">
        <v>11</v>
      </c>
      <c r="K64" s="189" t="s">
        <v>197</v>
      </c>
      <c r="L64" s="167">
        <f t="shared" si="4"/>
        <v>22</v>
      </c>
      <c r="M64" s="1084"/>
      <c r="N64" s="245">
        <v>43938</v>
      </c>
      <c r="O64" s="198" t="s">
        <v>219</v>
      </c>
      <c r="P64" s="198"/>
      <c r="Q64" s="198"/>
      <c r="R64" s="198" t="s">
        <v>4</v>
      </c>
      <c r="S64" s="198"/>
      <c r="T64" s="198" t="s">
        <v>178</v>
      </c>
      <c r="U64" s="1096"/>
      <c r="V64" s="224"/>
      <c r="X64" s="239">
        <f t="shared" si="3"/>
        <v>2.1999999999999999E-2</v>
      </c>
    </row>
    <row r="65" spans="1:24" ht="15.75">
      <c r="A65" s="252">
        <v>8</v>
      </c>
      <c r="B65" s="3" t="s">
        <v>268</v>
      </c>
      <c r="C65" s="358">
        <v>43938</v>
      </c>
      <c r="D65" s="3" t="s">
        <v>18</v>
      </c>
      <c r="E65" s="247" t="s">
        <v>269</v>
      </c>
      <c r="F65" s="193" t="s">
        <v>274</v>
      </c>
      <c r="G65" s="200" t="s">
        <v>213</v>
      </c>
      <c r="H65" s="194">
        <v>2</v>
      </c>
      <c r="I65" s="194" t="s">
        <v>207</v>
      </c>
      <c r="J65" s="272">
        <v>11</v>
      </c>
      <c r="K65" s="195" t="s">
        <v>197</v>
      </c>
      <c r="L65" s="170">
        <f t="shared" si="4"/>
        <v>22</v>
      </c>
      <c r="M65" s="1085"/>
      <c r="N65" s="247">
        <v>43938</v>
      </c>
      <c r="O65" s="201" t="s">
        <v>219</v>
      </c>
      <c r="P65" s="201"/>
      <c r="Q65" s="201"/>
      <c r="R65" s="201" t="s">
        <v>4</v>
      </c>
      <c r="S65" s="201"/>
      <c r="T65" s="201" t="s">
        <v>178</v>
      </c>
      <c r="U65" s="1097"/>
      <c r="V65" s="191"/>
      <c r="X65" s="239">
        <f t="shared" si="3"/>
        <v>2.1999999999999999E-2</v>
      </c>
    </row>
    <row r="66" spans="1:24" ht="15.75" hidden="1">
      <c r="A66" s="251">
        <v>9</v>
      </c>
      <c r="B66" s="395" t="s">
        <v>275</v>
      </c>
      <c r="C66" s="357">
        <v>43938</v>
      </c>
      <c r="D66" s="396" t="s">
        <v>18</v>
      </c>
      <c r="E66" s="187" t="s">
        <v>276</v>
      </c>
      <c r="F66" s="190" t="s">
        <v>277</v>
      </c>
      <c r="G66" s="199" t="s">
        <v>180</v>
      </c>
      <c r="H66" s="188">
        <v>2</v>
      </c>
      <c r="I66" s="188" t="s">
        <v>209</v>
      </c>
      <c r="J66" s="271">
        <v>4</v>
      </c>
      <c r="K66" s="189" t="s">
        <v>197</v>
      </c>
      <c r="L66" s="167">
        <f t="shared" si="4"/>
        <v>8</v>
      </c>
      <c r="M66" s="1095">
        <v>19.12</v>
      </c>
      <c r="N66" s="245">
        <v>43938</v>
      </c>
      <c r="O66" s="198" t="s">
        <v>219</v>
      </c>
      <c r="P66" s="198"/>
      <c r="Q66" s="198"/>
      <c r="R66" s="198" t="s">
        <v>7</v>
      </c>
      <c r="S66" s="198"/>
      <c r="T66" s="198" t="s">
        <v>178</v>
      </c>
      <c r="U66" s="1095">
        <f>192.43*U10</f>
        <v>4537499.4000000004</v>
      </c>
      <c r="V66" s="186"/>
      <c r="X66" s="239">
        <f t="shared" si="3"/>
        <v>8.0000000000000002E-3</v>
      </c>
    </row>
    <row r="67" spans="1:24" ht="15.75" hidden="1">
      <c r="A67" s="251">
        <v>9</v>
      </c>
      <c r="B67" s="395" t="s">
        <v>275</v>
      </c>
      <c r="C67" s="358">
        <v>43938</v>
      </c>
      <c r="D67" s="396" t="s">
        <v>18</v>
      </c>
      <c r="E67" s="187" t="s">
        <v>276</v>
      </c>
      <c r="F67" s="190" t="s">
        <v>278</v>
      </c>
      <c r="G67" s="199" t="s">
        <v>180</v>
      </c>
      <c r="H67" s="188">
        <v>2</v>
      </c>
      <c r="I67" s="188" t="s">
        <v>209</v>
      </c>
      <c r="J67" s="271">
        <v>4</v>
      </c>
      <c r="K67" s="189" t="s">
        <v>197</v>
      </c>
      <c r="L67" s="167">
        <f t="shared" si="4"/>
        <v>8</v>
      </c>
      <c r="M67" s="1096"/>
      <c r="N67" s="245">
        <v>43938</v>
      </c>
      <c r="O67" s="198" t="s">
        <v>219</v>
      </c>
      <c r="P67" s="198"/>
      <c r="Q67" s="198"/>
      <c r="R67" s="198" t="s">
        <v>7</v>
      </c>
      <c r="S67" s="198"/>
      <c r="T67" s="198" t="s">
        <v>178</v>
      </c>
      <c r="U67" s="1096"/>
      <c r="V67" s="186"/>
      <c r="X67" s="239">
        <f t="shared" si="3"/>
        <v>8.0000000000000002E-3</v>
      </c>
    </row>
    <row r="68" spans="1:24" ht="15.75" hidden="1">
      <c r="A68" s="251">
        <v>9</v>
      </c>
      <c r="B68" s="395" t="s">
        <v>275</v>
      </c>
      <c r="C68" s="358">
        <v>43938</v>
      </c>
      <c r="D68" s="396" t="s">
        <v>18</v>
      </c>
      <c r="E68" s="187" t="s">
        <v>276</v>
      </c>
      <c r="F68" s="190" t="s">
        <v>279</v>
      </c>
      <c r="G68" s="199" t="s">
        <v>180</v>
      </c>
      <c r="H68" s="188">
        <v>2</v>
      </c>
      <c r="I68" s="188" t="s">
        <v>209</v>
      </c>
      <c r="J68" s="271">
        <v>4</v>
      </c>
      <c r="K68" s="189" t="s">
        <v>197</v>
      </c>
      <c r="L68" s="167">
        <f t="shared" si="4"/>
        <v>8</v>
      </c>
      <c r="M68" s="1096"/>
      <c r="N68" s="245">
        <v>43938</v>
      </c>
      <c r="O68" s="198" t="s">
        <v>219</v>
      </c>
      <c r="P68" s="198"/>
      <c r="Q68" s="198"/>
      <c r="R68" s="198" t="s">
        <v>7</v>
      </c>
      <c r="S68" s="198"/>
      <c r="T68" s="198" t="s">
        <v>178</v>
      </c>
      <c r="U68" s="1097"/>
      <c r="V68" s="186"/>
      <c r="X68" s="239">
        <f t="shared" si="3"/>
        <v>8.0000000000000002E-3</v>
      </c>
    </row>
    <row r="69" spans="1:24" ht="15.75" hidden="1">
      <c r="A69" s="206">
        <v>10</v>
      </c>
      <c r="B69" s="5" t="s">
        <v>280</v>
      </c>
      <c r="C69" s="361">
        <v>43938</v>
      </c>
      <c r="D69" s="397" t="s">
        <v>18</v>
      </c>
      <c r="E69" s="221" t="s">
        <v>281</v>
      </c>
      <c r="F69" s="389" t="s">
        <v>282</v>
      </c>
      <c r="G69" s="390" t="s">
        <v>180</v>
      </c>
      <c r="H69" s="392">
        <v>13</v>
      </c>
      <c r="I69" s="393" t="s">
        <v>207</v>
      </c>
      <c r="J69" s="394">
        <v>1</v>
      </c>
      <c r="K69" s="203" t="s">
        <v>197</v>
      </c>
      <c r="L69" s="159">
        <f t="shared" si="4"/>
        <v>13</v>
      </c>
      <c r="M69" s="398">
        <v>1.18</v>
      </c>
      <c r="N69" s="391">
        <v>43938</v>
      </c>
      <c r="O69" s="204" t="s">
        <v>219</v>
      </c>
      <c r="P69" s="204"/>
      <c r="Q69" s="204"/>
      <c r="R69" s="204" t="s">
        <v>7</v>
      </c>
      <c r="S69" s="204"/>
      <c r="T69" s="204" t="s">
        <v>178</v>
      </c>
      <c r="U69" s="398">
        <f>36.14*U10</f>
        <v>852181.20000000007</v>
      </c>
      <c r="V69" s="202"/>
      <c r="X69" s="239">
        <f t="shared" si="3"/>
        <v>1.2999999999999999E-2</v>
      </c>
    </row>
    <row r="70" spans="1:24" ht="15.75">
      <c r="A70" s="250">
        <v>11</v>
      </c>
      <c r="B70" s="20" t="s">
        <v>283</v>
      </c>
      <c r="C70" s="357">
        <v>43942</v>
      </c>
      <c r="D70" s="273" t="s">
        <v>18</v>
      </c>
      <c r="E70" s="405" t="s">
        <v>284</v>
      </c>
      <c r="F70" s="196" t="s">
        <v>285</v>
      </c>
      <c r="G70" s="205" t="s">
        <v>179</v>
      </c>
      <c r="H70" s="184">
        <v>1</v>
      </c>
      <c r="I70" s="261" t="s">
        <v>207</v>
      </c>
      <c r="J70" s="399">
        <v>6</v>
      </c>
      <c r="K70" s="185" t="s">
        <v>197</v>
      </c>
      <c r="L70" s="165">
        <f t="shared" si="4"/>
        <v>6</v>
      </c>
      <c r="M70" s="1095">
        <v>4.96</v>
      </c>
      <c r="N70" s="244">
        <v>43942</v>
      </c>
      <c r="O70" s="197" t="s">
        <v>219</v>
      </c>
      <c r="P70" s="197"/>
      <c r="Q70" s="197"/>
      <c r="R70" s="197" t="s">
        <v>4</v>
      </c>
      <c r="S70" s="197"/>
      <c r="T70" s="197" t="s">
        <v>178</v>
      </c>
      <c r="U70" s="1095">
        <f>66.28*U10</f>
        <v>1562882.4000000001</v>
      </c>
      <c r="V70" s="182"/>
      <c r="X70" s="239">
        <f t="shared" si="3"/>
        <v>6.0000000000000001E-3</v>
      </c>
    </row>
    <row r="71" spans="1:24" ht="31.5">
      <c r="A71" s="252">
        <v>11</v>
      </c>
      <c r="B71" s="3" t="s">
        <v>283</v>
      </c>
      <c r="C71" s="359">
        <v>43942</v>
      </c>
      <c r="D71" s="277" t="s">
        <v>18</v>
      </c>
      <c r="E71" s="406" t="s">
        <v>284</v>
      </c>
      <c r="F71" s="193" t="s">
        <v>286</v>
      </c>
      <c r="G71" s="200" t="s">
        <v>287</v>
      </c>
      <c r="H71" s="194">
        <v>5</v>
      </c>
      <c r="I71" s="262" t="s">
        <v>207</v>
      </c>
      <c r="J71" s="400">
        <v>5</v>
      </c>
      <c r="K71" s="195" t="s">
        <v>197</v>
      </c>
      <c r="L71" s="170">
        <f t="shared" si="4"/>
        <v>25</v>
      </c>
      <c r="M71" s="1097"/>
      <c r="N71" s="247">
        <v>43942</v>
      </c>
      <c r="O71" s="201" t="s">
        <v>219</v>
      </c>
      <c r="P71" s="201"/>
      <c r="Q71" s="201"/>
      <c r="R71" s="201" t="s">
        <v>4</v>
      </c>
      <c r="S71" s="201"/>
      <c r="T71" s="201" t="s">
        <v>178</v>
      </c>
      <c r="U71" s="1097"/>
      <c r="V71" s="191"/>
      <c r="X71" s="239">
        <f t="shared" si="3"/>
        <v>2.5000000000000001E-2</v>
      </c>
    </row>
    <row r="72" spans="1:24" ht="15.75">
      <c r="A72" s="250">
        <v>12</v>
      </c>
      <c r="B72" s="20" t="s">
        <v>288</v>
      </c>
      <c r="C72" s="357">
        <v>43942</v>
      </c>
      <c r="D72" s="273" t="s">
        <v>18</v>
      </c>
      <c r="E72" s="405" t="s">
        <v>296</v>
      </c>
      <c r="F72" s="196" t="s">
        <v>289</v>
      </c>
      <c r="G72" s="205" t="s">
        <v>290</v>
      </c>
      <c r="H72" s="184">
        <v>1</v>
      </c>
      <c r="I72" s="261" t="s">
        <v>207</v>
      </c>
      <c r="J72" s="399">
        <v>10</v>
      </c>
      <c r="K72" s="185" t="s">
        <v>197</v>
      </c>
      <c r="L72" s="167">
        <f t="shared" si="4"/>
        <v>10</v>
      </c>
      <c r="M72" s="1092">
        <v>30.5</v>
      </c>
      <c r="N72" s="244">
        <v>43942</v>
      </c>
      <c r="O72" s="197" t="s">
        <v>219</v>
      </c>
      <c r="P72" s="197"/>
      <c r="Q72" s="197"/>
      <c r="R72" s="197" t="s">
        <v>4</v>
      </c>
      <c r="S72" s="197"/>
      <c r="T72" s="197" t="s">
        <v>178</v>
      </c>
      <c r="U72" s="1095">
        <f>287.33*U10</f>
        <v>6775241.3999999994</v>
      </c>
      <c r="V72" s="182"/>
      <c r="X72" s="239">
        <f t="shared" si="3"/>
        <v>0.01</v>
      </c>
    </row>
    <row r="73" spans="1:24" ht="15.75">
      <c r="A73" s="251">
        <v>12</v>
      </c>
      <c r="B73" s="17" t="s">
        <v>288</v>
      </c>
      <c r="C73" s="358">
        <v>43942</v>
      </c>
      <c r="D73" s="274" t="s">
        <v>18</v>
      </c>
      <c r="E73" s="407" t="s">
        <v>296</v>
      </c>
      <c r="F73" s="190" t="s">
        <v>291</v>
      </c>
      <c r="G73" s="199" t="s">
        <v>290</v>
      </c>
      <c r="H73" s="188">
        <v>1</v>
      </c>
      <c r="I73" s="368" t="s">
        <v>207</v>
      </c>
      <c r="J73" s="275">
        <v>10</v>
      </c>
      <c r="K73" s="189" t="s">
        <v>197</v>
      </c>
      <c r="L73" s="167">
        <f t="shared" si="4"/>
        <v>10</v>
      </c>
      <c r="M73" s="1093"/>
      <c r="N73" s="245">
        <v>43942</v>
      </c>
      <c r="O73" s="198" t="s">
        <v>219</v>
      </c>
      <c r="P73" s="198"/>
      <c r="Q73" s="198"/>
      <c r="R73" s="198" t="s">
        <v>4</v>
      </c>
      <c r="S73" s="198"/>
      <c r="T73" s="198" t="s">
        <v>178</v>
      </c>
      <c r="U73" s="1096"/>
      <c r="V73" s="186"/>
      <c r="X73" s="239">
        <f t="shared" si="3"/>
        <v>0.01</v>
      </c>
    </row>
    <row r="74" spans="1:24" ht="15.75">
      <c r="A74" s="251">
        <v>12</v>
      </c>
      <c r="B74" s="17" t="s">
        <v>288</v>
      </c>
      <c r="C74" s="358">
        <v>43942</v>
      </c>
      <c r="D74" s="274" t="s">
        <v>18</v>
      </c>
      <c r="E74" s="407" t="s">
        <v>296</v>
      </c>
      <c r="F74" s="190" t="s">
        <v>292</v>
      </c>
      <c r="G74" s="199" t="s">
        <v>290</v>
      </c>
      <c r="H74" s="188">
        <v>1</v>
      </c>
      <c r="I74" s="368" t="s">
        <v>207</v>
      </c>
      <c r="J74" s="275">
        <v>10</v>
      </c>
      <c r="K74" s="189" t="s">
        <v>197</v>
      </c>
      <c r="L74" s="167">
        <f t="shared" si="4"/>
        <v>10</v>
      </c>
      <c r="M74" s="1093"/>
      <c r="N74" s="245">
        <v>43942</v>
      </c>
      <c r="O74" s="198" t="s">
        <v>219</v>
      </c>
      <c r="P74" s="198"/>
      <c r="Q74" s="198"/>
      <c r="R74" s="198" t="s">
        <v>4</v>
      </c>
      <c r="S74" s="198"/>
      <c r="T74" s="198" t="s">
        <v>178</v>
      </c>
      <c r="U74" s="1096"/>
      <c r="V74" s="186"/>
      <c r="X74" s="239">
        <f t="shared" si="3"/>
        <v>0.01</v>
      </c>
    </row>
    <row r="75" spans="1:24" ht="15.75">
      <c r="A75" s="251">
        <v>12</v>
      </c>
      <c r="B75" s="17" t="s">
        <v>288</v>
      </c>
      <c r="C75" s="358">
        <v>43942</v>
      </c>
      <c r="D75" s="274" t="s">
        <v>18</v>
      </c>
      <c r="E75" s="407" t="s">
        <v>296</v>
      </c>
      <c r="F75" s="190" t="s">
        <v>293</v>
      </c>
      <c r="G75" s="199" t="s">
        <v>290</v>
      </c>
      <c r="H75" s="188">
        <v>2</v>
      </c>
      <c r="I75" s="368" t="s">
        <v>207</v>
      </c>
      <c r="J75" s="275">
        <v>10</v>
      </c>
      <c r="K75" s="189" t="s">
        <v>197</v>
      </c>
      <c r="L75" s="167">
        <f t="shared" si="4"/>
        <v>20</v>
      </c>
      <c r="M75" s="1093"/>
      <c r="N75" s="245">
        <v>43942</v>
      </c>
      <c r="O75" s="198" t="s">
        <v>219</v>
      </c>
      <c r="P75" s="198"/>
      <c r="Q75" s="198"/>
      <c r="R75" s="198" t="s">
        <v>4</v>
      </c>
      <c r="S75" s="198"/>
      <c r="T75" s="198" t="s">
        <v>178</v>
      </c>
      <c r="U75" s="1096"/>
      <c r="V75" s="241"/>
      <c r="X75" s="239">
        <f t="shared" si="3"/>
        <v>0.02</v>
      </c>
    </row>
    <row r="76" spans="1:24" ht="15.75">
      <c r="A76" s="251">
        <v>12</v>
      </c>
      <c r="B76" s="17" t="s">
        <v>288</v>
      </c>
      <c r="C76" s="358">
        <v>43942</v>
      </c>
      <c r="D76" s="274" t="s">
        <v>18</v>
      </c>
      <c r="E76" s="407" t="s">
        <v>296</v>
      </c>
      <c r="F76" s="190" t="s">
        <v>294</v>
      </c>
      <c r="G76" s="199" t="s">
        <v>290</v>
      </c>
      <c r="H76" s="188">
        <v>1</v>
      </c>
      <c r="I76" s="368" t="s">
        <v>207</v>
      </c>
      <c r="J76" s="275">
        <v>10</v>
      </c>
      <c r="K76" s="189" t="s">
        <v>197</v>
      </c>
      <c r="L76" s="167">
        <f t="shared" si="4"/>
        <v>10</v>
      </c>
      <c r="M76" s="1093"/>
      <c r="N76" s="245">
        <v>43942</v>
      </c>
      <c r="O76" s="198" t="s">
        <v>219</v>
      </c>
      <c r="P76" s="198"/>
      <c r="Q76" s="198"/>
      <c r="R76" s="198" t="s">
        <v>4</v>
      </c>
      <c r="S76" s="198"/>
      <c r="T76" s="198" t="s">
        <v>178</v>
      </c>
      <c r="U76" s="1096"/>
      <c r="V76" s="186"/>
      <c r="X76" s="239">
        <f t="shared" si="3"/>
        <v>0.01</v>
      </c>
    </row>
    <row r="77" spans="1:24" ht="15.75">
      <c r="A77" s="252">
        <v>12</v>
      </c>
      <c r="B77" s="3" t="s">
        <v>288</v>
      </c>
      <c r="C77" s="359">
        <v>43942</v>
      </c>
      <c r="D77" s="277" t="s">
        <v>18</v>
      </c>
      <c r="E77" s="406" t="s">
        <v>296</v>
      </c>
      <c r="F77" s="200" t="s">
        <v>295</v>
      </c>
      <c r="G77" s="193" t="s">
        <v>290</v>
      </c>
      <c r="H77" s="194">
        <v>1</v>
      </c>
      <c r="I77" s="262" t="s">
        <v>207</v>
      </c>
      <c r="J77" s="400">
        <v>10</v>
      </c>
      <c r="K77" s="195" t="s">
        <v>197</v>
      </c>
      <c r="L77" s="170">
        <f t="shared" si="4"/>
        <v>10</v>
      </c>
      <c r="M77" s="1094"/>
      <c r="N77" s="247">
        <v>43942</v>
      </c>
      <c r="O77" s="201" t="s">
        <v>219</v>
      </c>
      <c r="P77" s="201"/>
      <c r="Q77" s="201"/>
      <c r="R77" s="201" t="s">
        <v>4</v>
      </c>
      <c r="S77" s="201"/>
      <c r="T77" s="201" t="s">
        <v>178</v>
      </c>
      <c r="U77" s="1097"/>
      <c r="V77" s="191"/>
      <c r="X77" s="239">
        <f t="shared" si="3"/>
        <v>0.01</v>
      </c>
    </row>
    <row r="78" spans="1:24" ht="15.75">
      <c r="A78" s="250">
        <v>13</v>
      </c>
      <c r="B78" s="20" t="s">
        <v>297</v>
      </c>
      <c r="C78" s="357">
        <v>43945</v>
      </c>
      <c r="D78" s="273" t="s">
        <v>18</v>
      </c>
      <c r="E78" s="405" t="s">
        <v>298</v>
      </c>
      <c r="F78" s="196" t="s">
        <v>299</v>
      </c>
      <c r="G78" s="205" t="s">
        <v>179</v>
      </c>
      <c r="H78" s="184">
        <v>4</v>
      </c>
      <c r="I78" s="261" t="s">
        <v>207</v>
      </c>
      <c r="J78" s="399">
        <v>4</v>
      </c>
      <c r="K78" s="185" t="s">
        <v>197</v>
      </c>
      <c r="L78" s="165">
        <f t="shared" si="4"/>
        <v>16</v>
      </c>
      <c r="M78" s="1092">
        <v>24</v>
      </c>
      <c r="N78" s="357">
        <v>43945</v>
      </c>
      <c r="O78" s="197" t="s">
        <v>219</v>
      </c>
      <c r="P78" s="197"/>
      <c r="Q78" s="197"/>
      <c r="R78" s="197" t="s">
        <v>4</v>
      </c>
      <c r="S78" s="197"/>
      <c r="T78" s="197" t="s">
        <v>178</v>
      </c>
      <c r="U78" s="1068">
        <f>239.02*U10</f>
        <v>5636091.6000000006</v>
      </c>
      <c r="V78" s="242"/>
      <c r="X78" s="239">
        <f t="shared" ref="X78:X141" si="5">L78/1000</f>
        <v>1.6E-2</v>
      </c>
    </row>
    <row r="79" spans="1:24" ht="15.75">
      <c r="A79" s="251">
        <v>13</v>
      </c>
      <c r="B79" s="17" t="s">
        <v>297</v>
      </c>
      <c r="C79" s="358">
        <v>43945</v>
      </c>
      <c r="D79" s="274" t="s">
        <v>18</v>
      </c>
      <c r="E79" s="407" t="s">
        <v>298</v>
      </c>
      <c r="F79" s="190" t="s">
        <v>300</v>
      </c>
      <c r="G79" s="199" t="s">
        <v>214</v>
      </c>
      <c r="H79" s="188">
        <v>1</v>
      </c>
      <c r="I79" s="368" t="s">
        <v>207</v>
      </c>
      <c r="J79" s="275">
        <v>2</v>
      </c>
      <c r="K79" s="189" t="s">
        <v>197</v>
      </c>
      <c r="L79" s="167">
        <f t="shared" si="4"/>
        <v>2</v>
      </c>
      <c r="M79" s="1093"/>
      <c r="N79" s="358">
        <v>43945</v>
      </c>
      <c r="O79" s="198" t="s">
        <v>219</v>
      </c>
      <c r="P79" s="198"/>
      <c r="Q79" s="198"/>
      <c r="R79" s="198" t="s">
        <v>4</v>
      </c>
      <c r="S79" s="198"/>
      <c r="T79" s="198" t="s">
        <v>178</v>
      </c>
      <c r="U79" s="1069"/>
      <c r="V79" s="241"/>
      <c r="X79" s="239">
        <f t="shared" si="5"/>
        <v>2E-3</v>
      </c>
    </row>
    <row r="80" spans="1:24" ht="15.75">
      <c r="A80" s="251">
        <v>13</v>
      </c>
      <c r="B80" s="17" t="s">
        <v>297</v>
      </c>
      <c r="C80" s="358">
        <v>43945</v>
      </c>
      <c r="D80" s="274" t="s">
        <v>18</v>
      </c>
      <c r="E80" s="407" t="s">
        <v>298</v>
      </c>
      <c r="F80" s="190" t="s">
        <v>301</v>
      </c>
      <c r="G80" s="199" t="s">
        <v>214</v>
      </c>
      <c r="H80" s="188">
        <v>1</v>
      </c>
      <c r="I80" s="368" t="s">
        <v>207</v>
      </c>
      <c r="J80" s="275">
        <v>2</v>
      </c>
      <c r="K80" s="189" t="s">
        <v>197</v>
      </c>
      <c r="L80" s="167">
        <f t="shared" si="4"/>
        <v>2</v>
      </c>
      <c r="M80" s="1093"/>
      <c r="N80" s="358">
        <v>43945</v>
      </c>
      <c r="O80" s="198" t="s">
        <v>219</v>
      </c>
      <c r="P80" s="198"/>
      <c r="Q80" s="198"/>
      <c r="R80" s="198" t="s">
        <v>4</v>
      </c>
      <c r="S80" s="198"/>
      <c r="T80" s="198" t="s">
        <v>178</v>
      </c>
      <c r="U80" s="1069"/>
      <c r="V80" s="241"/>
      <c r="X80" s="239">
        <f t="shared" si="5"/>
        <v>2E-3</v>
      </c>
    </row>
    <row r="81" spans="1:32" ht="15.75">
      <c r="A81" s="251">
        <v>13</v>
      </c>
      <c r="B81" s="17" t="s">
        <v>297</v>
      </c>
      <c r="C81" s="358">
        <v>43945</v>
      </c>
      <c r="D81" s="274" t="s">
        <v>18</v>
      </c>
      <c r="E81" s="407" t="s">
        <v>298</v>
      </c>
      <c r="F81" s="190" t="s">
        <v>302</v>
      </c>
      <c r="G81" s="199" t="s">
        <v>246</v>
      </c>
      <c r="H81" s="188">
        <v>8</v>
      </c>
      <c r="I81" s="368" t="s">
        <v>207</v>
      </c>
      <c r="J81" s="275">
        <v>2.5</v>
      </c>
      <c r="K81" s="189" t="s">
        <v>197</v>
      </c>
      <c r="L81" s="167">
        <f t="shared" si="4"/>
        <v>20</v>
      </c>
      <c r="M81" s="1093"/>
      <c r="N81" s="358">
        <v>43945</v>
      </c>
      <c r="O81" s="198" t="s">
        <v>219</v>
      </c>
      <c r="P81" s="198"/>
      <c r="Q81" s="198"/>
      <c r="R81" s="198" t="s">
        <v>4</v>
      </c>
      <c r="S81" s="198"/>
      <c r="T81" s="198" t="s">
        <v>178</v>
      </c>
      <c r="U81" s="1069"/>
      <c r="V81" s="241"/>
      <c r="X81" s="239">
        <f t="shared" si="5"/>
        <v>0.02</v>
      </c>
    </row>
    <row r="82" spans="1:32" ht="15.75">
      <c r="A82" s="251">
        <v>13</v>
      </c>
      <c r="B82" s="17" t="s">
        <v>297</v>
      </c>
      <c r="C82" s="358">
        <v>43945</v>
      </c>
      <c r="D82" s="274" t="s">
        <v>18</v>
      </c>
      <c r="E82" s="407" t="s">
        <v>298</v>
      </c>
      <c r="F82" s="190" t="s">
        <v>303</v>
      </c>
      <c r="G82" s="199" t="s">
        <v>246</v>
      </c>
      <c r="H82" s="188">
        <v>9</v>
      </c>
      <c r="I82" s="368" t="s">
        <v>207</v>
      </c>
      <c r="J82" s="275">
        <v>2.5</v>
      </c>
      <c r="K82" s="189" t="s">
        <v>197</v>
      </c>
      <c r="L82" s="167">
        <f t="shared" si="4"/>
        <v>22.5</v>
      </c>
      <c r="M82" s="1093"/>
      <c r="N82" s="358">
        <v>43945</v>
      </c>
      <c r="O82" s="198" t="s">
        <v>219</v>
      </c>
      <c r="P82" s="198"/>
      <c r="Q82" s="198"/>
      <c r="R82" s="198" t="s">
        <v>4</v>
      </c>
      <c r="S82" s="198"/>
      <c r="T82" s="198" t="s">
        <v>178</v>
      </c>
      <c r="U82" s="1069"/>
      <c r="V82" s="241"/>
      <c r="X82" s="239">
        <f t="shared" si="5"/>
        <v>2.2499999999999999E-2</v>
      </c>
    </row>
    <row r="83" spans="1:32" s="7" customFormat="1" ht="31.5">
      <c r="A83" s="251">
        <v>13</v>
      </c>
      <c r="B83" s="17" t="s">
        <v>297</v>
      </c>
      <c r="C83" s="358">
        <v>43945</v>
      </c>
      <c r="D83" s="274" t="s">
        <v>18</v>
      </c>
      <c r="E83" s="407" t="s">
        <v>298</v>
      </c>
      <c r="F83" s="190" t="s">
        <v>304</v>
      </c>
      <c r="G83" s="199" t="s">
        <v>305</v>
      </c>
      <c r="H83" s="188">
        <v>13</v>
      </c>
      <c r="I83" s="368" t="s">
        <v>207</v>
      </c>
      <c r="J83" s="275">
        <v>3</v>
      </c>
      <c r="K83" s="189" t="s">
        <v>197</v>
      </c>
      <c r="L83" s="167">
        <f t="shared" si="4"/>
        <v>39</v>
      </c>
      <c r="M83" s="1093"/>
      <c r="N83" s="358">
        <v>43945</v>
      </c>
      <c r="O83" s="198" t="s">
        <v>219</v>
      </c>
      <c r="P83" s="198"/>
      <c r="Q83" s="198"/>
      <c r="R83" s="198" t="s">
        <v>4</v>
      </c>
      <c r="S83" s="198"/>
      <c r="T83" s="198" t="s">
        <v>178</v>
      </c>
      <c r="U83" s="1069"/>
      <c r="V83" s="241"/>
      <c r="W83"/>
      <c r="X83" s="239">
        <f t="shared" si="5"/>
        <v>3.9E-2</v>
      </c>
      <c r="Y83"/>
      <c r="Z83"/>
      <c r="AA83"/>
      <c r="AB83"/>
      <c r="AC83"/>
      <c r="AD83"/>
      <c r="AE83"/>
      <c r="AF83"/>
    </row>
    <row r="84" spans="1:32" s="7" customFormat="1" ht="31.5">
      <c r="A84" s="251">
        <v>13</v>
      </c>
      <c r="B84" s="17" t="s">
        <v>297</v>
      </c>
      <c r="C84" s="358">
        <v>43945</v>
      </c>
      <c r="D84" s="274" t="s">
        <v>18</v>
      </c>
      <c r="E84" s="407" t="s">
        <v>298</v>
      </c>
      <c r="F84" s="190" t="s">
        <v>306</v>
      </c>
      <c r="G84" s="199" t="s">
        <v>307</v>
      </c>
      <c r="H84" s="188">
        <v>5</v>
      </c>
      <c r="I84" s="368" t="s">
        <v>207</v>
      </c>
      <c r="J84" s="275">
        <v>5</v>
      </c>
      <c r="K84" s="189" t="s">
        <v>197</v>
      </c>
      <c r="L84" s="167">
        <f t="shared" si="4"/>
        <v>25</v>
      </c>
      <c r="M84" s="1093"/>
      <c r="N84" s="358">
        <v>43945</v>
      </c>
      <c r="O84" s="198" t="s">
        <v>219</v>
      </c>
      <c r="P84" s="198"/>
      <c r="Q84" s="198"/>
      <c r="R84" s="198" t="s">
        <v>4</v>
      </c>
      <c r="S84" s="198"/>
      <c r="T84" s="198" t="s">
        <v>178</v>
      </c>
      <c r="U84" s="1069"/>
      <c r="V84" s="241"/>
      <c r="W84"/>
      <c r="X84" s="239">
        <f t="shared" si="5"/>
        <v>2.5000000000000001E-2</v>
      </c>
      <c r="Y84"/>
      <c r="Z84"/>
      <c r="AA84"/>
      <c r="AB84"/>
      <c r="AC84"/>
      <c r="AD84"/>
      <c r="AE84"/>
      <c r="AF84"/>
    </row>
    <row r="85" spans="1:32" ht="15.75">
      <c r="A85" s="251">
        <v>13</v>
      </c>
      <c r="B85" s="17" t="s">
        <v>297</v>
      </c>
      <c r="C85" s="358">
        <v>43945</v>
      </c>
      <c r="D85" s="274" t="s">
        <v>18</v>
      </c>
      <c r="E85" s="407" t="s">
        <v>298</v>
      </c>
      <c r="F85" s="190" t="s">
        <v>308</v>
      </c>
      <c r="G85" s="199" t="s">
        <v>309</v>
      </c>
      <c r="H85" s="188">
        <v>10</v>
      </c>
      <c r="I85" s="368" t="s">
        <v>207</v>
      </c>
      <c r="J85" s="275">
        <v>5</v>
      </c>
      <c r="K85" s="189" t="s">
        <v>197</v>
      </c>
      <c r="L85" s="167">
        <f t="shared" si="4"/>
        <v>50</v>
      </c>
      <c r="M85" s="1093"/>
      <c r="N85" s="358">
        <v>43945</v>
      </c>
      <c r="O85" s="198" t="s">
        <v>219</v>
      </c>
      <c r="P85" s="198"/>
      <c r="Q85" s="198"/>
      <c r="R85" s="198" t="s">
        <v>4</v>
      </c>
      <c r="S85" s="198"/>
      <c r="T85" s="198" t="s">
        <v>178</v>
      </c>
      <c r="U85" s="1069"/>
      <c r="V85" s="241"/>
      <c r="X85" s="239">
        <f t="shared" si="5"/>
        <v>0.05</v>
      </c>
    </row>
    <row r="86" spans="1:32" ht="15.75">
      <c r="A86" s="252">
        <v>13</v>
      </c>
      <c r="B86" s="3" t="s">
        <v>297</v>
      </c>
      <c r="C86" s="359">
        <v>43945</v>
      </c>
      <c r="D86" s="277" t="s">
        <v>18</v>
      </c>
      <c r="E86" s="406" t="s">
        <v>298</v>
      </c>
      <c r="F86" s="193" t="s">
        <v>310</v>
      </c>
      <c r="G86" s="200" t="s">
        <v>204</v>
      </c>
      <c r="H86" s="194">
        <v>1</v>
      </c>
      <c r="I86" s="262" t="s">
        <v>207</v>
      </c>
      <c r="J86" s="400">
        <v>6</v>
      </c>
      <c r="K86" s="195" t="s">
        <v>197</v>
      </c>
      <c r="L86" s="170">
        <f t="shared" si="4"/>
        <v>6</v>
      </c>
      <c r="M86" s="1094"/>
      <c r="N86" s="359">
        <v>43945</v>
      </c>
      <c r="O86" s="201" t="s">
        <v>219</v>
      </c>
      <c r="P86" s="201"/>
      <c r="Q86" s="201"/>
      <c r="R86" s="201" t="s">
        <v>4</v>
      </c>
      <c r="S86" s="201"/>
      <c r="T86" s="201" t="s">
        <v>178</v>
      </c>
      <c r="U86" s="1070"/>
      <c r="V86" s="240"/>
      <c r="X86" s="239">
        <f t="shared" si="5"/>
        <v>6.0000000000000001E-3</v>
      </c>
    </row>
    <row r="87" spans="1:32" ht="30" hidden="1">
      <c r="A87" s="206">
        <v>14</v>
      </c>
      <c r="B87" s="5" t="s">
        <v>311</v>
      </c>
      <c r="C87" s="361">
        <v>43945</v>
      </c>
      <c r="D87" s="397" t="s">
        <v>18</v>
      </c>
      <c r="E87" s="402" t="s">
        <v>314</v>
      </c>
      <c r="F87" s="390" t="s">
        <v>312</v>
      </c>
      <c r="G87" s="401" t="s">
        <v>313</v>
      </c>
      <c r="H87" s="392">
        <v>7</v>
      </c>
      <c r="I87" s="393" t="s">
        <v>207</v>
      </c>
      <c r="J87" s="394">
        <v>2</v>
      </c>
      <c r="K87" s="203" t="s">
        <v>197</v>
      </c>
      <c r="L87" s="159">
        <f t="shared" si="4"/>
        <v>14</v>
      </c>
      <c r="M87" s="398">
        <v>0.99</v>
      </c>
      <c r="N87" s="220">
        <v>43945</v>
      </c>
      <c r="O87" s="204" t="s">
        <v>219</v>
      </c>
      <c r="P87" s="204"/>
      <c r="Q87" s="204"/>
      <c r="R87" s="204" t="s">
        <v>7</v>
      </c>
      <c r="S87" s="204"/>
      <c r="T87" s="204" t="s">
        <v>178</v>
      </c>
      <c r="U87" s="398">
        <f>30.95*U10</f>
        <v>729801</v>
      </c>
      <c r="V87" s="10"/>
      <c r="X87" s="239">
        <f t="shared" si="5"/>
        <v>1.4E-2</v>
      </c>
    </row>
    <row r="88" spans="1:32" ht="15.75">
      <c r="A88" s="251"/>
      <c r="B88" s="17"/>
      <c r="C88" s="358"/>
      <c r="D88" s="274"/>
      <c r="E88" s="187"/>
      <c r="F88" s="17"/>
      <c r="G88" s="17"/>
      <c r="H88" s="207"/>
      <c r="I88" s="208"/>
      <c r="J88" s="276"/>
      <c r="K88" s="189"/>
      <c r="L88" s="167"/>
      <c r="M88" s="198"/>
      <c r="N88" s="212"/>
      <c r="O88" s="198"/>
      <c r="P88" s="198"/>
      <c r="Q88" s="198"/>
      <c r="R88" s="198"/>
      <c r="S88" s="198"/>
      <c r="T88" s="198"/>
      <c r="U88" s="241"/>
      <c r="V88" s="24"/>
      <c r="X88" s="239">
        <f t="shared" si="5"/>
        <v>0</v>
      </c>
    </row>
    <row r="89" spans="1:32" ht="15.75">
      <c r="A89" s="251"/>
      <c r="B89" s="17"/>
      <c r="C89" s="358"/>
      <c r="D89" s="274"/>
      <c r="E89" s="187"/>
      <c r="F89" s="17"/>
      <c r="G89" s="17"/>
      <c r="H89" s="207"/>
      <c r="I89" s="208"/>
      <c r="J89" s="276"/>
      <c r="K89" s="189"/>
      <c r="L89" s="167"/>
      <c r="M89" s="198"/>
      <c r="N89" s="212"/>
      <c r="O89" s="198"/>
      <c r="P89" s="198"/>
      <c r="Q89" s="198"/>
      <c r="R89" s="198"/>
      <c r="S89" s="198"/>
      <c r="T89" s="198"/>
      <c r="U89" s="241"/>
      <c r="V89" s="24"/>
      <c r="X89" s="239">
        <f t="shared" si="5"/>
        <v>0</v>
      </c>
    </row>
    <row r="90" spans="1:32" ht="15.75">
      <c r="A90" s="252"/>
      <c r="B90" s="3"/>
      <c r="C90" s="358"/>
      <c r="D90" s="277"/>
      <c r="E90" s="192"/>
      <c r="F90" s="3"/>
      <c r="G90" s="3"/>
      <c r="H90" s="209"/>
      <c r="I90" s="210"/>
      <c r="J90" s="278"/>
      <c r="K90" s="195"/>
      <c r="L90" s="170"/>
      <c r="M90" s="201"/>
      <c r="N90" s="215"/>
      <c r="O90" s="201"/>
      <c r="P90" s="201"/>
      <c r="Q90" s="201"/>
      <c r="R90" s="201"/>
      <c r="S90" s="201"/>
      <c r="T90" s="201"/>
      <c r="U90" s="240"/>
      <c r="V90" s="408"/>
      <c r="X90" s="239">
        <f t="shared" si="5"/>
        <v>0</v>
      </c>
    </row>
    <row r="91" spans="1:32" ht="15.75">
      <c r="A91" s="250"/>
      <c r="B91" s="20"/>
      <c r="C91" s="357"/>
      <c r="D91" s="273"/>
      <c r="E91" s="261"/>
      <c r="F91" s="19"/>
      <c r="G91" s="20"/>
      <c r="H91" s="279"/>
      <c r="I91" s="280"/>
      <c r="J91" s="281"/>
      <c r="K91" s="185"/>
      <c r="L91" s="165"/>
      <c r="M91" s="372"/>
      <c r="N91" s="261"/>
      <c r="O91" s="198"/>
      <c r="P91" s="279"/>
      <c r="Q91" s="20"/>
      <c r="R91" s="182"/>
      <c r="S91" s="182"/>
      <c r="T91" s="182"/>
      <c r="U91" s="1080"/>
      <c r="V91" s="23"/>
      <c r="X91" s="239">
        <f t="shared" si="5"/>
        <v>0</v>
      </c>
    </row>
    <row r="92" spans="1:32" ht="15.75">
      <c r="A92" s="252"/>
      <c r="B92" s="3"/>
      <c r="C92" s="359"/>
      <c r="D92" s="277"/>
      <c r="E92" s="262"/>
      <c r="F92" s="22"/>
      <c r="G92" s="3"/>
      <c r="H92" s="209"/>
      <c r="I92" s="210"/>
      <c r="J92" s="278"/>
      <c r="K92" s="195"/>
      <c r="L92" s="170"/>
      <c r="M92" s="373"/>
      <c r="N92" s="262"/>
      <c r="O92" s="198"/>
      <c r="P92" s="209"/>
      <c r="Q92" s="3"/>
      <c r="R92" s="191"/>
      <c r="S92" s="191"/>
      <c r="T92" s="191"/>
      <c r="U92" s="1081"/>
      <c r="V92" s="6"/>
      <c r="X92" s="239">
        <f t="shared" si="5"/>
        <v>0</v>
      </c>
    </row>
    <row r="93" spans="1:32" ht="31.5" customHeight="1">
      <c r="A93" s="206"/>
      <c r="B93" s="219"/>
      <c r="C93" s="358"/>
      <c r="D93" s="290"/>
      <c r="E93" s="221"/>
      <c r="F93" s="4"/>
      <c r="G93" s="5"/>
      <c r="H93" s="217"/>
      <c r="I93" s="218"/>
      <c r="J93" s="291"/>
      <c r="K93" s="203"/>
      <c r="L93" s="159"/>
      <c r="M93" s="223"/>
      <c r="N93" s="220"/>
      <c r="O93" s="204"/>
      <c r="P93" s="217"/>
      <c r="Q93" s="5"/>
      <c r="R93" s="202"/>
      <c r="S93" s="10"/>
      <c r="T93" s="220"/>
      <c r="U93" s="292"/>
      <c r="V93" s="10"/>
      <c r="X93" s="239">
        <f t="shared" si="5"/>
        <v>0</v>
      </c>
    </row>
    <row r="94" spans="1:32" ht="15.75">
      <c r="A94" s="206"/>
      <c r="B94" s="219"/>
      <c r="C94" s="360"/>
      <c r="D94" s="290"/>
      <c r="E94" s="221"/>
      <c r="F94" s="4"/>
      <c r="G94" s="5"/>
      <c r="H94" s="217"/>
      <c r="I94" s="218"/>
      <c r="J94" s="291"/>
      <c r="K94" s="203"/>
      <c r="L94" s="159"/>
      <c r="M94" s="223"/>
      <c r="N94" s="222"/>
      <c r="O94" s="204"/>
      <c r="P94" s="217"/>
      <c r="Q94" s="5"/>
      <c r="R94" s="202"/>
      <c r="S94" s="10"/>
      <c r="T94" s="220"/>
      <c r="U94" s="292"/>
      <c r="V94" s="10"/>
      <c r="X94" s="239">
        <f t="shared" si="5"/>
        <v>0</v>
      </c>
    </row>
    <row r="95" spans="1:32" ht="15.75">
      <c r="A95" s="253"/>
      <c r="B95" s="296"/>
      <c r="C95" s="358"/>
      <c r="D95" s="297"/>
      <c r="E95" s="298"/>
      <c r="F95" s="20"/>
      <c r="G95" s="20"/>
      <c r="H95" s="300"/>
      <c r="I95" s="300"/>
      <c r="J95" s="281"/>
      <c r="K95" s="185"/>
      <c r="L95" s="165"/>
      <c r="M95" s="197"/>
      <c r="N95" s="301"/>
      <c r="O95" s="197"/>
      <c r="P95" s="300"/>
      <c r="Q95" s="299"/>
      <c r="R95" s="197"/>
      <c r="S95" s="302"/>
      <c r="T95" s="197"/>
      <c r="U95" s="1080"/>
      <c r="V95" s="303"/>
      <c r="X95" s="239">
        <f t="shared" si="5"/>
        <v>0</v>
      </c>
    </row>
    <row r="96" spans="1:32" ht="15.75">
      <c r="A96" s="254"/>
      <c r="B96" s="211"/>
      <c r="C96" s="358"/>
      <c r="D96" s="295"/>
      <c r="E96" s="231"/>
      <c r="F96" s="17"/>
      <c r="G96" s="17"/>
      <c r="H96" s="229"/>
      <c r="I96" s="229"/>
      <c r="J96" s="276"/>
      <c r="K96" s="189"/>
      <c r="L96" s="167"/>
      <c r="M96" s="198"/>
      <c r="N96" s="232"/>
      <c r="O96" s="198"/>
      <c r="P96" s="229"/>
      <c r="Q96" s="226"/>
      <c r="R96" s="198"/>
      <c r="S96" s="228"/>
      <c r="T96" s="198"/>
      <c r="U96" s="1082"/>
      <c r="V96" s="304"/>
      <c r="X96" s="239">
        <f t="shared" si="5"/>
        <v>0</v>
      </c>
    </row>
    <row r="97" spans="1:24" ht="15.75">
      <c r="A97" s="254"/>
      <c r="B97" s="211"/>
      <c r="C97" s="358"/>
      <c r="D97" s="295"/>
      <c r="E97" s="231"/>
      <c r="F97" s="17"/>
      <c r="G97" s="17"/>
      <c r="H97" s="229"/>
      <c r="I97" s="229"/>
      <c r="J97" s="276"/>
      <c r="K97" s="189"/>
      <c r="L97" s="167"/>
      <c r="M97" s="198"/>
      <c r="N97" s="232"/>
      <c r="O97" s="198"/>
      <c r="P97" s="229"/>
      <c r="Q97" s="226"/>
      <c r="R97" s="198"/>
      <c r="S97" s="228"/>
      <c r="T97" s="198"/>
      <c r="U97" s="1082"/>
      <c r="V97" s="304"/>
      <c r="X97" s="239">
        <f t="shared" si="5"/>
        <v>0</v>
      </c>
    </row>
    <row r="98" spans="1:24" ht="15.75">
      <c r="A98" s="254"/>
      <c r="B98" s="211"/>
      <c r="C98" s="358"/>
      <c r="D98" s="295"/>
      <c r="E98" s="231"/>
      <c r="F98" s="17"/>
      <c r="G98" s="17"/>
      <c r="H98" s="229"/>
      <c r="I98" s="227"/>
      <c r="J98" s="276"/>
      <c r="K98" s="189"/>
      <c r="L98" s="167"/>
      <c r="M98" s="198"/>
      <c r="N98" s="232"/>
      <c r="O98" s="198"/>
      <c r="P98" s="229"/>
      <c r="Q98" s="226"/>
      <c r="R98" s="198"/>
      <c r="S98" s="228"/>
      <c r="T98" s="198"/>
      <c r="U98" s="1082"/>
      <c r="V98" s="304"/>
      <c r="X98" s="239">
        <f t="shared" si="5"/>
        <v>0</v>
      </c>
    </row>
    <row r="99" spans="1:24" ht="15.75">
      <c r="A99" s="254"/>
      <c r="B99" s="211"/>
      <c r="C99" s="358"/>
      <c r="D99" s="295"/>
      <c r="E99" s="231"/>
      <c r="F99" s="17"/>
      <c r="G99" s="17"/>
      <c r="H99" s="229"/>
      <c r="I99" s="227"/>
      <c r="J99" s="276"/>
      <c r="K99" s="189"/>
      <c r="L99" s="167"/>
      <c r="M99" s="198"/>
      <c r="N99" s="232"/>
      <c r="O99" s="198"/>
      <c r="P99" s="229"/>
      <c r="Q99" s="226"/>
      <c r="R99" s="198"/>
      <c r="S99" s="228"/>
      <c r="T99" s="198"/>
      <c r="U99" s="1082"/>
      <c r="V99" s="304"/>
      <c r="X99" s="239">
        <f t="shared" si="5"/>
        <v>0</v>
      </c>
    </row>
    <row r="100" spans="1:24" ht="15.75">
      <c r="A100" s="254"/>
      <c r="B100" s="211"/>
      <c r="C100" s="358"/>
      <c r="D100" s="295"/>
      <c r="E100" s="231"/>
      <c r="F100" s="21"/>
      <c r="G100" s="21"/>
      <c r="H100" s="229"/>
      <c r="I100" s="305"/>
      <c r="J100" s="320"/>
      <c r="K100" s="189"/>
      <c r="L100" s="167"/>
      <c r="M100" s="198"/>
      <c r="N100" s="232"/>
      <c r="O100" s="198"/>
      <c r="P100" s="306"/>
      <c r="Q100" s="230"/>
      <c r="R100" s="198"/>
      <c r="S100" s="307"/>
      <c r="T100" s="198"/>
      <c r="U100" s="1082"/>
      <c r="V100" s="308"/>
      <c r="X100" s="239">
        <f t="shared" si="5"/>
        <v>0</v>
      </c>
    </row>
    <row r="101" spans="1:24" ht="15.75">
      <c r="A101" s="254"/>
      <c r="B101" s="211"/>
      <c r="C101" s="358"/>
      <c r="D101" s="295"/>
      <c r="E101" s="231"/>
      <c r="F101" s="21"/>
      <c r="G101" s="21"/>
      <c r="H101" s="229"/>
      <c r="I101" s="305"/>
      <c r="J101" s="320"/>
      <c r="K101" s="189"/>
      <c r="L101" s="167"/>
      <c r="M101" s="198"/>
      <c r="N101" s="232"/>
      <c r="O101" s="198"/>
      <c r="P101" s="306"/>
      <c r="Q101" s="230"/>
      <c r="R101" s="198"/>
      <c r="S101" s="307"/>
      <c r="T101" s="198"/>
      <c r="U101" s="1082"/>
      <c r="V101" s="308"/>
      <c r="X101" s="239">
        <f t="shared" si="5"/>
        <v>0</v>
      </c>
    </row>
    <row r="102" spans="1:24" ht="15.75">
      <c r="A102" s="254"/>
      <c r="B102" s="211"/>
      <c r="C102" s="358"/>
      <c r="D102" s="295"/>
      <c r="E102" s="231"/>
      <c r="F102" s="21"/>
      <c r="G102" s="21"/>
      <c r="H102" s="229"/>
      <c r="I102" s="305"/>
      <c r="J102" s="320"/>
      <c r="K102" s="189"/>
      <c r="L102" s="167"/>
      <c r="M102" s="198"/>
      <c r="N102" s="232"/>
      <c r="O102" s="198"/>
      <c r="P102" s="306"/>
      <c r="Q102" s="230"/>
      <c r="R102" s="198"/>
      <c r="S102" s="307"/>
      <c r="T102" s="198"/>
      <c r="U102" s="1082"/>
      <c r="V102" s="308"/>
      <c r="X102" s="239">
        <f t="shared" si="5"/>
        <v>0</v>
      </c>
    </row>
    <row r="103" spans="1:24" ht="15.75">
      <c r="A103" s="254"/>
      <c r="B103" s="211"/>
      <c r="C103" s="358"/>
      <c r="D103" s="295"/>
      <c r="E103" s="231"/>
      <c r="F103" s="21"/>
      <c r="G103" s="21"/>
      <c r="H103" s="229"/>
      <c r="I103" s="305"/>
      <c r="J103" s="320"/>
      <c r="K103" s="189"/>
      <c r="L103" s="167"/>
      <c r="M103" s="198"/>
      <c r="N103" s="232"/>
      <c r="O103" s="198"/>
      <c r="P103" s="306"/>
      <c r="Q103" s="230"/>
      <c r="R103" s="198"/>
      <c r="S103" s="307"/>
      <c r="T103" s="198"/>
      <c r="U103" s="1082"/>
      <c r="V103" s="308"/>
      <c r="X103" s="239">
        <f t="shared" si="5"/>
        <v>0</v>
      </c>
    </row>
    <row r="104" spans="1:24" ht="15.75">
      <c r="A104" s="255"/>
      <c r="B104" s="214"/>
      <c r="C104" s="358"/>
      <c r="D104" s="309"/>
      <c r="E104" s="310"/>
      <c r="F104" s="22"/>
      <c r="G104" s="22"/>
      <c r="H104" s="312"/>
      <c r="I104" s="313"/>
      <c r="J104" s="321"/>
      <c r="K104" s="195"/>
      <c r="L104" s="170"/>
      <c r="M104" s="201"/>
      <c r="N104" s="314"/>
      <c r="O104" s="201"/>
      <c r="P104" s="315"/>
      <c r="Q104" s="311"/>
      <c r="R104" s="201"/>
      <c r="S104" s="316"/>
      <c r="T104" s="201"/>
      <c r="U104" s="1081"/>
      <c r="V104" s="317"/>
      <c r="X104" s="239">
        <f t="shared" si="5"/>
        <v>0</v>
      </c>
    </row>
    <row r="105" spans="1:24" ht="15.75">
      <c r="A105" s="282"/>
      <c r="B105" s="296"/>
      <c r="C105" s="351"/>
      <c r="D105" s="297"/>
      <c r="E105" s="285"/>
      <c r="F105" s="19"/>
      <c r="G105" s="19"/>
      <c r="H105" s="279"/>
      <c r="I105" s="175"/>
      <c r="J105" s="318"/>
      <c r="K105" s="185"/>
      <c r="L105" s="165"/>
      <c r="M105" s="173"/>
      <c r="N105" s="319"/>
      <c r="O105" s="197"/>
      <c r="P105" s="176"/>
      <c r="Q105" s="19"/>
      <c r="R105" s="197"/>
      <c r="S105" s="288"/>
      <c r="T105" s="197"/>
      <c r="U105" s="1068"/>
      <c r="V105" s="288"/>
      <c r="X105" s="239">
        <f t="shared" si="5"/>
        <v>0</v>
      </c>
    </row>
    <row r="106" spans="1:24" ht="15.75">
      <c r="A106" s="283"/>
      <c r="B106" s="211"/>
      <c r="C106" s="352"/>
      <c r="D106" s="295"/>
      <c r="E106" s="286"/>
      <c r="F106" s="21"/>
      <c r="G106" s="21"/>
      <c r="H106" s="207"/>
      <c r="I106" s="177"/>
      <c r="J106" s="320"/>
      <c r="K106" s="189"/>
      <c r="L106" s="167"/>
      <c r="M106" s="174"/>
      <c r="N106" s="213"/>
      <c r="O106" s="198"/>
      <c r="P106" s="178"/>
      <c r="Q106" s="21"/>
      <c r="R106" s="198"/>
      <c r="S106" s="289"/>
      <c r="T106" s="198"/>
      <c r="U106" s="1069"/>
      <c r="V106" s="289"/>
      <c r="X106" s="239">
        <f t="shared" si="5"/>
        <v>0</v>
      </c>
    </row>
    <row r="107" spans="1:24" ht="15.75">
      <c r="A107" s="283"/>
      <c r="B107" s="211"/>
      <c r="C107" s="352"/>
      <c r="D107" s="295"/>
      <c r="E107" s="286"/>
      <c r="F107" s="21"/>
      <c r="G107" s="21"/>
      <c r="H107" s="207"/>
      <c r="I107" s="177"/>
      <c r="J107" s="320"/>
      <c r="K107" s="189"/>
      <c r="L107" s="167"/>
      <c r="M107" s="174"/>
      <c r="N107" s="213"/>
      <c r="O107" s="198"/>
      <c r="P107" s="178"/>
      <c r="Q107" s="21"/>
      <c r="R107" s="198"/>
      <c r="S107" s="289"/>
      <c r="T107" s="198"/>
      <c r="U107" s="1069"/>
      <c r="V107" s="289"/>
      <c r="X107" s="239">
        <f t="shared" si="5"/>
        <v>0</v>
      </c>
    </row>
    <row r="108" spans="1:24" ht="15.75">
      <c r="A108" s="283"/>
      <c r="B108" s="211"/>
      <c r="C108" s="352"/>
      <c r="D108" s="295"/>
      <c r="E108" s="286"/>
      <c r="F108" s="21"/>
      <c r="G108" s="21"/>
      <c r="H108" s="207"/>
      <c r="I108" s="177"/>
      <c r="J108" s="320"/>
      <c r="K108" s="189"/>
      <c r="L108" s="167"/>
      <c r="M108" s="174"/>
      <c r="N108" s="213"/>
      <c r="O108" s="198"/>
      <c r="P108" s="178"/>
      <c r="Q108" s="21"/>
      <c r="R108" s="198"/>
      <c r="S108" s="289"/>
      <c r="T108" s="198"/>
      <c r="U108" s="1069"/>
      <c r="V108" s="289"/>
      <c r="X108" s="239">
        <f t="shared" si="5"/>
        <v>0</v>
      </c>
    </row>
    <row r="109" spans="1:24" ht="15.75">
      <c r="A109" s="283"/>
      <c r="B109" s="211"/>
      <c r="C109" s="352"/>
      <c r="D109" s="295"/>
      <c r="E109" s="286"/>
      <c r="F109" s="21"/>
      <c r="G109" s="21"/>
      <c r="H109" s="207"/>
      <c r="I109" s="177"/>
      <c r="J109" s="320"/>
      <c r="K109" s="189"/>
      <c r="L109" s="167"/>
      <c r="M109" s="174"/>
      <c r="N109" s="213"/>
      <c r="O109" s="198"/>
      <c r="P109" s="178"/>
      <c r="Q109" s="21"/>
      <c r="R109" s="198"/>
      <c r="S109" s="289"/>
      <c r="T109" s="198"/>
      <c r="U109" s="1069"/>
      <c r="V109" s="289"/>
      <c r="X109" s="239">
        <f t="shared" si="5"/>
        <v>0</v>
      </c>
    </row>
    <row r="110" spans="1:24" ht="15.75">
      <c r="A110" s="283"/>
      <c r="B110" s="211"/>
      <c r="C110" s="352"/>
      <c r="D110" s="295"/>
      <c r="E110" s="286"/>
      <c r="F110" s="21"/>
      <c r="G110" s="21"/>
      <c r="H110" s="207"/>
      <c r="I110" s="177"/>
      <c r="J110" s="320"/>
      <c r="K110" s="189"/>
      <c r="L110" s="167"/>
      <c r="M110" s="174"/>
      <c r="N110" s="213"/>
      <c r="O110" s="198"/>
      <c r="P110" s="178"/>
      <c r="Q110" s="21"/>
      <c r="R110" s="198"/>
      <c r="S110" s="289"/>
      <c r="T110" s="198"/>
      <c r="U110" s="1069"/>
      <c r="V110" s="289"/>
      <c r="X110" s="239">
        <f t="shared" si="5"/>
        <v>0</v>
      </c>
    </row>
    <row r="111" spans="1:24" ht="15.75">
      <c r="A111" s="283"/>
      <c r="B111" s="211"/>
      <c r="C111" s="352"/>
      <c r="D111" s="295"/>
      <c r="E111" s="286"/>
      <c r="F111" s="21"/>
      <c r="G111" s="21"/>
      <c r="H111" s="207"/>
      <c r="I111" s="177"/>
      <c r="J111" s="320"/>
      <c r="K111" s="189"/>
      <c r="L111" s="167"/>
      <c r="M111" s="174"/>
      <c r="N111" s="213"/>
      <c r="O111" s="198"/>
      <c r="P111" s="178"/>
      <c r="Q111" s="21"/>
      <c r="R111" s="198"/>
      <c r="S111" s="289"/>
      <c r="T111" s="198"/>
      <c r="U111" s="1069"/>
      <c r="V111" s="289"/>
      <c r="X111" s="239">
        <f t="shared" si="5"/>
        <v>0</v>
      </c>
    </row>
    <row r="112" spans="1:24" ht="15.75">
      <c r="A112" s="283"/>
      <c r="B112" s="211"/>
      <c r="C112" s="352"/>
      <c r="D112" s="295"/>
      <c r="E112" s="286"/>
      <c r="F112" s="21"/>
      <c r="G112" s="21"/>
      <c r="H112" s="207"/>
      <c r="I112" s="177"/>
      <c r="J112" s="320"/>
      <c r="K112" s="189"/>
      <c r="L112" s="167"/>
      <c r="M112" s="174"/>
      <c r="N112" s="213"/>
      <c r="O112" s="198"/>
      <c r="P112" s="178"/>
      <c r="Q112" s="21"/>
      <c r="R112" s="198"/>
      <c r="S112" s="289"/>
      <c r="T112" s="198"/>
      <c r="U112" s="1069"/>
      <c r="V112" s="289"/>
      <c r="X112" s="239">
        <f t="shared" si="5"/>
        <v>0</v>
      </c>
    </row>
    <row r="113" spans="1:24" ht="15.75">
      <c r="A113" s="283"/>
      <c r="B113" s="211"/>
      <c r="C113" s="352"/>
      <c r="D113" s="295"/>
      <c r="E113" s="286"/>
      <c r="F113" s="21"/>
      <c r="G113" s="21"/>
      <c r="H113" s="207"/>
      <c r="I113" s="177"/>
      <c r="J113" s="320"/>
      <c r="K113" s="189"/>
      <c r="L113" s="167"/>
      <c r="M113" s="174"/>
      <c r="N113" s="213"/>
      <c r="O113" s="198"/>
      <c r="P113" s="178"/>
      <c r="Q113" s="21"/>
      <c r="R113" s="198"/>
      <c r="S113" s="289"/>
      <c r="T113" s="198"/>
      <c r="U113" s="1069"/>
      <c r="V113" s="289"/>
      <c r="X113" s="239">
        <f t="shared" si="5"/>
        <v>0</v>
      </c>
    </row>
    <row r="114" spans="1:24" ht="15.75">
      <c r="A114" s="283"/>
      <c r="B114" s="211"/>
      <c r="C114" s="352"/>
      <c r="D114" s="295"/>
      <c r="E114" s="286"/>
      <c r="F114" s="21"/>
      <c r="G114" s="21"/>
      <c r="H114" s="207"/>
      <c r="I114" s="177"/>
      <c r="J114" s="320"/>
      <c r="K114" s="189"/>
      <c r="L114" s="167"/>
      <c r="M114" s="174"/>
      <c r="N114" s="213"/>
      <c r="O114" s="198"/>
      <c r="P114" s="178"/>
      <c r="Q114" s="21"/>
      <c r="R114" s="198"/>
      <c r="S114" s="289"/>
      <c r="T114" s="198"/>
      <c r="U114" s="1069"/>
      <c r="V114" s="289"/>
      <c r="X114" s="239">
        <f t="shared" si="5"/>
        <v>0</v>
      </c>
    </row>
    <row r="115" spans="1:24" ht="15.75">
      <c r="A115" s="283"/>
      <c r="B115" s="211"/>
      <c r="C115" s="352"/>
      <c r="D115" s="295"/>
      <c r="E115" s="286"/>
      <c r="F115" s="21"/>
      <c r="G115" s="21"/>
      <c r="H115" s="207"/>
      <c r="I115" s="177"/>
      <c r="J115" s="320"/>
      <c r="K115" s="189"/>
      <c r="L115" s="167"/>
      <c r="M115" s="174"/>
      <c r="N115" s="213"/>
      <c r="O115" s="198"/>
      <c r="P115" s="178"/>
      <c r="Q115" s="21"/>
      <c r="R115" s="198"/>
      <c r="S115" s="289"/>
      <c r="T115" s="198"/>
      <c r="U115" s="1069"/>
      <c r="V115" s="289"/>
      <c r="X115" s="239">
        <f t="shared" si="5"/>
        <v>0</v>
      </c>
    </row>
    <row r="116" spans="1:24" ht="15.75">
      <c r="A116" s="283"/>
      <c r="B116" s="211"/>
      <c r="C116" s="352"/>
      <c r="D116" s="295"/>
      <c r="E116" s="286"/>
      <c r="F116" s="21"/>
      <c r="G116" s="21"/>
      <c r="H116" s="207"/>
      <c r="I116" s="177"/>
      <c r="J116" s="320"/>
      <c r="K116" s="189"/>
      <c r="L116" s="167"/>
      <c r="M116" s="174"/>
      <c r="N116" s="213"/>
      <c r="O116" s="198"/>
      <c r="P116" s="178"/>
      <c r="Q116" s="21"/>
      <c r="R116" s="198"/>
      <c r="S116" s="289"/>
      <c r="T116" s="198"/>
      <c r="U116" s="1069"/>
      <c r="V116" s="289"/>
      <c r="X116" s="239">
        <f t="shared" si="5"/>
        <v>0</v>
      </c>
    </row>
    <row r="117" spans="1:24" ht="15.75">
      <c r="A117" s="283"/>
      <c r="B117" s="211"/>
      <c r="C117" s="352"/>
      <c r="D117" s="295"/>
      <c r="E117" s="286"/>
      <c r="F117" s="21"/>
      <c r="G117" s="21"/>
      <c r="H117" s="207"/>
      <c r="I117" s="177"/>
      <c r="J117" s="320"/>
      <c r="K117" s="189"/>
      <c r="L117" s="167"/>
      <c r="M117" s="174"/>
      <c r="N117" s="213"/>
      <c r="O117" s="198"/>
      <c r="P117" s="178"/>
      <c r="Q117" s="21"/>
      <c r="R117" s="198"/>
      <c r="S117" s="289"/>
      <c r="T117" s="198"/>
      <c r="U117" s="1069"/>
      <c r="V117" s="289"/>
      <c r="X117" s="239">
        <f t="shared" si="5"/>
        <v>0</v>
      </c>
    </row>
    <row r="118" spans="1:24" ht="15.75">
      <c r="A118" s="283"/>
      <c r="B118" s="211"/>
      <c r="C118" s="352"/>
      <c r="D118" s="295"/>
      <c r="E118" s="286"/>
      <c r="F118" s="21"/>
      <c r="G118" s="21"/>
      <c r="H118" s="207"/>
      <c r="I118" s="177"/>
      <c r="J118" s="320"/>
      <c r="K118" s="189"/>
      <c r="L118" s="167"/>
      <c r="M118" s="174"/>
      <c r="N118" s="213"/>
      <c r="O118" s="198"/>
      <c r="P118" s="178"/>
      <c r="Q118" s="21"/>
      <c r="R118" s="198"/>
      <c r="S118" s="289"/>
      <c r="T118" s="198"/>
      <c r="U118" s="1069"/>
      <c r="V118" s="289"/>
      <c r="X118" s="239">
        <f t="shared" si="5"/>
        <v>0</v>
      </c>
    </row>
    <row r="119" spans="1:24" ht="15.75">
      <c r="A119" s="283"/>
      <c r="B119" s="211"/>
      <c r="C119" s="352"/>
      <c r="D119" s="295"/>
      <c r="E119" s="286"/>
      <c r="F119" s="21"/>
      <c r="G119" s="21"/>
      <c r="H119" s="207"/>
      <c r="I119" s="177"/>
      <c r="J119" s="320"/>
      <c r="K119" s="189"/>
      <c r="L119" s="167"/>
      <c r="M119" s="174"/>
      <c r="N119" s="213"/>
      <c r="O119" s="198"/>
      <c r="P119" s="178"/>
      <c r="Q119" s="21"/>
      <c r="R119" s="198"/>
      <c r="S119" s="289"/>
      <c r="T119" s="198"/>
      <c r="U119" s="1069"/>
      <c r="V119" s="289"/>
      <c r="X119" s="239">
        <f t="shared" si="5"/>
        <v>0</v>
      </c>
    </row>
    <row r="120" spans="1:24" ht="15.75">
      <c r="A120" s="283"/>
      <c r="B120" s="211"/>
      <c r="C120" s="352"/>
      <c r="D120" s="295"/>
      <c r="E120" s="286"/>
      <c r="F120" s="21"/>
      <c r="G120" s="21"/>
      <c r="H120" s="207"/>
      <c r="I120" s="177"/>
      <c r="J120" s="320"/>
      <c r="K120" s="189"/>
      <c r="L120" s="167"/>
      <c r="M120" s="174"/>
      <c r="N120" s="213"/>
      <c r="O120" s="198"/>
      <c r="P120" s="178"/>
      <c r="Q120" s="21"/>
      <c r="R120" s="198"/>
      <c r="S120" s="289"/>
      <c r="T120" s="198"/>
      <c r="U120" s="1069"/>
      <c r="V120" s="289"/>
      <c r="X120" s="239">
        <f t="shared" si="5"/>
        <v>0</v>
      </c>
    </row>
    <row r="121" spans="1:24" ht="15.75">
      <c r="A121" s="283"/>
      <c r="B121" s="211"/>
      <c r="C121" s="352"/>
      <c r="D121" s="295"/>
      <c r="E121" s="286"/>
      <c r="F121" s="21"/>
      <c r="G121" s="21"/>
      <c r="H121" s="207"/>
      <c r="I121" s="177"/>
      <c r="J121" s="320"/>
      <c r="K121" s="189"/>
      <c r="L121" s="167"/>
      <c r="M121" s="174"/>
      <c r="N121" s="213"/>
      <c r="O121" s="198"/>
      <c r="P121" s="178"/>
      <c r="Q121" s="21"/>
      <c r="R121" s="198"/>
      <c r="S121" s="289"/>
      <c r="T121" s="198"/>
      <c r="U121" s="1069"/>
      <c r="V121" s="289"/>
      <c r="X121" s="239">
        <f t="shared" si="5"/>
        <v>0</v>
      </c>
    </row>
    <row r="122" spans="1:24" ht="15.75">
      <c r="A122" s="284"/>
      <c r="B122" s="214"/>
      <c r="C122" s="353"/>
      <c r="D122" s="309"/>
      <c r="E122" s="287"/>
      <c r="F122" s="22"/>
      <c r="G122" s="22"/>
      <c r="H122" s="209"/>
      <c r="I122" s="179"/>
      <c r="J122" s="321"/>
      <c r="K122" s="195"/>
      <c r="L122" s="170"/>
      <c r="M122" s="163"/>
      <c r="N122" s="216"/>
      <c r="O122" s="201"/>
      <c r="P122" s="180"/>
      <c r="Q122" s="22"/>
      <c r="R122" s="201"/>
      <c r="S122" s="181"/>
      <c r="T122" s="201"/>
      <c r="U122" s="1070"/>
      <c r="V122" s="181"/>
      <c r="X122" s="239">
        <f t="shared" si="5"/>
        <v>0</v>
      </c>
    </row>
    <row r="123" spans="1:24" ht="15.75">
      <c r="A123" s="322"/>
      <c r="B123" s="296"/>
      <c r="C123" s="351"/>
      <c r="D123" s="297"/>
      <c r="E123" s="323"/>
      <c r="F123" s="19"/>
      <c r="G123" s="324"/>
      <c r="H123" s="279"/>
      <c r="I123" s="325"/>
      <c r="J123" s="318"/>
      <c r="K123" s="185"/>
      <c r="L123" s="165"/>
      <c r="M123" s="374"/>
      <c r="N123" s="319"/>
      <c r="O123" s="197"/>
      <c r="P123" s="176"/>
      <c r="Q123" s="19"/>
      <c r="R123" s="197"/>
      <c r="S123" s="288"/>
      <c r="T123" s="197"/>
      <c r="U123" s="1068"/>
      <c r="V123" s="288"/>
      <c r="X123" s="239">
        <f t="shared" si="5"/>
        <v>0</v>
      </c>
    </row>
    <row r="124" spans="1:24" ht="15.75">
      <c r="A124" s="326"/>
      <c r="B124" s="211"/>
      <c r="C124" s="352"/>
      <c r="D124" s="295"/>
      <c r="E124" s="327"/>
      <c r="F124" s="21"/>
      <c r="G124" s="230"/>
      <c r="H124" s="207"/>
      <c r="I124" s="305"/>
      <c r="J124" s="320"/>
      <c r="K124" s="189"/>
      <c r="L124" s="167"/>
      <c r="M124" s="375"/>
      <c r="N124" s="213"/>
      <c r="O124" s="198"/>
      <c r="P124" s="178"/>
      <c r="Q124" s="21"/>
      <c r="R124" s="198"/>
      <c r="S124" s="289"/>
      <c r="T124" s="198"/>
      <c r="U124" s="1069"/>
      <c r="V124" s="289"/>
      <c r="X124" s="239">
        <f t="shared" si="5"/>
        <v>0</v>
      </c>
    </row>
    <row r="125" spans="1:24" ht="15.75">
      <c r="A125" s="326"/>
      <c r="B125" s="211"/>
      <c r="C125" s="352"/>
      <c r="D125" s="295"/>
      <c r="E125" s="327"/>
      <c r="F125" s="21"/>
      <c r="G125" s="230"/>
      <c r="H125" s="207"/>
      <c r="I125" s="305"/>
      <c r="J125" s="320"/>
      <c r="K125" s="189"/>
      <c r="L125" s="167"/>
      <c r="M125" s="375"/>
      <c r="N125" s="213"/>
      <c r="O125" s="198"/>
      <c r="P125" s="178"/>
      <c r="Q125" s="21"/>
      <c r="R125" s="198"/>
      <c r="S125" s="289"/>
      <c r="T125" s="198"/>
      <c r="U125" s="1069"/>
      <c r="V125" s="289"/>
      <c r="X125" s="239">
        <f t="shared" si="5"/>
        <v>0</v>
      </c>
    </row>
    <row r="126" spans="1:24" ht="15.75">
      <c r="A126" s="326"/>
      <c r="B126" s="211"/>
      <c r="C126" s="352"/>
      <c r="D126" s="295"/>
      <c r="E126" s="327"/>
      <c r="F126" s="21"/>
      <c r="G126" s="230"/>
      <c r="H126" s="207"/>
      <c r="I126" s="305"/>
      <c r="J126" s="320"/>
      <c r="K126" s="189"/>
      <c r="L126" s="167"/>
      <c r="M126" s="375"/>
      <c r="N126" s="213"/>
      <c r="O126" s="198"/>
      <c r="P126" s="178"/>
      <c r="Q126" s="21"/>
      <c r="R126" s="198"/>
      <c r="S126" s="289"/>
      <c r="T126" s="198"/>
      <c r="U126" s="1069"/>
      <c r="V126" s="289"/>
      <c r="X126" s="239">
        <f t="shared" si="5"/>
        <v>0</v>
      </c>
    </row>
    <row r="127" spans="1:24" ht="15.75">
      <c r="A127" s="328"/>
      <c r="B127" s="214"/>
      <c r="C127" s="353"/>
      <c r="D127" s="309"/>
      <c r="E127" s="329"/>
      <c r="F127" s="22"/>
      <c r="G127" s="311"/>
      <c r="H127" s="209"/>
      <c r="I127" s="313"/>
      <c r="J127" s="321"/>
      <c r="K127" s="195"/>
      <c r="L127" s="170"/>
      <c r="M127" s="376"/>
      <c r="N127" s="216"/>
      <c r="O127" s="201"/>
      <c r="P127" s="180"/>
      <c r="Q127" s="22"/>
      <c r="R127" s="201"/>
      <c r="S127" s="181"/>
      <c r="T127" s="201"/>
      <c r="U127" s="1070"/>
      <c r="V127" s="181"/>
      <c r="X127" s="239">
        <f t="shared" si="5"/>
        <v>0</v>
      </c>
    </row>
    <row r="128" spans="1:24" ht="15.75">
      <c r="A128" s="322"/>
      <c r="B128" s="296"/>
      <c r="C128" s="354"/>
      <c r="D128" s="297"/>
      <c r="E128" s="323"/>
      <c r="F128" s="19"/>
      <c r="G128" s="324"/>
      <c r="H128" s="279"/>
      <c r="I128" s="325"/>
      <c r="J128" s="318"/>
      <c r="K128" s="185"/>
      <c r="L128" s="165"/>
      <c r="M128" s="377"/>
      <c r="N128" s="319"/>
      <c r="O128" s="197"/>
      <c r="P128" s="176"/>
      <c r="Q128" s="324"/>
      <c r="R128" s="197"/>
      <c r="S128" s="293"/>
      <c r="T128" s="197"/>
      <c r="U128" s="1068"/>
      <c r="V128" s="293"/>
      <c r="X128" s="239">
        <f t="shared" si="5"/>
        <v>0</v>
      </c>
    </row>
    <row r="129" spans="1:24" ht="15.75">
      <c r="A129" s="326"/>
      <c r="B129" s="211"/>
      <c r="C129" s="355"/>
      <c r="D129" s="295"/>
      <c r="E129" s="327"/>
      <c r="F129" s="21"/>
      <c r="G129" s="230"/>
      <c r="H129" s="207"/>
      <c r="I129" s="305"/>
      <c r="J129" s="320"/>
      <c r="K129" s="189"/>
      <c r="L129" s="167"/>
      <c r="M129" s="378"/>
      <c r="N129" s="213"/>
      <c r="O129" s="198"/>
      <c r="P129" s="178"/>
      <c r="Q129" s="230"/>
      <c r="R129" s="198"/>
      <c r="S129" s="294"/>
      <c r="T129" s="198"/>
      <c r="U129" s="1069"/>
      <c r="V129" s="294"/>
      <c r="X129" s="239">
        <f t="shared" si="5"/>
        <v>0</v>
      </c>
    </row>
    <row r="130" spans="1:24" ht="15.75">
      <c r="A130" s="326"/>
      <c r="B130" s="211"/>
      <c r="C130" s="355"/>
      <c r="D130" s="295"/>
      <c r="E130" s="327"/>
      <c r="F130" s="21"/>
      <c r="G130" s="230"/>
      <c r="H130" s="207"/>
      <c r="I130" s="305"/>
      <c r="J130" s="320"/>
      <c r="K130" s="189"/>
      <c r="L130" s="167"/>
      <c r="M130" s="378"/>
      <c r="N130" s="213"/>
      <c r="O130" s="198"/>
      <c r="P130" s="178"/>
      <c r="Q130" s="230"/>
      <c r="R130" s="198"/>
      <c r="S130" s="294"/>
      <c r="T130" s="198"/>
      <c r="U130" s="1069"/>
      <c r="V130" s="294"/>
      <c r="X130" s="239">
        <f t="shared" si="5"/>
        <v>0</v>
      </c>
    </row>
    <row r="131" spans="1:24" ht="15.75">
      <c r="A131" s="326"/>
      <c r="B131" s="211"/>
      <c r="C131" s="355"/>
      <c r="D131" s="295"/>
      <c r="E131" s="327"/>
      <c r="F131" s="21"/>
      <c r="G131" s="230"/>
      <c r="H131" s="207"/>
      <c r="I131" s="305"/>
      <c r="J131" s="320"/>
      <c r="K131" s="189"/>
      <c r="L131" s="167"/>
      <c r="M131" s="378"/>
      <c r="N131" s="213"/>
      <c r="O131" s="198"/>
      <c r="P131" s="178"/>
      <c r="Q131" s="230"/>
      <c r="R131" s="198"/>
      <c r="S131" s="294"/>
      <c r="T131" s="198"/>
      <c r="U131" s="1069"/>
      <c r="V131" s="294"/>
      <c r="X131" s="239">
        <f t="shared" si="5"/>
        <v>0</v>
      </c>
    </row>
    <row r="132" spans="1:24" ht="15.75">
      <c r="A132" s="326"/>
      <c r="B132" s="211"/>
      <c r="C132" s="355"/>
      <c r="D132" s="295"/>
      <c r="E132" s="327"/>
      <c r="F132" s="21"/>
      <c r="G132" s="230"/>
      <c r="H132" s="207"/>
      <c r="I132" s="305"/>
      <c r="J132" s="320"/>
      <c r="K132" s="189"/>
      <c r="L132" s="167"/>
      <c r="M132" s="378"/>
      <c r="N132" s="213"/>
      <c r="O132" s="198"/>
      <c r="P132" s="178"/>
      <c r="Q132" s="230"/>
      <c r="R132" s="198"/>
      <c r="S132" s="337"/>
      <c r="T132" s="198"/>
      <c r="U132" s="1070"/>
      <c r="V132" s="337"/>
      <c r="X132" s="239">
        <f t="shared" si="5"/>
        <v>0</v>
      </c>
    </row>
    <row r="133" spans="1:24" ht="15.75">
      <c r="A133" s="330"/>
      <c r="B133" s="296"/>
      <c r="C133" s="351"/>
      <c r="D133" s="297"/>
      <c r="E133" s="333"/>
      <c r="F133" s="19"/>
      <c r="G133" s="19"/>
      <c r="H133" s="279"/>
      <c r="I133" s="345"/>
      <c r="J133" s="318"/>
      <c r="K133" s="185"/>
      <c r="L133" s="165"/>
      <c r="M133" s="377"/>
      <c r="N133" s="319"/>
      <c r="O133" s="263"/>
      <c r="P133" s="176"/>
      <c r="Q133" s="19"/>
      <c r="R133" s="197"/>
      <c r="S133" s="336"/>
      <c r="T133" s="197"/>
      <c r="U133" s="1068"/>
      <c r="V133" s="336"/>
      <c r="X133" s="239">
        <f t="shared" si="5"/>
        <v>0</v>
      </c>
    </row>
    <row r="134" spans="1:24" ht="15.75">
      <c r="A134" s="331"/>
      <c r="B134" s="211"/>
      <c r="C134" s="352"/>
      <c r="D134" s="295"/>
      <c r="E134" s="334"/>
      <c r="F134" s="21"/>
      <c r="G134" s="21"/>
      <c r="H134" s="207"/>
      <c r="I134" s="346"/>
      <c r="J134" s="320"/>
      <c r="K134" s="189"/>
      <c r="L134" s="167"/>
      <c r="M134" s="378"/>
      <c r="N134" s="213"/>
      <c r="O134" s="264"/>
      <c r="P134" s="178"/>
      <c r="Q134" s="21"/>
      <c r="R134" s="198"/>
      <c r="S134" s="337"/>
      <c r="T134" s="198"/>
      <c r="U134" s="1069"/>
      <c r="V134" s="337"/>
      <c r="X134" s="239">
        <f t="shared" si="5"/>
        <v>0</v>
      </c>
    </row>
    <row r="135" spans="1:24" ht="15.75">
      <c r="A135" s="331"/>
      <c r="B135" s="211"/>
      <c r="C135" s="352"/>
      <c r="D135" s="295"/>
      <c r="E135" s="334"/>
      <c r="F135" s="21"/>
      <c r="G135" s="21"/>
      <c r="H135" s="207"/>
      <c r="I135" s="346"/>
      <c r="J135" s="320"/>
      <c r="K135" s="189"/>
      <c r="L135" s="167"/>
      <c r="M135" s="378"/>
      <c r="N135" s="213"/>
      <c r="O135" s="264"/>
      <c r="P135" s="178"/>
      <c r="Q135" s="21"/>
      <c r="R135" s="198"/>
      <c r="S135" s="337"/>
      <c r="T135" s="198"/>
      <c r="U135" s="1069"/>
      <c r="V135" s="337"/>
      <c r="X135" s="239">
        <f t="shared" si="5"/>
        <v>0</v>
      </c>
    </row>
    <row r="136" spans="1:24" ht="15.75">
      <c r="A136" s="331"/>
      <c r="B136" s="211"/>
      <c r="C136" s="352"/>
      <c r="D136" s="295"/>
      <c r="E136" s="334"/>
      <c r="F136" s="21"/>
      <c r="G136" s="21"/>
      <c r="H136" s="207"/>
      <c r="I136" s="346"/>
      <c r="J136" s="320"/>
      <c r="K136" s="189"/>
      <c r="L136" s="167"/>
      <c r="M136" s="378"/>
      <c r="N136" s="213"/>
      <c r="O136" s="264"/>
      <c r="P136" s="178"/>
      <c r="Q136" s="21"/>
      <c r="R136" s="198"/>
      <c r="S136" s="337"/>
      <c r="T136" s="198"/>
      <c r="U136" s="1069"/>
      <c r="V136" s="337"/>
      <c r="X136" s="239">
        <f t="shared" si="5"/>
        <v>0</v>
      </c>
    </row>
    <row r="137" spans="1:24" ht="15.75">
      <c r="A137" s="332"/>
      <c r="B137" s="214"/>
      <c r="C137" s="353"/>
      <c r="D137" s="309"/>
      <c r="E137" s="335"/>
      <c r="F137" s="22"/>
      <c r="G137" s="22"/>
      <c r="H137" s="209"/>
      <c r="I137" s="347"/>
      <c r="J137" s="321"/>
      <c r="K137" s="195"/>
      <c r="L137" s="170"/>
      <c r="M137" s="379"/>
      <c r="N137" s="216"/>
      <c r="O137" s="343"/>
      <c r="P137" s="180"/>
      <c r="Q137" s="22"/>
      <c r="R137" s="201"/>
      <c r="S137" s="181"/>
      <c r="T137" s="201"/>
      <c r="U137" s="1070"/>
      <c r="V137" s="181"/>
      <c r="X137" s="239">
        <f t="shared" si="5"/>
        <v>0</v>
      </c>
    </row>
    <row r="138" spans="1:24" ht="15.75">
      <c r="A138" s="338"/>
      <c r="B138" s="348"/>
      <c r="C138" s="351"/>
      <c r="D138" s="297"/>
      <c r="E138" s="323"/>
      <c r="F138" s="19"/>
      <c r="G138" s="324"/>
      <c r="H138" s="279"/>
      <c r="I138" s="325"/>
      <c r="J138" s="318"/>
      <c r="K138" s="185"/>
      <c r="L138" s="165"/>
      <c r="M138" s="377"/>
      <c r="N138" s="319"/>
      <c r="O138" s="263"/>
      <c r="P138" s="344"/>
      <c r="Q138" s="19"/>
      <c r="R138" s="197"/>
      <c r="S138" s="336"/>
      <c r="T138" s="197"/>
      <c r="U138" s="1068"/>
      <c r="V138" s="341"/>
      <c r="X138" s="239">
        <f t="shared" si="5"/>
        <v>0</v>
      </c>
    </row>
    <row r="139" spans="1:24" ht="15.75">
      <c r="A139" s="339"/>
      <c r="B139" s="230"/>
      <c r="C139" s="352"/>
      <c r="D139" s="21"/>
      <c r="E139" s="327"/>
      <c r="F139" s="21"/>
      <c r="G139" s="230"/>
      <c r="H139" s="207"/>
      <c r="I139" s="305"/>
      <c r="J139" s="320"/>
      <c r="K139" s="189"/>
      <c r="L139" s="167"/>
      <c r="M139" s="378"/>
      <c r="N139" s="213"/>
      <c r="O139" s="264"/>
      <c r="P139" s="306"/>
      <c r="Q139" s="21"/>
      <c r="R139" s="198"/>
      <c r="S139" s="337"/>
      <c r="T139" s="198"/>
      <c r="U139" s="1069"/>
      <c r="V139" s="342"/>
      <c r="X139" s="239">
        <f t="shared" si="5"/>
        <v>0</v>
      </c>
    </row>
    <row r="140" spans="1:24" ht="15.75">
      <c r="A140" s="340"/>
      <c r="B140" s="311"/>
      <c r="C140" s="353"/>
      <c r="D140" s="22"/>
      <c r="E140" s="329"/>
      <c r="F140" s="22"/>
      <c r="G140" s="311"/>
      <c r="H140" s="209"/>
      <c r="I140" s="313"/>
      <c r="J140" s="321"/>
      <c r="K140" s="195"/>
      <c r="L140" s="170"/>
      <c r="M140" s="379"/>
      <c r="N140" s="216"/>
      <c r="O140" s="343"/>
      <c r="P140" s="315"/>
      <c r="Q140" s="22"/>
      <c r="R140" s="201"/>
      <c r="S140" s="181"/>
      <c r="T140" s="201"/>
      <c r="U140" s="1070"/>
      <c r="V140" s="181"/>
      <c r="X140" s="239">
        <f t="shared" si="5"/>
        <v>0</v>
      </c>
    </row>
    <row r="141" spans="1:24" ht="15.75">
      <c r="A141" s="322"/>
      <c r="B141" s="20"/>
      <c r="C141" s="354"/>
      <c r="D141" s="19"/>
      <c r="E141" s="323"/>
      <c r="F141" s="324"/>
      <c r="G141" s="19"/>
      <c r="H141" s="279"/>
      <c r="I141" s="325"/>
      <c r="J141" s="318"/>
      <c r="K141" s="185"/>
      <c r="L141" s="165"/>
      <c r="M141" s="380"/>
      <c r="N141" s="319"/>
      <c r="O141" s="263"/>
      <c r="P141" s="344"/>
      <c r="Q141" s="19"/>
      <c r="R141" s="323"/>
      <c r="S141" s="341"/>
      <c r="T141" s="197"/>
      <c r="U141" s="1068"/>
      <c r="V141" s="341"/>
      <c r="X141" s="239">
        <f t="shared" si="5"/>
        <v>0</v>
      </c>
    </row>
    <row r="142" spans="1:24" ht="15.75">
      <c r="A142" s="328"/>
      <c r="B142" s="22"/>
      <c r="C142" s="356"/>
      <c r="D142" s="22"/>
      <c r="E142" s="329"/>
      <c r="F142" s="311"/>
      <c r="G142" s="22"/>
      <c r="H142" s="209"/>
      <c r="I142" s="313"/>
      <c r="J142" s="321"/>
      <c r="K142" s="195"/>
      <c r="L142" s="170"/>
      <c r="M142" s="381"/>
      <c r="N142" s="216"/>
      <c r="O142" s="343"/>
      <c r="P142" s="315"/>
      <c r="Q142" s="22"/>
      <c r="R142" s="329"/>
      <c r="S142" s="181"/>
      <c r="T142" s="201"/>
      <c r="U142" s="1070"/>
      <c r="V142" s="181"/>
      <c r="X142" s="239">
        <f t="shared" ref="X142" si="6">L142/1000</f>
        <v>0</v>
      </c>
    </row>
  </sheetData>
  <autoFilter ref="A12:AF87">
    <filterColumn colId="17">
      <filters>
        <filter val="Measurement"/>
      </filters>
    </filterColumn>
  </autoFilter>
  <dataConsolidate/>
  <mergeCells count="49">
    <mergeCell ref="U61:U65"/>
    <mergeCell ref="U66:U68"/>
    <mergeCell ref="U70:U71"/>
    <mergeCell ref="U72:U77"/>
    <mergeCell ref="U78:U86"/>
    <mergeCell ref="A1:C1"/>
    <mergeCell ref="AB3:AB4"/>
    <mergeCell ref="AC3:AE3"/>
    <mergeCell ref="AF3:AF4"/>
    <mergeCell ref="A11:A12"/>
    <mergeCell ref="B11:B12"/>
    <mergeCell ref="C11:C12"/>
    <mergeCell ref="D11:D12"/>
    <mergeCell ref="E11:E12"/>
    <mergeCell ref="V11:V12"/>
    <mergeCell ref="X11:X12"/>
    <mergeCell ref="T11:T12"/>
    <mergeCell ref="U11:U12"/>
    <mergeCell ref="N11:N12"/>
    <mergeCell ref="P11:Q11"/>
    <mergeCell ref="R11:R12"/>
    <mergeCell ref="S11:S12"/>
    <mergeCell ref="U91:U92"/>
    <mergeCell ref="U141:U142"/>
    <mergeCell ref="U95:U104"/>
    <mergeCell ref="U105:U122"/>
    <mergeCell ref="U123:U127"/>
    <mergeCell ref="U128:U132"/>
    <mergeCell ref="U133:U137"/>
    <mergeCell ref="U138:U140"/>
    <mergeCell ref="U13:U30"/>
    <mergeCell ref="U31:U33"/>
    <mergeCell ref="U34:U35"/>
    <mergeCell ref="U36:U37"/>
    <mergeCell ref="U38:U56"/>
    <mergeCell ref="U57:U58"/>
    <mergeCell ref="U59:U60"/>
    <mergeCell ref="M78:M86"/>
    <mergeCell ref="M13:M30"/>
    <mergeCell ref="M59:M60"/>
    <mergeCell ref="M61:M65"/>
    <mergeCell ref="M66:M68"/>
    <mergeCell ref="M70:M71"/>
    <mergeCell ref="M72:M77"/>
    <mergeCell ref="M36:M37"/>
    <mergeCell ref="M38:M56"/>
    <mergeCell ref="M57:M58"/>
    <mergeCell ref="M31:M33"/>
    <mergeCell ref="M34:M3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"/>
  <sheetViews>
    <sheetView zoomScale="70" zoomScaleNormal="70" workbookViewId="0">
      <selection activeCell="D5" sqref="D5"/>
    </sheetView>
  </sheetViews>
  <sheetFormatPr defaultRowHeight="15"/>
  <cols>
    <col min="1" max="1" width="4.140625" customWidth="1"/>
    <col min="2" max="2" width="19.140625" customWidth="1"/>
    <col min="3" max="4" width="13.28515625" customWidth="1"/>
    <col min="5" max="6" width="12.140625" customWidth="1"/>
    <col min="7" max="7" width="9.42578125" style="135" customWidth="1"/>
    <col min="8" max="8" width="11" customWidth="1"/>
    <col min="9" max="9" width="11.28515625" customWidth="1"/>
    <col min="10" max="10" width="11.85546875" customWidth="1"/>
    <col min="11" max="12" width="10.5703125" customWidth="1"/>
    <col min="13" max="14" width="10.42578125" customWidth="1"/>
    <col min="15" max="15" width="10.85546875" customWidth="1"/>
    <col min="16" max="16" width="10.140625" customWidth="1"/>
    <col min="19" max="19" width="15.7109375" customWidth="1"/>
    <col min="21" max="21" width="10" bestFit="1" customWidth="1"/>
  </cols>
  <sheetData>
    <row r="2" spans="2:16" ht="21">
      <c r="E2" s="1006" t="s">
        <v>168</v>
      </c>
      <c r="F2" s="1006"/>
      <c r="G2" s="1006"/>
      <c r="H2" s="1006"/>
      <c r="I2" s="1006"/>
      <c r="J2" s="1006"/>
      <c r="K2" s="1006"/>
      <c r="L2" s="1006"/>
      <c r="M2" s="1006"/>
      <c r="N2" s="1006"/>
      <c r="O2" s="1006"/>
    </row>
    <row r="3" spans="2:16" ht="12.75" customHeight="1"/>
    <row r="4" spans="2:16" ht="21.75" customHeight="1">
      <c r="B4" s="26" t="s">
        <v>25</v>
      </c>
      <c r="C4" s="26">
        <v>43132</v>
      </c>
      <c r="D4" s="26">
        <v>43160</v>
      </c>
      <c r="E4" s="26">
        <v>43191</v>
      </c>
      <c r="F4" s="26">
        <v>43221</v>
      </c>
      <c r="G4" s="26">
        <v>43252</v>
      </c>
      <c r="H4" s="26">
        <v>43282</v>
      </c>
      <c r="I4" s="26">
        <v>43313</v>
      </c>
      <c r="J4" s="26">
        <v>43344</v>
      </c>
      <c r="K4" s="26">
        <v>43374</v>
      </c>
      <c r="L4" s="26">
        <v>43405</v>
      </c>
      <c r="M4" s="26">
        <v>43435</v>
      </c>
      <c r="N4" s="26">
        <v>43466</v>
      </c>
      <c r="O4" s="26">
        <v>43497</v>
      </c>
      <c r="P4" s="26">
        <v>43525</v>
      </c>
    </row>
    <row r="5" spans="2:16" ht="28.5" customHeight="1">
      <c r="B5" s="114" t="s">
        <v>166</v>
      </c>
      <c r="C5" s="129">
        <v>1820</v>
      </c>
      <c r="D5" s="129">
        <v>2080</v>
      </c>
      <c r="E5" s="129">
        <v>1560</v>
      </c>
      <c r="F5" s="129">
        <v>1560</v>
      </c>
      <c r="G5" s="136">
        <v>1820</v>
      </c>
      <c r="H5" s="129"/>
      <c r="I5" s="129"/>
      <c r="J5" s="129"/>
      <c r="K5" s="116"/>
      <c r="L5" s="116"/>
      <c r="M5" s="116"/>
      <c r="N5" s="129"/>
      <c r="O5" s="129"/>
      <c r="P5" s="129"/>
    </row>
    <row r="6" spans="2:16" ht="28.5" customHeight="1">
      <c r="B6" s="114" t="s">
        <v>191</v>
      </c>
      <c r="C6" s="129"/>
      <c r="D6" s="129"/>
      <c r="E6" s="129">
        <v>52284.046000000002</v>
      </c>
      <c r="F6" s="129"/>
      <c r="G6" s="136"/>
      <c r="H6" s="129"/>
      <c r="I6" s="129">
        <v>42988.351000000002</v>
      </c>
      <c r="J6" s="129"/>
      <c r="K6" s="116"/>
      <c r="L6" s="116"/>
      <c r="M6" s="116"/>
      <c r="N6" s="129"/>
      <c r="O6" s="129">
        <v>32320.780999999999</v>
      </c>
      <c r="P6" s="129"/>
    </row>
    <row r="7" spans="2:16" ht="28.5" customHeight="1">
      <c r="B7" s="114" t="s">
        <v>162</v>
      </c>
      <c r="C7" s="129">
        <v>19042.914000000001</v>
      </c>
      <c r="D7" s="129">
        <v>29894.223000000002</v>
      </c>
      <c r="E7" s="129"/>
      <c r="F7" s="129"/>
      <c r="G7" s="136"/>
      <c r="H7" s="129"/>
      <c r="I7" s="129"/>
      <c r="J7" s="129"/>
      <c r="K7" s="116"/>
      <c r="L7" s="116"/>
      <c r="M7" s="116"/>
      <c r="N7" s="129"/>
      <c r="O7" s="129"/>
      <c r="P7" s="129"/>
    </row>
    <row r="8" spans="2:16" ht="28.5" customHeight="1">
      <c r="B8" s="114" t="s">
        <v>196</v>
      </c>
      <c r="C8" s="129"/>
      <c r="D8" s="129"/>
      <c r="E8" s="129"/>
      <c r="F8" s="129"/>
      <c r="G8" s="136"/>
      <c r="H8" s="129"/>
      <c r="I8" s="129"/>
      <c r="J8" s="129"/>
      <c r="K8" s="129">
        <v>2202.5700000000002</v>
      </c>
      <c r="L8" s="116"/>
      <c r="M8" s="116"/>
      <c r="N8" s="129"/>
      <c r="O8" s="129">
        <v>31385.175999999999</v>
      </c>
      <c r="P8" s="129"/>
    </row>
    <row r="9" spans="2:16" ht="28.5" customHeight="1">
      <c r="B9" s="114" t="s">
        <v>183</v>
      </c>
      <c r="C9" s="129">
        <v>5901.7436600000001</v>
      </c>
      <c r="D9" s="129">
        <v>46482.628000000004</v>
      </c>
      <c r="E9" s="129">
        <v>26508.557000000001</v>
      </c>
      <c r="F9" s="129">
        <v>43575.041000000005</v>
      </c>
      <c r="G9" s="136">
        <v>44541</v>
      </c>
      <c r="H9" s="129">
        <v>33535.891000000003</v>
      </c>
      <c r="I9" s="129">
        <v>21870.14</v>
      </c>
      <c r="J9" s="129">
        <v>41458.192999999999</v>
      </c>
      <c r="K9" s="129">
        <v>60755.173999999999</v>
      </c>
      <c r="L9" s="129">
        <v>41002.116999999998</v>
      </c>
      <c r="M9" s="129">
        <v>50808.898000000001</v>
      </c>
      <c r="N9" s="129">
        <v>43924.913999999997</v>
      </c>
      <c r="O9" s="129"/>
      <c r="P9" s="129"/>
    </row>
    <row r="10" spans="2:16" ht="66.75" customHeight="1">
      <c r="B10" s="27" t="s">
        <v>26</v>
      </c>
      <c r="C10" s="134">
        <v>26764.657660000001</v>
      </c>
      <c r="D10" s="134">
        <v>78456.85100000001</v>
      </c>
      <c r="E10" s="28">
        <f t="shared" ref="E10:J10" si="0">+SUM(E5:E9)</f>
        <v>80352.603000000003</v>
      </c>
      <c r="F10" s="28">
        <f t="shared" si="0"/>
        <v>45135.041000000005</v>
      </c>
      <c r="G10" s="28">
        <f t="shared" si="0"/>
        <v>46361</v>
      </c>
      <c r="H10" s="129">
        <f t="shared" si="0"/>
        <v>33535.891000000003</v>
      </c>
      <c r="I10" s="129">
        <f t="shared" si="0"/>
        <v>64858.491000000002</v>
      </c>
      <c r="J10" s="129">
        <f t="shared" si="0"/>
        <v>41458.192999999999</v>
      </c>
      <c r="K10" s="129">
        <f>+SUM(K5:K9)</f>
        <v>62957.743999999999</v>
      </c>
      <c r="L10" s="129">
        <f>+SUM(L5:L9)</f>
        <v>41002.116999999998</v>
      </c>
      <c r="M10" s="129">
        <f>+SUM(M5:M9)</f>
        <v>50808.898000000001</v>
      </c>
      <c r="N10" s="129">
        <f>+SUM(N5:N9)</f>
        <v>43924.913999999997</v>
      </c>
      <c r="O10" s="129">
        <f>+SUM(O5:O9)</f>
        <v>63705.956999999995</v>
      </c>
      <c r="P10" s="130"/>
    </row>
    <row r="13" spans="2:16">
      <c r="E13" s="122"/>
    </row>
    <row r="16" spans="2:16" ht="21">
      <c r="E16" s="1006" t="s">
        <v>169</v>
      </c>
      <c r="F16" s="1006"/>
      <c r="G16" s="1006"/>
      <c r="H16" s="1006"/>
      <c r="I16" s="1006"/>
      <c r="J16" s="1006"/>
      <c r="K16" s="1006"/>
      <c r="L16" s="1006"/>
      <c r="M16" s="1006"/>
      <c r="N16" s="1006"/>
      <c r="O16" s="1006"/>
    </row>
    <row r="18" spans="2:16">
      <c r="B18" s="26" t="s">
        <v>25</v>
      </c>
      <c r="C18" s="26">
        <v>43132</v>
      </c>
      <c r="D18" s="26">
        <v>43160</v>
      </c>
      <c r="E18" s="26">
        <v>43191</v>
      </c>
      <c r="F18" s="26">
        <v>43221</v>
      </c>
      <c r="G18" s="26">
        <v>43252</v>
      </c>
      <c r="H18" s="26">
        <v>43282</v>
      </c>
      <c r="I18" s="26">
        <v>43313</v>
      </c>
      <c r="J18" s="26">
        <v>43344</v>
      </c>
      <c r="K18" s="26">
        <v>43374</v>
      </c>
      <c r="L18" s="26">
        <v>43405</v>
      </c>
      <c r="M18" s="26">
        <v>43435</v>
      </c>
      <c r="N18" s="26">
        <v>43466</v>
      </c>
      <c r="O18" s="26">
        <v>43497</v>
      </c>
      <c r="P18" s="26">
        <v>43525</v>
      </c>
    </row>
    <row r="19" spans="2:16" ht="23.25" customHeight="1">
      <c r="B19" s="114" t="s">
        <v>167</v>
      </c>
      <c r="C19" s="129">
        <v>8</v>
      </c>
      <c r="D19" s="129">
        <v>20</v>
      </c>
      <c r="E19" s="117">
        <v>9</v>
      </c>
      <c r="F19" s="117">
        <v>6</v>
      </c>
      <c r="G19" s="137">
        <v>18</v>
      </c>
      <c r="H19" s="117">
        <v>13</v>
      </c>
      <c r="I19" s="117">
        <v>13</v>
      </c>
      <c r="J19" s="117">
        <v>13</v>
      </c>
      <c r="K19" s="117">
        <v>15</v>
      </c>
      <c r="L19" s="117">
        <v>11</v>
      </c>
      <c r="M19" s="117">
        <v>12</v>
      </c>
      <c r="N19" s="117">
        <v>10</v>
      </c>
      <c r="O19" s="117">
        <v>11</v>
      </c>
      <c r="P19" s="117"/>
    </row>
    <row r="20" spans="2:16" ht="23.25" customHeight="1">
      <c r="B20" s="114" t="s">
        <v>39</v>
      </c>
      <c r="C20" s="129">
        <v>98</v>
      </c>
      <c r="D20" s="129">
        <v>401</v>
      </c>
      <c r="E20" s="117">
        <f>101+256</f>
        <v>357</v>
      </c>
      <c r="F20" s="117">
        <v>227</v>
      </c>
      <c r="G20" s="137">
        <v>199</v>
      </c>
      <c r="H20" s="117">
        <v>152</v>
      </c>
      <c r="I20" s="117">
        <v>288</v>
      </c>
      <c r="J20" s="117">
        <v>218</v>
      </c>
      <c r="K20" s="117">
        <v>279</v>
      </c>
      <c r="L20" s="117">
        <v>154</v>
      </c>
      <c r="M20" s="117">
        <v>258</v>
      </c>
      <c r="N20" s="117">
        <v>283</v>
      </c>
      <c r="O20" s="117">
        <v>331</v>
      </c>
      <c r="P20" s="117"/>
    </row>
  </sheetData>
  <mergeCells count="2">
    <mergeCell ref="E2:O2"/>
    <mergeCell ref="E16:O1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16"/>
  <sheetViews>
    <sheetView zoomScaleNormal="100" workbookViewId="0">
      <selection activeCell="M21" sqref="M21"/>
    </sheetView>
  </sheetViews>
  <sheetFormatPr defaultColWidth="9.140625" defaultRowHeight="15"/>
  <cols>
    <col min="1" max="1" width="23.140625" style="139" customWidth="1"/>
    <col min="2" max="2" width="9.5703125" style="139" customWidth="1"/>
    <col min="3" max="5" width="8.140625" style="139" customWidth="1"/>
    <col min="6" max="6" width="9.85546875" style="139" customWidth="1"/>
    <col min="7" max="7" width="9.5703125" style="139" customWidth="1"/>
    <col min="8" max="8" width="8.85546875" style="139" customWidth="1"/>
    <col min="9" max="9" width="9" style="139" customWidth="1"/>
    <col min="10" max="15" width="8.140625" style="139" customWidth="1"/>
    <col min="16" max="16" width="9.7109375" style="139" customWidth="1"/>
    <col min="17" max="17" width="8.140625" style="139" customWidth="1"/>
    <col min="18" max="18" width="9.42578125" style="139" customWidth="1"/>
    <col min="19" max="19" width="8.140625" style="139" customWidth="1"/>
    <col min="20" max="20" width="9.5703125" style="139" customWidth="1"/>
    <col min="21" max="21" width="8.140625" style="139" customWidth="1"/>
    <col min="22" max="22" width="10.140625" style="139" customWidth="1"/>
    <col min="23" max="25" width="8.140625" style="139" customWidth="1"/>
    <col min="26" max="16384" width="9.140625" style="139"/>
  </cols>
  <sheetData>
    <row r="3" spans="1:25">
      <c r="A3" s="1100"/>
      <c r="B3" s="1099">
        <v>43191</v>
      </c>
      <c r="C3" s="1099"/>
      <c r="D3" s="1099">
        <v>43221</v>
      </c>
      <c r="E3" s="1099"/>
      <c r="F3" s="1099">
        <v>43252</v>
      </c>
      <c r="G3" s="1099"/>
      <c r="H3" s="1099">
        <v>43282</v>
      </c>
      <c r="I3" s="1099"/>
      <c r="J3" s="1099">
        <v>43313</v>
      </c>
      <c r="K3" s="1099"/>
      <c r="L3" s="1099">
        <v>43344</v>
      </c>
      <c r="M3" s="1099"/>
      <c r="N3" s="1099">
        <v>43374</v>
      </c>
      <c r="O3" s="1099"/>
      <c r="P3" s="1099">
        <v>43405</v>
      </c>
      <c r="Q3" s="1099"/>
      <c r="R3" s="1099">
        <v>43435</v>
      </c>
      <c r="S3" s="1099"/>
      <c r="T3" s="1099">
        <v>43466</v>
      </c>
      <c r="U3" s="1099"/>
      <c r="V3" s="1099">
        <v>43497</v>
      </c>
      <c r="W3" s="1099"/>
      <c r="X3" s="1099">
        <v>43525</v>
      </c>
      <c r="Y3" s="1099"/>
    </row>
    <row r="4" spans="1:25">
      <c r="A4" s="1100"/>
      <c r="B4" s="140" t="s">
        <v>199</v>
      </c>
      <c r="C4" s="140" t="s">
        <v>200</v>
      </c>
      <c r="D4" s="140" t="s">
        <v>199</v>
      </c>
      <c r="E4" s="140" t="s">
        <v>200</v>
      </c>
      <c r="F4" s="140" t="s">
        <v>199</v>
      </c>
      <c r="G4" s="140" t="s">
        <v>200</v>
      </c>
      <c r="H4" s="140" t="s">
        <v>199</v>
      </c>
      <c r="I4" s="140" t="s">
        <v>200</v>
      </c>
      <c r="J4" s="140" t="s">
        <v>199</v>
      </c>
      <c r="K4" s="140" t="s">
        <v>200</v>
      </c>
      <c r="L4" s="140" t="s">
        <v>199</v>
      </c>
      <c r="M4" s="140" t="s">
        <v>200</v>
      </c>
      <c r="N4" s="140" t="s">
        <v>199</v>
      </c>
      <c r="O4" s="140" t="s">
        <v>200</v>
      </c>
      <c r="P4" s="140" t="s">
        <v>199</v>
      </c>
      <c r="Q4" s="140" t="s">
        <v>200</v>
      </c>
      <c r="R4" s="140" t="s">
        <v>199</v>
      </c>
      <c r="S4" s="140" t="s">
        <v>200</v>
      </c>
      <c r="T4" s="140" t="s">
        <v>199</v>
      </c>
      <c r="U4" s="140" t="s">
        <v>200</v>
      </c>
      <c r="V4" s="140" t="s">
        <v>199</v>
      </c>
      <c r="W4" s="140" t="s">
        <v>200</v>
      </c>
      <c r="X4" s="140" t="s">
        <v>199</v>
      </c>
      <c r="Y4" s="140" t="s">
        <v>200</v>
      </c>
    </row>
    <row r="5" spans="1:25">
      <c r="A5" s="141" t="s">
        <v>19</v>
      </c>
      <c r="B5" s="142">
        <v>1300</v>
      </c>
      <c r="C5" s="142"/>
      <c r="D5" s="142">
        <v>1560</v>
      </c>
      <c r="E5" s="142"/>
      <c r="F5" s="142">
        <v>1820</v>
      </c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</row>
    <row r="6" spans="1:25">
      <c r="A6" s="141" t="s">
        <v>191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</row>
    <row r="7" spans="1:25">
      <c r="A7" s="141" t="s">
        <v>178</v>
      </c>
      <c r="B7" s="142">
        <v>19521</v>
      </c>
      <c r="C7" s="142">
        <v>6988</v>
      </c>
      <c r="D7" s="142">
        <v>39753</v>
      </c>
      <c r="E7" s="142">
        <v>3822</v>
      </c>
      <c r="F7" s="142">
        <v>29675</v>
      </c>
      <c r="G7" s="142">
        <v>14867</v>
      </c>
      <c r="H7" s="142">
        <v>25851</v>
      </c>
      <c r="I7" s="142">
        <v>7685</v>
      </c>
      <c r="J7" s="142">
        <v>20667</v>
      </c>
      <c r="K7" s="142">
        <v>1203</v>
      </c>
      <c r="L7" s="142">
        <v>34845</v>
      </c>
      <c r="M7" s="142">
        <v>6613</v>
      </c>
      <c r="N7" s="142">
        <v>44441</v>
      </c>
      <c r="O7" s="142">
        <v>16314</v>
      </c>
      <c r="P7" s="142">
        <v>24855</v>
      </c>
      <c r="Q7" s="142">
        <v>16147</v>
      </c>
      <c r="R7" s="142">
        <v>27272</v>
      </c>
      <c r="S7" s="142">
        <v>23537</v>
      </c>
      <c r="T7" s="142">
        <v>32767</v>
      </c>
      <c r="U7" s="142">
        <v>11158</v>
      </c>
      <c r="V7" s="142">
        <v>18268</v>
      </c>
      <c r="W7" s="142">
        <v>13117</v>
      </c>
      <c r="X7" s="142">
        <v>29079</v>
      </c>
      <c r="Y7" s="142">
        <v>7051</v>
      </c>
    </row>
    <row r="8" spans="1:25">
      <c r="A8" s="141" t="s">
        <v>196</v>
      </c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>
        <v>2203</v>
      </c>
      <c r="O8" s="142"/>
      <c r="P8" s="142"/>
      <c r="Q8" s="142"/>
      <c r="R8" s="142"/>
      <c r="S8" s="142"/>
      <c r="T8" s="142">
        <v>2351</v>
      </c>
      <c r="U8" s="142"/>
      <c r="V8" s="142"/>
      <c r="W8" s="142"/>
      <c r="X8" s="142"/>
      <c r="Y8" s="142"/>
    </row>
    <row r="9" spans="1:25" s="145" customFormat="1">
      <c r="A9" s="143" t="s">
        <v>39</v>
      </c>
      <c r="B9" s="144">
        <v>84</v>
      </c>
      <c r="C9" s="144">
        <v>17</v>
      </c>
      <c r="D9" s="144">
        <v>216</v>
      </c>
      <c r="E9" s="144">
        <v>11</v>
      </c>
      <c r="F9" s="144">
        <v>148</v>
      </c>
      <c r="G9" s="144">
        <v>51</v>
      </c>
      <c r="H9" s="144">
        <v>130</v>
      </c>
      <c r="I9" s="144">
        <v>22</v>
      </c>
      <c r="J9" s="144">
        <v>89</v>
      </c>
      <c r="K9" s="144">
        <v>3</v>
      </c>
      <c r="L9" s="144">
        <v>199</v>
      </c>
      <c r="M9" s="144">
        <v>19</v>
      </c>
      <c r="N9" s="144">
        <f>206+5</f>
        <v>211</v>
      </c>
      <c r="O9" s="144">
        <v>73</v>
      </c>
      <c r="P9" s="144">
        <v>109</v>
      </c>
      <c r="Q9" s="144">
        <v>45</v>
      </c>
      <c r="R9" s="144">
        <v>276</v>
      </c>
      <c r="S9" s="144">
        <v>147</v>
      </c>
      <c r="T9" s="144">
        <f>242+8.4</f>
        <v>250.4</v>
      </c>
      <c r="U9" s="144">
        <v>101</v>
      </c>
      <c r="V9" s="144">
        <v>87</v>
      </c>
      <c r="W9" s="144">
        <v>88</v>
      </c>
      <c r="X9" s="144">
        <v>177</v>
      </c>
      <c r="Y9" s="144">
        <v>23</v>
      </c>
    </row>
    <row r="10" spans="1:25">
      <c r="A10" s="146" t="s">
        <v>201</v>
      </c>
      <c r="B10" s="142">
        <f>'[1]Total fee for sample'!C23</f>
        <v>74152.569999999992</v>
      </c>
      <c r="C10" s="142">
        <f>'[1]Total fee for sample'!C36</f>
        <v>49479.292000000001</v>
      </c>
      <c r="D10" s="142">
        <f>'[1]Total fee for sample'!D23</f>
        <v>93054.051999999996</v>
      </c>
      <c r="E10" s="142">
        <f>'[1]Total fee for sample'!D36</f>
        <v>0</v>
      </c>
      <c r="F10" s="142">
        <f>'[1]Total fee for sample'!E23</f>
        <v>63597.913</v>
      </c>
      <c r="G10" s="142">
        <f>'[1]Total fee for sample'!E36</f>
        <v>0</v>
      </c>
      <c r="H10" s="142">
        <f>'[1]Total fee for sample'!F23</f>
        <v>91484.909</v>
      </c>
      <c r="I10" s="142">
        <f>'[1]Total fee for sample'!F36</f>
        <v>18333.966</v>
      </c>
      <c r="J10" s="142">
        <f>'[1]Total fee for sample'!G23</f>
        <v>89220.900999999998</v>
      </c>
      <c r="K10" s="142">
        <f>'[1]Total fee for sample'!G36</f>
        <v>49385.968999999997</v>
      </c>
      <c r="L10" s="142">
        <f>'[1]Total fee for sample'!H23</f>
        <v>49332.455000000002</v>
      </c>
      <c r="M10" s="142">
        <f>'[1]Total fee for sample'!H36</f>
        <v>0</v>
      </c>
      <c r="N10" s="142">
        <f>'[1]Total fee for sample'!I23</f>
        <v>77456.896999999997</v>
      </c>
      <c r="O10" s="142">
        <f>'[1]Total fee for sample'!I36</f>
        <v>20144.048999999999</v>
      </c>
      <c r="P10" s="142">
        <f>'[1]Total fee for sample'!J23</f>
        <v>122770.101</v>
      </c>
      <c r="Q10" s="142">
        <f>'[1]Total fee for sample'!J36</f>
        <v>16138.282999999998</v>
      </c>
      <c r="R10" s="142">
        <f>'[1]Total fee for sample'!K23</f>
        <v>142988.62700000001</v>
      </c>
      <c r="S10" s="142">
        <f>'[1]Total fee for sample'!K36</f>
        <v>4303.9350000000004</v>
      </c>
      <c r="T10" s="142">
        <f>'[1]Total fee for sample'!L23</f>
        <v>155734.84299999999</v>
      </c>
      <c r="U10" s="142">
        <f>'[1]Total fee for sample'!L36</f>
        <v>21263.286</v>
      </c>
      <c r="V10" s="142">
        <f>'[1]Total fee for sample'!M23</f>
        <v>111861.85400000001</v>
      </c>
      <c r="W10" s="142">
        <f>'[1]Total fee for sample'!M36</f>
        <v>26695.437999999998</v>
      </c>
      <c r="X10" s="142">
        <f>'[1]Total fee for sample'!N23</f>
        <v>84638.820999999996</v>
      </c>
      <c r="Y10" s="142">
        <f>'[1]Total fee for sample'!N36</f>
        <v>2098.7350000000001</v>
      </c>
    </row>
    <row r="11" spans="1:25">
      <c r="A11" s="147" t="s">
        <v>202</v>
      </c>
      <c r="B11" s="148">
        <f t="shared" ref="B11:W11" si="0">+SUM(B5:B8)</f>
        <v>20821</v>
      </c>
      <c r="C11" s="148">
        <f t="shared" si="0"/>
        <v>6988</v>
      </c>
      <c r="D11" s="148">
        <f t="shared" si="0"/>
        <v>41313</v>
      </c>
      <c r="E11" s="148">
        <f t="shared" si="0"/>
        <v>3822</v>
      </c>
      <c r="F11" s="148">
        <f t="shared" si="0"/>
        <v>31495</v>
      </c>
      <c r="G11" s="148">
        <f t="shared" si="0"/>
        <v>14867</v>
      </c>
      <c r="H11" s="148">
        <f t="shared" si="0"/>
        <v>25851</v>
      </c>
      <c r="I11" s="148">
        <f t="shared" si="0"/>
        <v>7685</v>
      </c>
      <c r="J11" s="148">
        <f t="shared" si="0"/>
        <v>20667</v>
      </c>
      <c r="K11" s="148">
        <f t="shared" si="0"/>
        <v>1203</v>
      </c>
      <c r="L11" s="148">
        <f t="shared" si="0"/>
        <v>34845</v>
      </c>
      <c r="M11" s="148">
        <f t="shared" si="0"/>
        <v>6613</v>
      </c>
      <c r="N11" s="148">
        <f t="shared" si="0"/>
        <v>46644</v>
      </c>
      <c r="O11" s="148">
        <f t="shared" si="0"/>
        <v>16314</v>
      </c>
      <c r="P11" s="148">
        <f t="shared" si="0"/>
        <v>24855</v>
      </c>
      <c r="Q11" s="148">
        <f t="shared" si="0"/>
        <v>16147</v>
      </c>
      <c r="R11" s="148">
        <f t="shared" si="0"/>
        <v>27272</v>
      </c>
      <c r="S11" s="148">
        <f t="shared" si="0"/>
        <v>23537</v>
      </c>
      <c r="T11" s="148">
        <f t="shared" si="0"/>
        <v>35118</v>
      </c>
      <c r="U11" s="148">
        <f t="shared" si="0"/>
        <v>11158</v>
      </c>
      <c r="V11" s="148">
        <f t="shared" si="0"/>
        <v>18268</v>
      </c>
      <c r="W11" s="148">
        <f t="shared" si="0"/>
        <v>13117</v>
      </c>
    </row>
    <row r="12" spans="1:25">
      <c r="B12" s="139">
        <v>394</v>
      </c>
    </row>
    <row r="14" spans="1:25">
      <c r="B14" s="150">
        <v>43191</v>
      </c>
      <c r="C14" s="150">
        <v>43239</v>
      </c>
      <c r="D14" s="150">
        <v>43271</v>
      </c>
      <c r="E14" s="150">
        <v>43302</v>
      </c>
      <c r="F14" s="150">
        <v>43334</v>
      </c>
      <c r="G14" s="150">
        <v>43366</v>
      </c>
      <c r="H14" s="150">
        <v>43397</v>
      </c>
      <c r="I14" s="150">
        <v>43429</v>
      </c>
      <c r="J14" s="150">
        <v>43460</v>
      </c>
      <c r="K14" s="150">
        <v>43492</v>
      </c>
      <c r="L14" s="150">
        <v>43524</v>
      </c>
      <c r="M14" s="150">
        <v>43553</v>
      </c>
    </row>
    <row r="15" spans="1:25">
      <c r="A15" s="149" t="s">
        <v>199</v>
      </c>
      <c r="B15" s="148">
        <f>B9</f>
        <v>84</v>
      </c>
      <c r="C15" s="148">
        <f>D9</f>
        <v>216</v>
      </c>
      <c r="D15" s="148">
        <f>F9</f>
        <v>148</v>
      </c>
      <c r="E15" s="148">
        <f>H9</f>
        <v>130</v>
      </c>
      <c r="F15" s="148">
        <f>J9</f>
        <v>89</v>
      </c>
      <c r="G15" s="148">
        <f>L9</f>
        <v>199</v>
      </c>
      <c r="H15" s="148">
        <f>N9</f>
        <v>211</v>
      </c>
      <c r="I15" s="148">
        <f>P9</f>
        <v>109</v>
      </c>
      <c r="J15" s="148">
        <f>R9</f>
        <v>276</v>
      </c>
      <c r="K15" s="148">
        <f>T9</f>
        <v>250.4</v>
      </c>
      <c r="L15" s="148">
        <f>V9</f>
        <v>87</v>
      </c>
      <c r="M15" s="148">
        <f>X9</f>
        <v>177</v>
      </c>
    </row>
    <row r="16" spans="1:25">
      <c r="A16" s="149" t="s">
        <v>200</v>
      </c>
      <c r="B16" s="148">
        <f>C9</f>
        <v>17</v>
      </c>
      <c r="C16" s="148">
        <f>E9</f>
        <v>11</v>
      </c>
      <c r="D16" s="148">
        <f>G9</f>
        <v>51</v>
      </c>
      <c r="E16" s="148">
        <f>I9</f>
        <v>22</v>
      </c>
      <c r="F16" s="148">
        <f>K9</f>
        <v>3</v>
      </c>
      <c r="G16" s="148">
        <f>M9</f>
        <v>19</v>
      </c>
      <c r="H16" s="148">
        <f>O9</f>
        <v>73</v>
      </c>
      <c r="I16" s="148">
        <f>Q9</f>
        <v>45</v>
      </c>
      <c r="J16" s="148">
        <f>S9</f>
        <v>147</v>
      </c>
      <c r="K16" s="148">
        <f>U9</f>
        <v>101</v>
      </c>
      <c r="L16" s="148">
        <f>W9</f>
        <v>88</v>
      </c>
      <c r="M16" s="148">
        <f>Y9</f>
        <v>23</v>
      </c>
    </row>
  </sheetData>
  <mergeCells count="13">
    <mergeCell ref="X3:Y3"/>
    <mergeCell ref="L3:M3"/>
    <mergeCell ref="N3:O3"/>
    <mergeCell ref="P3:Q3"/>
    <mergeCell ref="R3:S3"/>
    <mergeCell ref="T3:U3"/>
    <mergeCell ref="V3:W3"/>
    <mergeCell ref="J3:K3"/>
    <mergeCell ref="A3:A4"/>
    <mergeCell ref="B3:C3"/>
    <mergeCell ref="D3:E3"/>
    <mergeCell ref="F3:G3"/>
    <mergeCell ref="H3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opLeftCell="A22" zoomScale="70" zoomScaleNormal="70" workbookViewId="0">
      <selection activeCell="L39" sqref="L39"/>
    </sheetView>
  </sheetViews>
  <sheetFormatPr defaultRowHeight="15"/>
  <cols>
    <col min="1" max="1" width="9.85546875" customWidth="1"/>
    <col min="2" max="2" width="21.85546875" customWidth="1"/>
    <col min="3" max="3" width="13.28515625" customWidth="1"/>
    <col min="4" max="4" width="15.85546875" customWidth="1"/>
    <col min="5" max="5" width="13.140625" customWidth="1"/>
    <col min="6" max="6" width="17.85546875" customWidth="1"/>
    <col min="7" max="7" width="11.42578125" customWidth="1"/>
    <col min="13" max="13" width="11.140625" customWidth="1"/>
  </cols>
  <sheetData>
    <row r="1" spans="1:6" ht="24" customHeight="1">
      <c r="B1" s="992" t="s">
        <v>170</v>
      </c>
      <c r="C1" s="992"/>
      <c r="D1" s="992"/>
      <c r="E1" s="992"/>
      <c r="F1" s="992"/>
    </row>
    <row r="3" spans="1:6">
      <c r="B3" s="97" t="s">
        <v>160</v>
      </c>
      <c r="C3" s="98">
        <v>22500</v>
      </c>
    </row>
    <row r="4" spans="1:6">
      <c r="B4" s="99" t="s">
        <v>161</v>
      </c>
      <c r="C4" s="100">
        <v>178.57</v>
      </c>
    </row>
    <row r="5" spans="1:6" ht="42.75" customHeight="1">
      <c r="A5" s="1004">
        <v>42826</v>
      </c>
      <c r="B5" s="994" t="s">
        <v>25</v>
      </c>
      <c r="C5" s="995"/>
      <c r="D5" s="62" t="s">
        <v>4</v>
      </c>
      <c r="E5" s="62" t="s">
        <v>7</v>
      </c>
      <c r="F5" s="75" t="s">
        <v>42</v>
      </c>
    </row>
    <row r="6" spans="1:6" ht="15.75" customHeight="1">
      <c r="A6" s="1004"/>
      <c r="B6" s="996" t="s">
        <v>27</v>
      </c>
      <c r="C6" s="996"/>
      <c r="D6" s="101">
        <v>6</v>
      </c>
      <c r="E6" s="102"/>
      <c r="F6" s="102"/>
    </row>
    <row r="7" spans="1:6" ht="15.75">
      <c r="A7" s="1004"/>
      <c r="B7" s="997" t="s">
        <v>39</v>
      </c>
      <c r="C7" s="997"/>
      <c r="D7" s="103">
        <v>151.19999999999999</v>
      </c>
      <c r="E7" s="104"/>
      <c r="F7" s="104"/>
    </row>
    <row r="8" spans="1:6" ht="24.75" customHeight="1">
      <c r="A8" s="1004"/>
      <c r="B8" s="996" t="s">
        <v>163</v>
      </c>
      <c r="C8" s="996"/>
      <c r="D8" s="105">
        <f>25046211.7/22600</f>
        <v>1108.2394557522123</v>
      </c>
      <c r="E8" s="102"/>
      <c r="F8" s="102">
        <f>D8</f>
        <v>1108.2394557522123</v>
      </c>
    </row>
    <row r="9" spans="1:6" ht="32.25" customHeight="1">
      <c r="A9" s="1004"/>
      <c r="B9" s="998" t="s">
        <v>164</v>
      </c>
      <c r="C9" s="999"/>
      <c r="D9" s="106">
        <v>631.63</v>
      </c>
      <c r="E9" s="104"/>
      <c r="F9" s="113">
        <f>D9</f>
        <v>631.63</v>
      </c>
    </row>
    <row r="10" spans="1:6" ht="27" customHeight="1">
      <c r="A10" s="1004"/>
      <c r="B10" s="1000" t="s">
        <v>40</v>
      </c>
      <c r="C10" s="107" t="s">
        <v>27</v>
      </c>
      <c r="D10" s="108">
        <v>1</v>
      </c>
      <c r="E10" s="108">
        <v>1</v>
      </c>
      <c r="F10" s="102"/>
    </row>
    <row r="11" spans="1:6" ht="29.25" customHeight="1">
      <c r="A11" s="1004"/>
      <c r="B11" s="1001"/>
      <c r="C11" s="109" t="s">
        <v>38</v>
      </c>
      <c r="D11" s="106">
        <v>80.319999999999993</v>
      </c>
      <c r="E11" s="106">
        <v>28.22</v>
      </c>
      <c r="F11" s="113">
        <f>+D11+E11</f>
        <v>108.53999999999999</v>
      </c>
    </row>
    <row r="12" spans="1:6" ht="15.75">
      <c r="A12" s="1004"/>
      <c r="B12" s="1002" t="s">
        <v>41</v>
      </c>
      <c r="C12" s="1002"/>
      <c r="D12" s="110">
        <f>+D8+D9+D11</f>
        <v>1820.1894557522121</v>
      </c>
      <c r="E12" s="111">
        <f>+E11</f>
        <v>28.22</v>
      </c>
      <c r="F12" s="110">
        <f>+SUM(D12:E12)</f>
        <v>1848.4094557522121</v>
      </c>
    </row>
    <row r="14" spans="1:6">
      <c r="B14" s="97" t="s">
        <v>160</v>
      </c>
      <c r="C14" s="98">
        <v>22500</v>
      </c>
    </row>
    <row r="15" spans="1:6">
      <c r="B15" s="99" t="s">
        <v>161</v>
      </c>
      <c r="C15" s="100">
        <v>178.57</v>
      </c>
    </row>
    <row r="16" spans="1:6" ht="31.5">
      <c r="A16" s="1003">
        <v>42856</v>
      </c>
      <c r="B16" s="994" t="s">
        <v>25</v>
      </c>
      <c r="C16" s="995"/>
      <c r="D16" s="62" t="s">
        <v>4</v>
      </c>
      <c r="E16" s="62" t="s">
        <v>7</v>
      </c>
      <c r="F16" s="75" t="s">
        <v>42</v>
      </c>
    </row>
    <row r="17" spans="1:7" ht="15.75" customHeight="1">
      <c r="A17" s="1003"/>
      <c r="B17" s="996" t="s">
        <v>27</v>
      </c>
      <c r="C17" s="996"/>
      <c r="D17" s="101">
        <v>8</v>
      </c>
      <c r="E17" s="102"/>
      <c r="F17" s="102"/>
    </row>
    <row r="18" spans="1:7" ht="15.75">
      <c r="A18" s="1003"/>
      <c r="B18" s="997" t="s">
        <v>39</v>
      </c>
      <c r="C18" s="997"/>
      <c r="D18" s="103">
        <v>504</v>
      </c>
      <c r="E18" s="104"/>
      <c r="F18" s="104"/>
    </row>
    <row r="19" spans="1:7" ht="15.75" customHeight="1">
      <c r="A19" s="1003"/>
      <c r="B19" s="996" t="s">
        <v>163</v>
      </c>
      <c r="C19" s="996"/>
      <c r="D19" s="105">
        <f>75761820.8/C14</f>
        <v>3367.1920355555553</v>
      </c>
      <c r="E19" s="102"/>
      <c r="F19" s="102">
        <f>+D19+E19</f>
        <v>3367.1920355555553</v>
      </c>
    </row>
    <row r="20" spans="1:7" ht="15.75" customHeight="1">
      <c r="A20" s="1003"/>
      <c r="B20" s="998" t="s">
        <v>164</v>
      </c>
      <c r="C20" s="999"/>
      <c r="D20" s="106">
        <v>172.04</v>
      </c>
      <c r="E20" s="104"/>
      <c r="F20" s="123">
        <f>+D20+E20</f>
        <v>172.04</v>
      </c>
    </row>
    <row r="21" spans="1:7" ht="31.5" customHeight="1">
      <c r="A21" s="1003"/>
      <c r="B21" s="1000" t="s">
        <v>40</v>
      </c>
      <c r="C21" s="107" t="s">
        <v>27</v>
      </c>
      <c r="D21" s="108">
        <v>2</v>
      </c>
      <c r="E21" s="108">
        <v>3</v>
      </c>
      <c r="F21" s="102"/>
    </row>
    <row r="22" spans="1:7" ht="33" customHeight="1">
      <c r="A22" s="1003"/>
      <c r="B22" s="1001"/>
      <c r="C22" s="109" t="s">
        <v>38</v>
      </c>
      <c r="D22" s="106">
        <v>840.45</v>
      </c>
      <c r="E22" s="106">
        <v>196.64</v>
      </c>
      <c r="F22" s="104">
        <f>+D22+E22</f>
        <v>1037.0900000000001</v>
      </c>
    </row>
    <row r="23" spans="1:7" ht="31.5" customHeight="1">
      <c r="A23" s="1003"/>
      <c r="B23" s="1002" t="s">
        <v>41</v>
      </c>
      <c r="C23" s="1002"/>
      <c r="D23" s="110">
        <f>+D22+D20+D19</f>
        <v>4379.6820355555556</v>
      </c>
      <c r="E23" s="110">
        <f>+E22+E20+E19</f>
        <v>196.64</v>
      </c>
      <c r="F23" s="110">
        <f>+D23+E23</f>
        <v>4576.3220355555559</v>
      </c>
    </row>
    <row r="25" spans="1:7">
      <c r="B25" s="97" t="s">
        <v>160</v>
      </c>
      <c r="C25" s="98">
        <v>22500</v>
      </c>
    </row>
    <row r="26" spans="1:7">
      <c r="B26" s="99" t="s">
        <v>161</v>
      </c>
      <c r="C26" s="100">
        <v>178.57</v>
      </c>
    </row>
    <row r="27" spans="1:7" ht="31.5">
      <c r="A27" s="1003">
        <v>42887</v>
      </c>
      <c r="B27" s="994" t="s">
        <v>25</v>
      </c>
      <c r="C27" s="995"/>
      <c r="D27" s="62" t="s">
        <v>4</v>
      </c>
      <c r="E27" s="62" t="s">
        <v>7</v>
      </c>
      <c r="F27" s="62" t="s">
        <v>172</v>
      </c>
      <c r="G27" s="75" t="s">
        <v>42</v>
      </c>
    </row>
    <row r="28" spans="1:7" ht="15.75" customHeight="1">
      <c r="A28" s="1003"/>
      <c r="B28" s="996" t="s">
        <v>27</v>
      </c>
      <c r="C28" s="996"/>
      <c r="D28" s="101">
        <v>9</v>
      </c>
      <c r="E28" s="102"/>
      <c r="F28" s="101">
        <v>1</v>
      </c>
      <c r="G28" s="102"/>
    </row>
    <row r="29" spans="1:7" ht="15.75">
      <c r="A29" s="1003"/>
      <c r="B29" s="997" t="s">
        <v>39</v>
      </c>
      <c r="C29" s="997"/>
      <c r="D29" s="123">
        <v>216.95</v>
      </c>
      <c r="E29" s="104"/>
      <c r="F29" s="104"/>
      <c r="G29" s="104"/>
    </row>
    <row r="30" spans="1:7" ht="15.75" customHeight="1">
      <c r="A30" s="1003"/>
      <c r="B30" s="996" t="s">
        <v>163</v>
      </c>
      <c r="C30" s="996"/>
      <c r="D30" s="105">
        <f>(94686950.4-780000)/C25</f>
        <v>4173.6422400000001</v>
      </c>
      <c r="E30" s="102"/>
      <c r="F30" s="105">
        <f>780000/C25</f>
        <v>34.666666666666664</v>
      </c>
      <c r="G30" s="102">
        <f>+D30+F30</f>
        <v>4208.3089066666671</v>
      </c>
    </row>
    <row r="31" spans="1:7" ht="15.75" customHeight="1">
      <c r="A31" s="1003"/>
      <c r="B31" s="998" t="s">
        <v>164</v>
      </c>
      <c r="C31" s="999"/>
      <c r="D31" s="106">
        <v>822.03</v>
      </c>
      <c r="E31" s="104"/>
      <c r="F31" s="104"/>
      <c r="G31" s="123">
        <f>+D31+E31+F31</f>
        <v>822.03</v>
      </c>
    </row>
    <row r="32" spans="1:7" ht="31.5" customHeight="1">
      <c r="A32" s="1003"/>
      <c r="B32" s="1000" t="s">
        <v>40</v>
      </c>
      <c r="C32" s="107" t="s">
        <v>27</v>
      </c>
      <c r="D32" s="108"/>
      <c r="E32" s="108">
        <v>2</v>
      </c>
      <c r="F32" s="108"/>
      <c r="G32" s="102"/>
    </row>
    <row r="33" spans="1:7" ht="33" customHeight="1">
      <c r="A33" s="1003"/>
      <c r="B33" s="1001"/>
      <c r="C33" s="109" t="s">
        <v>38</v>
      </c>
      <c r="D33" s="106"/>
      <c r="E33" s="106">
        <v>93.4</v>
      </c>
      <c r="F33" s="106"/>
      <c r="G33" s="123">
        <f>+D33+E33+F33</f>
        <v>93.4</v>
      </c>
    </row>
    <row r="34" spans="1:7" ht="22.5" customHeight="1">
      <c r="A34" s="1003"/>
      <c r="B34" s="1002" t="s">
        <v>41</v>
      </c>
      <c r="C34" s="1002"/>
      <c r="D34" s="110">
        <f>+D30+D31</f>
        <v>4995.6722399999999</v>
      </c>
      <c r="E34" s="111">
        <f>+E33</f>
        <v>93.4</v>
      </c>
      <c r="F34" s="111">
        <f>+F30</f>
        <v>34.666666666666664</v>
      </c>
      <c r="G34" s="110">
        <f>+SUM(D34:F34)</f>
        <v>5123.7389066666665</v>
      </c>
    </row>
    <row r="36" spans="1:7">
      <c r="B36" s="97" t="s">
        <v>160</v>
      </c>
      <c r="C36" s="98">
        <v>22500</v>
      </c>
    </row>
    <row r="37" spans="1:7">
      <c r="B37" s="99" t="s">
        <v>161</v>
      </c>
      <c r="C37" s="100">
        <v>178.57</v>
      </c>
    </row>
    <row r="38" spans="1:7" ht="31.5">
      <c r="A38" s="1003">
        <v>42917</v>
      </c>
      <c r="B38" s="994" t="s">
        <v>25</v>
      </c>
      <c r="C38" s="995"/>
      <c r="D38" s="62" t="s">
        <v>4</v>
      </c>
      <c r="E38" s="62" t="s">
        <v>7</v>
      </c>
      <c r="F38" s="75" t="s">
        <v>173</v>
      </c>
    </row>
    <row r="39" spans="1:7" ht="15.75">
      <c r="A39" s="1003"/>
      <c r="B39" s="996" t="s">
        <v>27</v>
      </c>
      <c r="C39" s="996"/>
      <c r="D39" s="101"/>
      <c r="E39" s="102"/>
      <c r="F39" s="102"/>
    </row>
    <row r="40" spans="1:7" ht="15.75">
      <c r="A40" s="1003"/>
      <c r="B40" s="997" t="s">
        <v>39</v>
      </c>
      <c r="C40" s="997"/>
      <c r="D40" s="103">
        <v>412</v>
      </c>
      <c r="E40" s="104"/>
      <c r="F40" s="104"/>
    </row>
    <row r="41" spans="1:7" ht="15.75">
      <c r="A41" s="1003"/>
      <c r="B41" s="996" t="s">
        <v>163</v>
      </c>
      <c r="C41" s="996"/>
      <c r="D41" s="105">
        <v>28111.483350000002</v>
      </c>
      <c r="E41" s="102"/>
      <c r="F41" s="108">
        <f>+D41+E41</f>
        <v>28111.483350000002</v>
      </c>
    </row>
    <row r="42" spans="1:7" ht="15.75">
      <c r="A42" s="1003"/>
      <c r="B42" s="998" t="s">
        <v>164</v>
      </c>
      <c r="C42" s="999"/>
      <c r="D42" s="106">
        <v>52435.08</v>
      </c>
      <c r="E42" s="104"/>
      <c r="F42" s="108">
        <f>+D42+E42</f>
        <v>52435.08</v>
      </c>
    </row>
    <row r="43" spans="1:7" ht="21" customHeight="1">
      <c r="A43" s="1003"/>
      <c r="B43" s="1000" t="s">
        <v>40</v>
      </c>
      <c r="C43" s="107" t="s">
        <v>27</v>
      </c>
      <c r="D43" s="108"/>
      <c r="E43" s="108"/>
      <c r="F43" s="102"/>
    </row>
    <row r="44" spans="1:7" ht="27.75" customHeight="1">
      <c r="A44" s="1003"/>
      <c r="B44" s="1001"/>
      <c r="C44" s="109" t="s">
        <v>38</v>
      </c>
      <c r="D44" s="106">
        <v>5926.8716100000001</v>
      </c>
      <c r="E44" s="106">
        <v>12566.831310000001</v>
      </c>
      <c r="F44" s="104">
        <f>+D44+E44</f>
        <v>18493.702920000003</v>
      </c>
    </row>
    <row r="45" spans="1:7" ht="15.75">
      <c r="A45" s="1003"/>
      <c r="B45" s="1002" t="s">
        <v>41</v>
      </c>
      <c r="C45" s="1002"/>
      <c r="D45" s="110">
        <f>+D44+D42+D41</f>
        <v>86473.434960000013</v>
      </c>
      <c r="E45" s="110">
        <f>+E44+E42+E41</f>
        <v>12566.831310000001</v>
      </c>
      <c r="F45" s="110">
        <f>+D45+E45</f>
        <v>99040.266270000022</v>
      </c>
    </row>
    <row r="47" spans="1:7">
      <c r="B47" s="97" t="s">
        <v>160</v>
      </c>
      <c r="C47" s="98">
        <v>22500</v>
      </c>
    </row>
    <row r="48" spans="1:7">
      <c r="B48" s="99" t="s">
        <v>161</v>
      </c>
      <c r="C48" s="100">
        <v>178.57</v>
      </c>
    </row>
    <row r="49" spans="1:6" ht="31.5">
      <c r="A49" s="1003">
        <v>42948</v>
      </c>
      <c r="B49" s="994" t="s">
        <v>25</v>
      </c>
      <c r="C49" s="995"/>
      <c r="D49" s="62" t="s">
        <v>4</v>
      </c>
      <c r="E49" s="62" t="s">
        <v>7</v>
      </c>
      <c r="F49" s="75" t="s">
        <v>173</v>
      </c>
    </row>
    <row r="50" spans="1:6" ht="15.75">
      <c r="A50" s="1003"/>
      <c r="B50" s="996" t="s">
        <v>27</v>
      </c>
      <c r="C50" s="996"/>
      <c r="D50" s="101">
        <v>5</v>
      </c>
      <c r="E50" s="102"/>
      <c r="F50" s="102"/>
    </row>
    <row r="51" spans="1:6" ht="15.75">
      <c r="A51" s="1003"/>
      <c r="B51" s="997" t="s">
        <v>39</v>
      </c>
      <c r="C51" s="997"/>
      <c r="D51" s="103">
        <v>114.1</v>
      </c>
      <c r="E51" s="104"/>
      <c r="F51" s="104"/>
    </row>
    <row r="52" spans="1:6" ht="15.75">
      <c r="A52" s="1003"/>
      <c r="B52" s="996" t="s">
        <v>163</v>
      </c>
      <c r="C52" s="996"/>
      <c r="D52" s="125">
        <f>1300000/1000</f>
        <v>1300</v>
      </c>
      <c r="E52" s="102"/>
      <c r="F52" s="108">
        <f>+D52+E52</f>
        <v>1300</v>
      </c>
    </row>
    <row r="53" spans="1:6" ht="15.75">
      <c r="A53" s="1003"/>
      <c r="B53" s="998" t="s">
        <v>164</v>
      </c>
      <c r="C53" s="999"/>
      <c r="D53" s="126">
        <v>15087.50375</v>
      </c>
      <c r="E53" s="104"/>
      <c r="F53" s="127">
        <f>+D53+E53</f>
        <v>15087.50375</v>
      </c>
    </row>
    <row r="54" spans="1:6" ht="17.25" customHeight="1">
      <c r="A54" s="1003"/>
      <c r="B54" s="1000" t="s">
        <v>165</v>
      </c>
      <c r="C54" s="107" t="s">
        <v>27</v>
      </c>
      <c r="D54" s="108"/>
      <c r="E54" s="108">
        <v>1</v>
      </c>
      <c r="F54" s="102"/>
    </row>
    <row r="55" spans="1:6" ht="17.25" customHeight="1">
      <c r="A55" s="1003"/>
      <c r="B55" s="1005"/>
      <c r="C55" s="107" t="s">
        <v>174</v>
      </c>
      <c r="D55" s="108"/>
      <c r="E55" s="131">
        <v>1.88</v>
      </c>
      <c r="F55" s="102"/>
    </row>
    <row r="56" spans="1:6" ht="19.5" customHeight="1">
      <c r="A56" s="1003"/>
      <c r="B56" s="1001"/>
      <c r="C56" s="109" t="s">
        <v>38</v>
      </c>
      <c r="D56" s="106"/>
      <c r="E56" s="126">
        <v>958.12772000000018</v>
      </c>
      <c r="F56" s="104">
        <f>+E56+D56</f>
        <v>958.12772000000018</v>
      </c>
    </row>
    <row r="57" spans="1:6" ht="15.75">
      <c r="A57" s="1003"/>
      <c r="B57" s="1002" t="s">
        <v>41</v>
      </c>
      <c r="C57" s="1002"/>
      <c r="D57" s="110">
        <f>+D56+D53+D52</f>
        <v>16387.50375</v>
      </c>
      <c r="E57" s="110">
        <f>+E56+E53+E52</f>
        <v>958.12772000000018</v>
      </c>
      <c r="F57" s="128">
        <f>+D57+E57</f>
        <v>17345.63147</v>
      </c>
    </row>
    <row r="59" spans="1:6">
      <c r="B59" s="97" t="s">
        <v>160</v>
      </c>
      <c r="C59" s="98">
        <v>22500</v>
      </c>
    </row>
    <row r="60" spans="1:6">
      <c r="B60" s="99" t="s">
        <v>161</v>
      </c>
      <c r="C60" s="100">
        <v>178.57</v>
      </c>
    </row>
    <row r="61" spans="1:6" ht="31.5">
      <c r="A61" s="1003">
        <v>42979</v>
      </c>
      <c r="B61" s="994" t="s">
        <v>25</v>
      </c>
      <c r="C61" s="995"/>
      <c r="D61" s="62" t="s">
        <v>4</v>
      </c>
      <c r="E61" s="62" t="s">
        <v>7</v>
      </c>
      <c r="F61" s="75" t="s">
        <v>42</v>
      </c>
    </row>
    <row r="62" spans="1:6" ht="15.75">
      <c r="A62" s="1003"/>
      <c r="B62" s="996" t="s">
        <v>27</v>
      </c>
      <c r="C62" s="996"/>
      <c r="D62" s="101">
        <v>8</v>
      </c>
      <c r="E62" s="102"/>
      <c r="F62" s="102"/>
    </row>
    <row r="63" spans="1:6" ht="15.75">
      <c r="A63" s="1003"/>
      <c r="B63" s="997" t="s">
        <v>39</v>
      </c>
      <c r="C63" s="997"/>
      <c r="D63" s="103">
        <v>307.39999999999998</v>
      </c>
      <c r="E63" s="104"/>
      <c r="F63" s="104"/>
    </row>
    <row r="64" spans="1:6" ht="15.75">
      <c r="A64" s="1003"/>
      <c r="B64" s="996" t="s">
        <v>163</v>
      </c>
      <c r="C64" s="996"/>
      <c r="D64" s="105">
        <v>24286.276600000001</v>
      </c>
      <c r="E64" s="102"/>
      <c r="F64" s="102">
        <f>+D64+E64</f>
        <v>24286.276600000001</v>
      </c>
    </row>
    <row r="65" spans="1:6" ht="15.75">
      <c r="A65" s="1003"/>
      <c r="B65" s="998" t="s">
        <v>164</v>
      </c>
      <c r="C65" s="999"/>
      <c r="D65" s="106">
        <v>34958.161650000002</v>
      </c>
      <c r="E65" s="104"/>
      <c r="F65" s="113">
        <f>+D65+E65</f>
        <v>34958.161650000002</v>
      </c>
    </row>
    <row r="66" spans="1:6" ht="15.75">
      <c r="A66" s="1003"/>
      <c r="B66" s="1000" t="s">
        <v>40</v>
      </c>
      <c r="C66" s="107" t="s">
        <v>27</v>
      </c>
      <c r="D66" s="108">
        <v>2</v>
      </c>
      <c r="E66" s="108">
        <v>3</v>
      </c>
      <c r="F66" s="102"/>
    </row>
    <row r="67" spans="1:6" ht="15.75">
      <c r="A67" s="1003"/>
      <c r="B67" s="1005"/>
      <c r="C67" s="107" t="s">
        <v>175</v>
      </c>
      <c r="D67" s="108"/>
      <c r="E67" s="108"/>
      <c r="F67" s="102"/>
    </row>
    <row r="68" spans="1:6" ht="34.5" customHeight="1">
      <c r="A68" s="1003"/>
      <c r="B68" s="1001"/>
      <c r="C68" s="109" t="s">
        <v>38</v>
      </c>
      <c r="D68" s="106">
        <v>8997.6613649999999</v>
      </c>
      <c r="E68" s="106">
        <v>6139.174140000001</v>
      </c>
      <c r="F68" s="104">
        <f>+D68+E68</f>
        <v>15136.835505000001</v>
      </c>
    </row>
    <row r="69" spans="1:6" ht="15.75">
      <c r="A69" s="1003"/>
      <c r="B69" s="1002" t="s">
        <v>41</v>
      </c>
      <c r="C69" s="1002"/>
      <c r="D69" s="110"/>
      <c r="E69" s="111"/>
      <c r="F69" s="110">
        <f>+SUM(F62:F68)</f>
        <v>74381.273755000002</v>
      </c>
    </row>
    <row r="71" spans="1:6">
      <c r="B71" s="97" t="s">
        <v>160</v>
      </c>
      <c r="C71" s="98">
        <v>22500</v>
      </c>
    </row>
    <row r="72" spans="1:6">
      <c r="B72" s="99" t="s">
        <v>161</v>
      </c>
      <c r="C72" s="100">
        <v>178.57</v>
      </c>
      <c r="F72" t="s">
        <v>177</v>
      </c>
    </row>
    <row r="73" spans="1:6" ht="31.5">
      <c r="A73" s="1003">
        <v>43009</v>
      </c>
      <c r="B73" s="994" t="s">
        <v>25</v>
      </c>
      <c r="C73" s="995"/>
      <c r="D73" s="62" t="s">
        <v>4</v>
      </c>
      <c r="E73" s="62" t="s">
        <v>7</v>
      </c>
      <c r="F73" s="75" t="s">
        <v>42</v>
      </c>
    </row>
    <row r="74" spans="1:6" ht="15.75">
      <c r="A74" s="1003"/>
      <c r="B74" s="996" t="s">
        <v>27</v>
      </c>
      <c r="C74" s="996"/>
      <c r="D74" s="101">
        <v>7</v>
      </c>
      <c r="E74" s="102"/>
      <c r="F74" s="102"/>
    </row>
    <row r="75" spans="1:6" ht="15.75">
      <c r="A75" s="1003"/>
      <c r="B75" s="997" t="s">
        <v>39</v>
      </c>
      <c r="C75" s="997"/>
      <c r="D75" s="103">
        <v>147.30000000000001</v>
      </c>
      <c r="E75" s="104"/>
      <c r="F75" s="104"/>
    </row>
    <row r="76" spans="1:6" ht="15.75">
      <c r="A76" s="1003"/>
      <c r="B76" s="996" t="s">
        <v>163</v>
      </c>
      <c r="C76" s="996"/>
      <c r="D76" s="105">
        <v>15876.555399999999</v>
      </c>
      <c r="E76" s="102"/>
      <c r="F76" s="102">
        <f>+D76+E76</f>
        <v>15876.555399999999</v>
      </c>
    </row>
    <row r="77" spans="1:6" ht="15.75">
      <c r="A77" s="1003"/>
      <c r="B77" s="998" t="s">
        <v>164</v>
      </c>
      <c r="C77" s="999"/>
      <c r="D77" s="106">
        <v>8094.4089999999997</v>
      </c>
      <c r="E77" s="104"/>
      <c r="F77" s="104">
        <f>+E77+D77</f>
        <v>8094.4089999999997</v>
      </c>
    </row>
    <row r="78" spans="1:6" ht="15.75">
      <c r="A78" s="1003"/>
      <c r="B78" s="1000" t="s">
        <v>40</v>
      </c>
      <c r="C78" s="107" t="s">
        <v>27</v>
      </c>
      <c r="D78" s="108">
        <v>3</v>
      </c>
      <c r="E78" s="108">
        <v>3</v>
      </c>
      <c r="F78" s="102"/>
    </row>
    <row r="79" spans="1:6" ht="31.5" customHeight="1">
      <c r="A79" s="1003"/>
      <c r="B79" s="1001"/>
      <c r="C79" s="109" t="s">
        <v>38</v>
      </c>
      <c r="D79" s="106">
        <v>10200.41748</v>
      </c>
      <c r="E79" s="106">
        <v>3402.1420400000002</v>
      </c>
      <c r="F79" s="104">
        <f>+E79+D79</f>
        <v>13602.559520000001</v>
      </c>
    </row>
    <row r="80" spans="1:6" ht="21.75" customHeight="1">
      <c r="A80" s="1003"/>
      <c r="B80" s="1002" t="s">
        <v>176</v>
      </c>
      <c r="C80" s="1002"/>
      <c r="D80" s="110">
        <f>+D79+D77+D76</f>
        <v>34171.381880000001</v>
      </c>
      <c r="E80" s="110">
        <f>+E79+E77+E76</f>
        <v>3402.1420400000002</v>
      </c>
      <c r="F80" s="110">
        <f>+E80+D80</f>
        <v>37573.52392</v>
      </c>
    </row>
    <row r="82" spans="1:6">
      <c r="B82" s="97" t="s">
        <v>160</v>
      </c>
      <c r="C82" s="98">
        <v>22500</v>
      </c>
    </row>
    <row r="83" spans="1:6">
      <c r="B83" s="99" t="s">
        <v>161</v>
      </c>
      <c r="C83" s="100">
        <v>178.57</v>
      </c>
    </row>
    <row r="84" spans="1:6" ht="31.5">
      <c r="A84" s="1004">
        <v>43040</v>
      </c>
      <c r="B84" s="994" t="s">
        <v>25</v>
      </c>
      <c r="C84" s="995"/>
      <c r="D84" s="62" t="s">
        <v>4</v>
      </c>
      <c r="E84" s="62" t="s">
        <v>7</v>
      </c>
      <c r="F84" s="75" t="s">
        <v>42</v>
      </c>
    </row>
    <row r="85" spans="1:6" ht="15.75">
      <c r="A85" s="1004"/>
      <c r="B85" s="996" t="s">
        <v>27</v>
      </c>
      <c r="C85" s="996"/>
      <c r="D85" s="101">
        <v>8</v>
      </c>
      <c r="E85" s="102"/>
      <c r="F85" s="102"/>
    </row>
    <row r="86" spans="1:6" ht="15.75">
      <c r="A86" s="1004"/>
      <c r="B86" s="997" t="s">
        <v>39</v>
      </c>
      <c r="C86" s="997"/>
      <c r="D86" s="103">
        <v>311</v>
      </c>
      <c r="E86" s="104"/>
      <c r="F86" s="104"/>
    </row>
    <row r="87" spans="1:6" ht="15.75">
      <c r="A87" s="1004"/>
      <c r="B87" s="996" t="s">
        <v>163</v>
      </c>
      <c r="C87" s="996"/>
      <c r="D87" s="125">
        <v>28315.644550000001</v>
      </c>
      <c r="E87" s="102"/>
      <c r="F87" s="102">
        <f>+E87+D87</f>
        <v>28315.644550000001</v>
      </c>
    </row>
    <row r="88" spans="1:6" ht="15.75">
      <c r="A88" s="1004"/>
      <c r="B88" s="998" t="s">
        <v>164</v>
      </c>
      <c r="C88" s="999"/>
      <c r="D88" s="126">
        <v>20038.813999999998</v>
      </c>
      <c r="E88" s="104"/>
      <c r="F88" s="104">
        <f>+E88+D88</f>
        <v>20038.813999999998</v>
      </c>
    </row>
    <row r="89" spans="1:6" ht="15.75">
      <c r="A89" s="1004"/>
      <c r="B89" s="1000" t="s">
        <v>181</v>
      </c>
      <c r="C89" s="107" t="s">
        <v>27</v>
      </c>
      <c r="D89" s="108"/>
      <c r="E89" s="108">
        <v>3</v>
      </c>
      <c r="F89" s="102"/>
    </row>
    <row r="90" spans="1:6" ht="15.75">
      <c r="A90" s="1004"/>
      <c r="B90" s="1001"/>
      <c r="C90" s="109" t="s">
        <v>38</v>
      </c>
      <c r="D90" s="126">
        <v>10950.593885</v>
      </c>
      <c r="E90" s="126">
        <v>2521.945745</v>
      </c>
      <c r="F90" s="104">
        <f>+E90+D90</f>
        <v>13472.539629999999</v>
      </c>
    </row>
    <row r="91" spans="1:6" ht="15.75">
      <c r="A91" s="1004"/>
      <c r="B91" s="1002" t="s">
        <v>182</v>
      </c>
      <c r="C91" s="1002"/>
      <c r="D91" s="110">
        <f>+D90+D88+D87</f>
        <v>59305.052435000005</v>
      </c>
      <c r="E91" s="111">
        <f>+E90</f>
        <v>2521.945745</v>
      </c>
      <c r="F91" s="126">
        <f>+E91+D91</f>
        <v>61826.998180000002</v>
      </c>
    </row>
    <row r="93" spans="1:6">
      <c r="B93" s="97" t="s">
        <v>160</v>
      </c>
      <c r="C93" s="98">
        <v>22500</v>
      </c>
    </row>
    <row r="94" spans="1:6">
      <c r="B94" s="99" t="s">
        <v>161</v>
      </c>
      <c r="C94" s="100">
        <v>178.57</v>
      </c>
    </row>
    <row r="95" spans="1:6" ht="31.5">
      <c r="A95" s="1004">
        <v>43070</v>
      </c>
      <c r="B95" s="994" t="s">
        <v>25</v>
      </c>
      <c r="C95" s="995"/>
      <c r="D95" s="62" t="s">
        <v>4</v>
      </c>
      <c r="E95" s="62" t="s">
        <v>7</v>
      </c>
      <c r="F95" s="75" t="s">
        <v>173</v>
      </c>
    </row>
    <row r="96" spans="1:6" ht="15.75">
      <c r="A96" s="1004"/>
      <c r="B96" s="996" t="s">
        <v>27</v>
      </c>
      <c r="C96" s="996"/>
      <c r="D96" s="101">
        <v>7</v>
      </c>
      <c r="E96" s="102"/>
      <c r="F96" s="102"/>
    </row>
    <row r="97" spans="1:6" ht="15.75">
      <c r="A97" s="1004"/>
      <c r="B97" s="997" t="s">
        <v>39</v>
      </c>
      <c r="C97" s="997"/>
      <c r="D97" s="103">
        <v>94.84</v>
      </c>
      <c r="E97" s="104"/>
      <c r="F97" s="104"/>
    </row>
    <row r="98" spans="1:6" ht="15.75">
      <c r="A98" s="1004"/>
      <c r="B98" s="996" t="s">
        <v>163</v>
      </c>
      <c r="C98" s="996"/>
      <c r="D98" s="105">
        <v>1970</v>
      </c>
      <c r="E98" s="102"/>
      <c r="F98" s="102">
        <f>+D98+E98</f>
        <v>1970</v>
      </c>
    </row>
    <row r="99" spans="1:6" ht="15.75">
      <c r="A99" s="1004"/>
      <c r="B99" s="998" t="s">
        <v>164</v>
      </c>
      <c r="C99" s="999"/>
      <c r="D99" s="106">
        <v>16747.692279999999</v>
      </c>
      <c r="E99" s="104"/>
      <c r="F99" s="132">
        <f>+D99+E99</f>
        <v>16747.692279999999</v>
      </c>
    </row>
    <row r="100" spans="1:6" ht="15.75">
      <c r="A100" s="1004"/>
      <c r="B100" s="1000" t="s">
        <v>185</v>
      </c>
      <c r="C100" s="107" t="s">
        <v>27</v>
      </c>
      <c r="D100" s="108">
        <v>2</v>
      </c>
      <c r="E100" s="108">
        <v>3</v>
      </c>
      <c r="F100" s="102"/>
    </row>
    <row r="101" spans="1:6" ht="15.75">
      <c r="A101" s="1004"/>
      <c r="B101" s="1001"/>
      <c r="C101" s="109" t="s">
        <v>38</v>
      </c>
      <c r="D101" s="106">
        <v>1484.7546500000001</v>
      </c>
      <c r="E101" s="106">
        <v>2599.3834900000002</v>
      </c>
      <c r="F101" s="104">
        <f>+D101+E101</f>
        <v>4084.13814</v>
      </c>
    </row>
    <row r="102" spans="1:6" ht="15.75">
      <c r="A102" s="1004"/>
      <c r="B102" s="1002" t="s">
        <v>41</v>
      </c>
      <c r="C102" s="1002"/>
      <c r="D102" s="110">
        <f>+D101+D99+D98</f>
        <v>20202.446929999998</v>
      </c>
      <c r="E102" s="110">
        <f>+E101+E99+E98</f>
        <v>2599.3834900000002</v>
      </c>
      <c r="F102" s="110">
        <f>+E102+D102</f>
        <v>22801.830419999998</v>
      </c>
    </row>
    <row r="104" spans="1:6">
      <c r="B104" s="97" t="s">
        <v>160</v>
      </c>
      <c r="C104" s="98">
        <v>22500</v>
      </c>
    </row>
    <row r="105" spans="1:6">
      <c r="B105" s="99" t="s">
        <v>161</v>
      </c>
      <c r="C105" s="100">
        <v>178.57</v>
      </c>
    </row>
    <row r="106" spans="1:6" ht="31.5">
      <c r="A106" s="1003">
        <v>43101</v>
      </c>
      <c r="B106" s="994" t="s">
        <v>25</v>
      </c>
      <c r="C106" s="995"/>
      <c r="D106" s="62" t="s">
        <v>4</v>
      </c>
      <c r="E106" s="62" t="s">
        <v>7</v>
      </c>
      <c r="F106" s="75" t="s">
        <v>173</v>
      </c>
    </row>
    <row r="107" spans="1:6" ht="15.75">
      <c r="A107" s="1003"/>
      <c r="B107" s="996" t="s">
        <v>27</v>
      </c>
      <c r="C107" s="996"/>
      <c r="D107" s="101">
        <v>10</v>
      </c>
      <c r="E107" s="102"/>
      <c r="F107" s="102"/>
    </row>
    <row r="108" spans="1:6" ht="15.75">
      <c r="A108" s="1003"/>
      <c r="B108" s="997" t="s">
        <v>39</v>
      </c>
      <c r="C108" s="997"/>
      <c r="D108" s="103">
        <v>315</v>
      </c>
      <c r="E108" s="104"/>
      <c r="F108" s="104"/>
    </row>
    <row r="109" spans="1:6" ht="15.75">
      <c r="A109" s="1003"/>
      <c r="B109" s="996" t="s">
        <v>163</v>
      </c>
      <c r="C109" s="996"/>
      <c r="D109" s="105">
        <v>1560</v>
      </c>
      <c r="E109" s="102"/>
      <c r="F109" s="102">
        <f>+D109+E109</f>
        <v>1560</v>
      </c>
    </row>
    <row r="110" spans="1:6" ht="15.75">
      <c r="A110" s="1003"/>
      <c r="B110" s="998" t="s">
        <v>186</v>
      </c>
      <c r="C110" s="999"/>
      <c r="D110" s="106">
        <f>36541.981-D112</f>
        <v>32834.341294999998</v>
      </c>
      <c r="E110" s="104"/>
      <c r="F110" s="113">
        <f>+D110+E110</f>
        <v>32834.341294999998</v>
      </c>
    </row>
    <row r="111" spans="1:6" ht="15.75">
      <c r="A111" s="1003"/>
      <c r="B111" s="1000" t="s">
        <v>185</v>
      </c>
      <c r="C111" s="107" t="s">
        <v>27</v>
      </c>
      <c r="D111" s="108">
        <v>1</v>
      </c>
      <c r="E111" s="108">
        <v>5</v>
      </c>
      <c r="F111" s="102"/>
    </row>
    <row r="112" spans="1:6" ht="15.75">
      <c r="A112" s="1003"/>
      <c r="B112" s="1001"/>
      <c r="C112" s="109" t="s">
        <v>38</v>
      </c>
      <c r="D112" s="106">
        <f>3707639.705/1000</f>
        <v>3707.639705</v>
      </c>
      <c r="E112" s="106">
        <v>6423.7569999999996</v>
      </c>
      <c r="F112" s="113">
        <f>+D112+E112</f>
        <v>10131.396704999999</v>
      </c>
    </row>
    <row r="113" spans="1:6" ht="15.75">
      <c r="A113" s="1003"/>
      <c r="B113" s="1002" t="s">
        <v>187</v>
      </c>
      <c r="C113" s="1002"/>
      <c r="D113" s="110">
        <f>+D112+D110+D109</f>
        <v>38101.981</v>
      </c>
      <c r="E113" s="110">
        <f>+E112+E110+E109</f>
        <v>6423.7569999999996</v>
      </c>
      <c r="F113" s="110">
        <f>+E113+D113</f>
        <v>44525.737999999998</v>
      </c>
    </row>
    <row r="115" spans="1:6">
      <c r="B115" s="97"/>
      <c r="C115" s="98"/>
    </row>
    <row r="116" spans="1:6">
      <c r="B116" s="99"/>
      <c r="C116" s="100"/>
      <c r="E116" t="s">
        <v>188</v>
      </c>
      <c r="F116" t="s">
        <v>189</v>
      </c>
    </row>
    <row r="117" spans="1:6" ht="31.5">
      <c r="A117" s="1003">
        <v>43132</v>
      </c>
      <c r="B117" s="994" t="s">
        <v>25</v>
      </c>
      <c r="C117" s="995"/>
      <c r="D117" s="62" t="s">
        <v>4</v>
      </c>
      <c r="E117" s="62" t="s">
        <v>7</v>
      </c>
      <c r="F117" s="75" t="s">
        <v>42</v>
      </c>
    </row>
    <row r="118" spans="1:6" ht="15.75">
      <c r="A118" s="1003"/>
      <c r="B118" s="996" t="s">
        <v>27</v>
      </c>
      <c r="C118" s="996"/>
      <c r="D118" s="101">
        <v>7</v>
      </c>
      <c r="E118" s="102"/>
      <c r="F118" s="102"/>
    </row>
    <row r="119" spans="1:6" ht="15.75">
      <c r="A119" s="1003"/>
      <c r="B119" s="997" t="s">
        <v>39</v>
      </c>
      <c r="C119" s="997"/>
      <c r="D119" s="103">
        <v>87.43</v>
      </c>
      <c r="E119" s="104"/>
      <c r="F119" s="104"/>
    </row>
    <row r="120" spans="1:6" ht="15.75">
      <c r="A120" s="1003"/>
      <c r="B120" s="996" t="s">
        <v>163</v>
      </c>
      <c r="C120" s="996"/>
      <c r="D120" s="105">
        <v>1820</v>
      </c>
      <c r="E120" s="102"/>
      <c r="F120" s="102">
        <f>+E120+D120</f>
        <v>1820</v>
      </c>
    </row>
    <row r="121" spans="1:6" ht="15.75" customHeight="1">
      <c r="A121" s="1003"/>
      <c r="B121" s="998" t="s">
        <v>186</v>
      </c>
      <c r="C121" s="999"/>
      <c r="D121" s="106">
        <v>19042.914000000001</v>
      </c>
      <c r="E121" s="104"/>
      <c r="F121" s="133">
        <f>+D121+E121</f>
        <v>19042.914000000001</v>
      </c>
    </row>
    <row r="122" spans="1:6" ht="15.75" customHeight="1">
      <c r="A122" s="1003"/>
      <c r="B122" s="1000" t="s">
        <v>185</v>
      </c>
      <c r="C122" s="107" t="s">
        <v>27</v>
      </c>
      <c r="D122" s="108">
        <v>1</v>
      </c>
      <c r="E122" s="108"/>
      <c r="F122" s="102"/>
    </row>
    <row r="123" spans="1:6" ht="15.75">
      <c r="A123" s="1003"/>
      <c r="B123" s="1001"/>
      <c r="C123" s="109" t="s">
        <v>38</v>
      </c>
      <c r="D123" s="106">
        <f>730510.66/1000</f>
        <v>730.51066000000003</v>
      </c>
      <c r="E123" s="106">
        <v>5171.2330000000002</v>
      </c>
      <c r="F123" s="104">
        <f>+E123+D123</f>
        <v>5901.7436600000001</v>
      </c>
    </row>
    <row r="124" spans="1:6" ht="15.75">
      <c r="A124" s="1003"/>
      <c r="B124" s="1002" t="s">
        <v>176</v>
      </c>
      <c r="C124" s="1002"/>
      <c r="D124" s="110">
        <f>+D123+D121+D120</f>
        <v>21593.424660000001</v>
      </c>
      <c r="E124" s="110">
        <f>+E123+E121+E120</f>
        <v>5171.2330000000002</v>
      </c>
      <c r="F124" s="110">
        <f>+SUM(F120:F123)</f>
        <v>26764.657660000001</v>
      </c>
    </row>
    <row r="126" spans="1:6">
      <c r="B126" s="97" t="s">
        <v>160</v>
      </c>
      <c r="C126" s="98">
        <v>22500</v>
      </c>
    </row>
    <row r="127" spans="1:6">
      <c r="B127" s="99" t="s">
        <v>161</v>
      </c>
      <c r="C127" s="100">
        <v>178.57</v>
      </c>
    </row>
    <row r="128" spans="1:6" ht="34.5" customHeight="1">
      <c r="A128" s="993">
        <v>43160</v>
      </c>
      <c r="B128" s="994" t="s">
        <v>25</v>
      </c>
      <c r="C128" s="995"/>
      <c r="D128" s="62" t="s">
        <v>4</v>
      </c>
      <c r="E128" s="62" t="s">
        <v>7</v>
      </c>
      <c r="F128" s="75" t="s">
        <v>42</v>
      </c>
    </row>
    <row r="129" spans="1:6" ht="15.75">
      <c r="A129" s="993"/>
      <c r="B129" s="996" t="s">
        <v>27</v>
      </c>
      <c r="C129" s="996"/>
      <c r="D129" s="101">
        <v>8</v>
      </c>
      <c r="E129" s="102"/>
      <c r="F129" s="102"/>
    </row>
    <row r="130" spans="1:6" ht="15.75">
      <c r="A130" s="993"/>
      <c r="B130" s="997" t="s">
        <v>39</v>
      </c>
      <c r="C130" s="997"/>
      <c r="D130" s="103">
        <v>372</v>
      </c>
      <c r="E130" s="104"/>
      <c r="F130" s="104"/>
    </row>
    <row r="131" spans="1:6" ht="15.75">
      <c r="A131" s="993"/>
      <c r="B131" s="996" t="s">
        <v>163</v>
      </c>
      <c r="C131" s="996"/>
      <c r="D131" s="125">
        <f>1820+260</f>
        <v>2080</v>
      </c>
      <c r="E131" s="102"/>
      <c r="F131" s="102">
        <f>+D131+E131</f>
        <v>2080</v>
      </c>
    </row>
    <row r="132" spans="1:6" ht="15.75">
      <c r="A132" s="993"/>
      <c r="B132" s="998" t="s">
        <v>186</v>
      </c>
      <c r="C132" s="999"/>
      <c r="D132" s="126">
        <v>29894.223000000002</v>
      </c>
      <c r="E132" s="104"/>
      <c r="F132" s="133">
        <f>+D132+E132</f>
        <v>29894.223000000002</v>
      </c>
    </row>
    <row r="133" spans="1:6" ht="15.75">
      <c r="A133" s="993"/>
      <c r="B133" s="1000" t="s">
        <v>185</v>
      </c>
      <c r="C133" s="107" t="s">
        <v>27</v>
      </c>
      <c r="D133" s="108">
        <v>5</v>
      </c>
      <c r="E133" s="108">
        <v>7</v>
      </c>
      <c r="F133" s="102"/>
    </row>
    <row r="134" spans="1:6" ht="15.75">
      <c r="A134" s="993"/>
      <c r="B134" s="1001"/>
      <c r="C134" s="109" t="s">
        <v>38</v>
      </c>
      <c r="D134" s="126">
        <v>36939.099000000002</v>
      </c>
      <c r="E134" s="126">
        <v>9543.5290000000005</v>
      </c>
      <c r="F134" s="104">
        <f>+D134+E134</f>
        <v>46482.628000000004</v>
      </c>
    </row>
    <row r="135" spans="1:6" ht="15.75">
      <c r="A135" s="993"/>
      <c r="B135" s="1002" t="s">
        <v>41</v>
      </c>
      <c r="C135" s="1002"/>
      <c r="D135" s="110"/>
      <c r="E135" s="111"/>
      <c r="F135" s="128">
        <f>SUM(F129:F134)</f>
        <v>78456.85100000001</v>
      </c>
    </row>
  </sheetData>
  <mergeCells count="97">
    <mergeCell ref="B12:C12"/>
    <mergeCell ref="A5:A12"/>
    <mergeCell ref="A16:A23"/>
    <mergeCell ref="B16:C16"/>
    <mergeCell ref="B17:C17"/>
    <mergeCell ref="B18:C18"/>
    <mergeCell ref="B19:C19"/>
    <mergeCell ref="B20:C20"/>
    <mergeCell ref="B21:B22"/>
    <mergeCell ref="B23:C23"/>
    <mergeCell ref="B5:C5"/>
    <mergeCell ref="B6:C6"/>
    <mergeCell ref="B7:C7"/>
    <mergeCell ref="B8:C8"/>
    <mergeCell ref="B9:C9"/>
    <mergeCell ref="B10:B11"/>
    <mergeCell ref="A27:A34"/>
    <mergeCell ref="B27:C27"/>
    <mergeCell ref="B28:C28"/>
    <mergeCell ref="B29:C29"/>
    <mergeCell ref="B30:C30"/>
    <mergeCell ref="B31:C31"/>
    <mergeCell ref="B32:B33"/>
    <mergeCell ref="B34:C34"/>
    <mergeCell ref="A38:A45"/>
    <mergeCell ref="B38:C38"/>
    <mergeCell ref="B39:C39"/>
    <mergeCell ref="B40:C40"/>
    <mergeCell ref="B41:C41"/>
    <mergeCell ref="B42:C42"/>
    <mergeCell ref="B43:B44"/>
    <mergeCell ref="B45:C45"/>
    <mergeCell ref="A49:A57"/>
    <mergeCell ref="B49:C49"/>
    <mergeCell ref="B50:C50"/>
    <mergeCell ref="B51:C51"/>
    <mergeCell ref="B52:C52"/>
    <mergeCell ref="B53:C53"/>
    <mergeCell ref="B54:B56"/>
    <mergeCell ref="B57:C57"/>
    <mergeCell ref="A61:A69"/>
    <mergeCell ref="B61:C61"/>
    <mergeCell ref="B62:C62"/>
    <mergeCell ref="B63:C63"/>
    <mergeCell ref="B64:C64"/>
    <mergeCell ref="B65:C65"/>
    <mergeCell ref="B66:B68"/>
    <mergeCell ref="B69:C69"/>
    <mergeCell ref="A73:A80"/>
    <mergeCell ref="B73:C73"/>
    <mergeCell ref="B74:C74"/>
    <mergeCell ref="B75:C75"/>
    <mergeCell ref="B76:C76"/>
    <mergeCell ref="B77:C77"/>
    <mergeCell ref="B78:B79"/>
    <mergeCell ref="B80:C80"/>
    <mergeCell ref="A84:A91"/>
    <mergeCell ref="B84:C84"/>
    <mergeCell ref="B85:C85"/>
    <mergeCell ref="B86:C86"/>
    <mergeCell ref="B87:C87"/>
    <mergeCell ref="B88:C88"/>
    <mergeCell ref="B89:B90"/>
    <mergeCell ref="B91:C91"/>
    <mergeCell ref="A95:A102"/>
    <mergeCell ref="B95:C95"/>
    <mergeCell ref="B96:C96"/>
    <mergeCell ref="B97:C97"/>
    <mergeCell ref="B98:C98"/>
    <mergeCell ref="B99:C99"/>
    <mergeCell ref="B100:B101"/>
    <mergeCell ref="B102:C102"/>
    <mergeCell ref="B124:C124"/>
    <mergeCell ref="A106:A113"/>
    <mergeCell ref="B106:C106"/>
    <mergeCell ref="B107:C107"/>
    <mergeCell ref="B108:C108"/>
    <mergeCell ref="B109:C109"/>
    <mergeCell ref="B110:C110"/>
    <mergeCell ref="B111:B112"/>
    <mergeCell ref="B113:C113"/>
    <mergeCell ref="B1:F1"/>
    <mergeCell ref="A128:A135"/>
    <mergeCell ref="B128:C128"/>
    <mergeCell ref="B129:C129"/>
    <mergeCell ref="B130:C130"/>
    <mergeCell ref="B131:C131"/>
    <mergeCell ref="B132:C132"/>
    <mergeCell ref="B133:B134"/>
    <mergeCell ref="B135:C135"/>
    <mergeCell ref="A117:A124"/>
    <mergeCell ref="B117:C117"/>
    <mergeCell ref="B118:C118"/>
    <mergeCell ref="B119:C119"/>
    <mergeCell ref="B120:C120"/>
    <mergeCell ref="B121:C121"/>
    <mergeCell ref="B122:B1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"/>
  <sheetViews>
    <sheetView topLeftCell="B4" zoomScaleNormal="100" workbookViewId="0">
      <selection activeCell="J12" sqref="J12"/>
    </sheetView>
  </sheetViews>
  <sheetFormatPr defaultRowHeight="15"/>
  <cols>
    <col min="1" max="1" width="4.140625" customWidth="1"/>
    <col min="2" max="2" width="19.140625" customWidth="1"/>
    <col min="3" max="3" width="9.85546875" customWidth="1"/>
    <col min="4" max="4" width="10.28515625" customWidth="1"/>
    <col min="5" max="5" width="9.42578125" customWidth="1"/>
    <col min="6" max="6" width="8.85546875" customWidth="1"/>
    <col min="7" max="7" width="8.7109375" customWidth="1"/>
    <col min="8" max="8" width="8.140625" customWidth="1"/>
    <col min="9" max="10" width="7.42578125" customWidth="1"/>
    <col min="11" max="11" width="9.140625" customWidth="1"/>
    <col min="12" max="12" width="9.28515625" customWidth="1"/>
    <col min="13" max="13" width="9" customWidth="1"/>
    <col min="14" max="14" width="8.7109375" customWidth="1"/>
    <col min="17" max="17" width="18.85546875" customWidth="1"/>
  </cols>
  <sheetData>
    <row r="2" spans="2:14" ht="21">
      <c r="C2" s="1006" t="s">
        <v>168</v>
      </c>
      <c r="D2" s="1006"/>
      <c r="E2" s="1006"/>
      <c r="F2" s="1006"/>
      <c r="G2" s="1006"/>
      <c r="H2" s="1006"/>
      <c r="I2" s="1006"/>
      <c r="J2" s="1006"/>
      <c r="K2" s="1006"/>
      <c r="L2" s="1006"/>
      <c r="M2" s="1006"/>
    </row>
    <row r="3" spans="2:14" ht="12.75" customHeight="1"/>
    <row r="4" spans="2:14" ht="21.75" customHeight="1">
      <c r="B4" s="26" t="s">
        <v>25</v>
      </c>
      <c r="C4" s="26">
        <v>42826</v>
      </c>
      <c r="D4" s="26">
        <v>42856</v>
      </c>
      <c r="E4" s="26">
        <v>42887</v>
      </c>
      <c r="F4" s="26">
        <v>42917</v>
      </c>
      <c r="G4" s="26">
        <v>42948</v>
      </c>
      <c r="H4" s="26">
        <v>42979</v>
      </c>
      <c r="I4" s="26">
        <v>43009</v>
      </c>
      <c r="J4" s="26">
        <v>43040</v>
      </c>
      <c r="K4" s="26">
        <v>43070</v>
      </c>
      <c r="L4" s="26">
        <v>43101</v>
      </c>
      <c r="M4" s="26">
        <v>43132</v>
      </c>
      <c r="N4" s="26">
        <v>43160</v>
      </c>
    </row>
    <row r="5" spans="2:14" ht="28.5" customHeight="1">
      <c r="B5" s="114" t="s">
        <v>166</v>
      </c>
      <c r="C5" s="115">
        <f>'Export fee'!F8</f>
        <v>1108.2394557522123</v>
      </c>
      <c r="D5" s="116">
        <f>'Export fee'!F19</f>
        <v>3367.1920355555553</v>
      </c>
      <c r="E5" s="116">
        <f>'Export fee'!G30</f>
        <v>4208.3089066666671</v>
      </c>
      <c r="F5" s="116">
        <f>'Export fee'!F41</f>
        <v>28111.483350000002</v>
      </c>
      <c r="G5" s="116">
        <f>'Export fee'!F52</f>
        <v>1300</v>
      </c>
      <c r="H5" s="116">
        <f>'Export fee'!F64</f>
        <v>24286.276600000001</v>
      </c>
      <c r="I5" s="116">
        <f>'Export fee'!F76</f>
        <v>15876.555399999999</v>
      </c>
      <c r="J5" s="116">
        <f>'Export fee'!F87</f>
        <v>28315.644550000001</v>
      </c>
      <c r="K5" s="116">
        <f>'Export fee'!F98</f>
        <v>1970</v>
      </c>
      <c r="L5" s="116">
        <f>'Export fee'!F109</f>
        <v>1560</v>
      </c>
      <c r="M5" s="116">
        <f>'Export fee'!F120</f>
        <v>1820</v>
      </c>
      <c r="N5" s="116">
        <f>'Export fee'!F131</f>
        <v>2080</v>
      </c>
    </row>
    <row r="6" spans="2:14" ht="28.5" customHeight="1">
      <c r="B6" s="114" t="s">
        <v>162</v>
      </c>
      <c r="C6" s="115">
        <f>'Export fee'!F9</f>
        <v>631.63</v>
      </c>
      <c r="D6" s="116">
        <f>'Export fee'!F20</f>
        <v>172.04</v>
      </c>
      <c r="E6" s="116">
        <f>'Export fee'!G31</f>
        <v>822.03</v>
      </c>
      <c r="F6" s="116">
        <f>'Export fee'!F42</f>
        <v>52435.08</v>
      </c>
      <c r="G6" s="116">
        <f>'Export fee'!F53</f>
        <v>15087.50375</v>
      </c>
      <c r="H6" s="116">
        <f>'Export fee'!F65</f>
        <v>34958.161650000002</v>
      </c>
      <c r="I6" s="116">
        <f>'Export fee'!F77</f>
        <v>8094.4089999999997</v>
      </c>
      <c r="J6" s="116">
        <f>'Export fee'!F88</f>
        <v>20038.813999999998</v>
      </c>
      <c r="K6" s="116">
        <f>'Export fee'!F99</f>
        <v>16747.692279999999</v>
      </c>
      <c r="L6" s="116">
        <f>'Export fee'!F110</f>
        <v>32834.341294999998</v>
      </c>
      <c r="M6" s="116">
        <f>'Export fee'!F121</f>
        <v>19042.914000000001</v>
      </c>
      <c r="N6" s="116">
        <f>'Export fee'!F132</f>
        <v>29894.223000000002</v>
      </c>
    </row>
    <row r="7" spans="2:14" ht="28.5" customHeight="1">
      <c r="B7" s="114" t="s">
        <v>6</v>
      </c>
      <c r="C7" s="115">
        <f>'Export fee'!F11</f>
        <v>108.53999999999999</v>
      </c>
      <c r="D7" s="116">
        <f>'Export fee'!F22</f>
        <v>1037.0900000000001</v>
      </c>
      <c r="E7" s="116">
        <f>'Export fee'!G33</f>
        <v>93.4</v>
      </c>
      <c r="F7" s="116">
        <f>'Export fee'!F44</f>
        <v>18493.702920000003</v>
      </c>
      <c r="G7" s="116">
        <f>'Export fee'!F56</f>
        <v>958.12772000000018</v>
      </c>
      <c r="H7" s="116">
        <f>'Export fee'!F68</f>
        <v>15136.835505000001</v>
      </c>
      <c r="I7" s="116">
        <f>'Export fee'!F79</f>
        <v>13602.559520000001</v>
      </c>
      <c r="J7" s="116">
        <f>'Export fee'!F90</f>
        <v>13472.539629999999</v>
      </c>
      <c r="K7" s="116">
        <f>'Export fee'!F101</f>
        <v>4084.13814</v>
      </c>
      <c r="L7" s="116">
        <f>'Export fee'!F112</f>
        <v>10131.396704999999</v>
      </c>
      <c r="M7" s="116">
        <f>'Export fee'!F123</f>
        <v>5901.7436600000001</v>
      </c>
      <c r="N7" s="116">
        <f>'Export fee'!F134</f>
        <v>46482.628000000004</v>
      </c>
    </row>
    <row r="8" spans="2:14" ht="66.75" customHeight="1">
      <c r="B8" s="27" t="s">
        <v>26</v>
      </c>
      <c r="C8" s="28">
        <f>'Export fee'!F12</f>
        <v>1848.4094557522121</v>
      </c>
      <c r="D8" s="112">
        <f>'Export fee'!F23</f>
        <v>4576.3220355555559</v>
      </c>
      <c r="E8" s="112">
        <f>'Export fee'!G34</f>
        <v>5123.7389066666665</v>
      </c>
      <c r="F8" s="112">
        <f>'Export fee'!F45</f>
        <v>99040.266270000022</v>
      </c>
      <c r="G8" s="112">
        <f>'Export fee'!F57</f>
        <v>17345.63147</v>
      </c>
      <c r="H8" s="112">
        <f>'Export fee'!F69</f>
        <v>74381.273755000002</v>
      </c>
      <c r="I8" s="112">
        <f>'Export fee'!F80</f>
        <v>37573.52392</v>
      </c>
      <c r="J8" s="112">
        <f>'Export fee'!F91</f>
        <v>61826.998180000002</v>
      </c>
      <c r="K8" s="112">
        <f>'Export fee'!F102</f>
        <v>22801.830419999998</v>
      </c>
      <c r="L8" s="112">
        <f>'Export fee'!F113</f>
        <v>44525.737999999998</v>
      </c>
      <c r="M8" s="112">
        <f>'Export fee'!F124</f>
        <v>26764.657660000001</v>
      </c>
      <c r="N8" s="112">
        <f>'Export fee'!F135</f>
        <v>78456.85100000001</v>
      </c>
    </row>
    <row r="14" spans="2:14" ht="21">
      <c r="C14" s="1006" t="s">
        <v>169</v>
      </c>
      <c r="D14" s="1006"/>
      <c r="E14" s="1006"/>
      <c r="F14" s="1006"/>
      <c r="G14" s="1006"/>
      <c r="H14" s="1006"/>
      <c r="I14" s="1006"/>
      <c r="J14" s="1006"/>
      <c r="K14" s="1006"/>
      <c r="L14" s="1006"/>
      <c r="M14" s="1006"/>
    </row>
    <row r="16" spans="2:14">
      <c r="B16" s="26" t="s">
        <v>25</v>
      </c>
      <c r="C16" s="26">
        <v>42826</v>
      </c>
      <c r="D16" s="26">
        <v>42856</v>
      </c>
      <c r="E16" s="26">
        <v>42887</v>
      </c>
      <c r="F16" s="26">
        <v>42917</v>
      </c>
      <c r="G16" s="26">
        <v>42948</v>
      </c>
      <c r="H16" s="26">
        <v>42979</v>
      </c>
      <c r="I16" s="26">
        <v>43009</v>
      </c>
      <c r="J16" s="26">
        <v>43040</v>
      </c>
      <c r="K16" s="26">
        <v>43070</v>
      </c>
      <c r="L16" s="26">
        <v>43101</v>
      </c>
      <c r="M16" s="26">
        <v>43132</v>
      </c>
      <c r="N16" s="26">
        <v>43160</v>
      </c>
    </row>
    <row r="17" spans="2:14" ht="23.25" customHeight="1">
      <c r="B17" s="114" t="s">
        <v>167</v>
      </c>
      <c r="C17" s="117">
        <f>'Export fee'!D6+'Export fee'!D10+'Export fee'!E10</f>
        <v>8</v>
      </c>
      <c r="D17" s="117">
        <f>'Export fee'!D17+'Export fee'!D21+'Export fee'!E21</f>
        <v>13</v>
      </c>
      <c r="E17" s="117">
        <f>'Export fee'!D28+'Export fee'!D32+'Export fee'!E32</f>
        <v>11</v>
      </c>
      <c r="F17" s="117">
        <f>'Export fee'!D39+'Export fee'!D43+'Export fee'!E43</f>
        <v>0</v>
      </c>
      <c r="G17" s="117">
        <f>'Export fee'!D50+'Export fee'!D54+'Export fee'!E54</f>
        <v>6</v>
      </c>
      <c r="H17" s="117">
        <f>'Export fee'!D62+'Export fee'!D66+'Export fee'!E66</f>
        <v>13</v>
      </c>
      <c r="I17" s="117">
        <f>'Export fee'!D74+'Export fee'!D78+'Export fee'!E78</f>
        <v>13</v>
      </c>
      <c r="J17" s="117">
        <f>'Export fee'!D85+'Export fee'!D89+'Export fee'!E89</f>
        <v>11</v>
      </c>
      <c r="K17" s="117">
        <f>'Export fee'!D96+'Export fee'!D100+'Export fee'!E100</f>
        <v>12</v>
      </c>
      <c r="L17" s="117">
        <f>'Export fee'!D107+'Export fee'!D111+'Export fee'!E111</f>
        <v>16</v>
      </c>
      <c r="M17" s="117">
        <f>'Export fee'!D118+'Export fee'!D122+'Export fee'!E122</f>
        <v>8</v>
      </c>
      <c r="N17" s="117">
        <f>'Export fee'!D129+'Export fee'!D133+'Export fee'!E133</f>
        <v>20</v>
      </c>
    </row>
    <row r="18" spans="2:14" ht="23.25" customHeight="1">
      <c r="B18" s="114" t="s">
        <v>39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</row>
  </sheetData>
  <mergeCells count="2">
    <mergeCell ref="C2:M2"/>
    <mergeCell ref="C14:M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3"/>
  <sheetViews>
    <sheetView tabSelected="1" topLeftCell="A10" zoomScale="96" zoomScaleNormal="96" workbookViewId="0">
      <pane xSplit="5" ySplit="3" topLeftCell="F66" activePane="bottomRight" state="frozen"/>
      <selection activeCell="A10" sqref="A10"/>
      <selection pane="topRight" activeCell="F10" sqref="F10"/>
      <selection pane="bottomLeft" activeCell="A13" sqref="A13"/>
      <selection pane="bottomRight" activeCell="D71" sqref="D71"/>
    </sheetView>
  </sheetViews>
  <sheetFormatPr defaultRowHeight="15"/>
  <cols>
    <col min="1" max="1" width="4.5703125" style="156" bestFit="1" customWidth="1"/>
    <col min="2" max="2" width="11.28515625" customWidth="1"/>
    <col min="3" max="3" width="10.85546875" style="350" customWidth="1"/>
    <col min="4" max="4" width="10.85546875" customWidth="1"/>
    <col min="5" max="5" width="14" style="9" customWidth="1"/>
    <col min="6" max="6" width="28.85546875" bestFit="1" customWidth="1"/>
    <col min="7" max="7" width="46.5703125" bestFit="1" customWidth="1"/>
    <col min="8" max="8" width="6.85546875" customWidth="1"/>
    <col min="9" max="9" width="4.42578125" style="153" customWidth="1"/>
    <col min="10" max="10" width="8.85546875" style="267" customWidth="1"/>
    <col min="11" max="11" width="9.42578125" customWidth="1"/>
    <col min="12" max="12" width="13" hidden="1" customWidth="1"/>
    <col min="13" max="13" width="12.42578125" style="162" customWidth="1"/>
    <col min="14" max="14" width="13.7109375" style="9" customWidth="1"/>
    <col min="15" max="15" width="32.140625" style="9" hidden="1" customWidth="1"/>
    <col min="16" max="16" width="23.85546875" style="717" hidden="1" customWidth="1"/>
    <col min="17" max="17" width="15.5703125" hidden="1" customWidth="1"/>
    <col min="18" max="18" width="17.7109375" style="9" customWidth="1"/>
    <col min="19" max="19" width="16.7109375" style="7" customWidth="1"/>
    <col min="20" max="20" width="18.7109375" style="404" customWidth="1"/>
    <col min="21" max="21" width="20.85546875" style="238" customWidth="1"/>
    <col min="22" max="22" width="15.140625" style="7" customWidth="1"/>
    <col min="24" max="24" width="16.7109375" customWidth="1"/>
    <col min="25" max="25" width="14.42578125" customWidth="1"/>
    <col min="26" max="26" width="13.7109375" customWidth="1"/>
    <col min="27" max="27" width="19.7109375" bestFit="1" customWidth="1"/>
    <col min="28" max="30" width="11" customWidth="1"/>
    <col min="31" max="31" width="13.28515625" customWidth="1"/>
    <col min="32" max="32" width="16.140625" customWidth="1"/>
  </cols>
  <sheetData>
    <row r="1" spans="1:31" ht="34.5" customHeight="1">
      <c r="A1" s="1023">
        <v>43891</v>
      </c>
      <c r="B1" s="1023"/>
      <c r="C1" s="1023"/>
      <c r="D1" s="2"/>
      <c r="E1" s="851"/>
      <c r="F1" s="2"/>
      <c r="G1" s="2"/>
      <c r="H1" s="2"/>
      <c r="I1" s="152"/>
      <c r="J1" s="152"/>
      <c r="K1" s="2"/>
      <c r="L1" s="2"/>
      <c r="M1" s="160"/>
      <c r="N1" s="851"/>
      <c r="O1" s="851"/>
      <c r="P1" s="713"/>
      <c r="Q1" s="2"/>
      <c r="R1" s="851"/>
      <c r="S1" s="851"/>
      <c r="T1" s="2"/>
      <c r="U1" s="233"/>
    </row>
    <row r="2" spans="1:31" ht="34.5" customHeight="1">
      <c r="A2" s="157"/>
      <c r="B2" s="44"/>
      <c r="C2" s="349"/>
      <c r="D2" s="2"/>
      <c r="E2" s="851"/>
      <c r="F2" s="2"/>
      <c r="G2" s="2"/>
      <c r="H2" s="2"/>
      <c r="I2" s="152"/>
      <c r="J2" s="152"/>
      <c r="K2" s="2"/>
      <c r="L2" s="2"/>
      <c r="M2" s="160"/>
      <c r="N2" s="851"/>
      <c r="O2" s="851"/>
      <c r="P2" s="713"/>
      <c r="Q2" s="2"/>
      <c r="R2" s="851"/>
      <c r="S2" s="851"/>
      <c r="T2" s="2"/>
      <c r="U2" s="233"/>
    </row>
    <row r="3" spans="1:31" ht="54.75" customHeight="1">
      <c r="A3" s="157"/>
      <c r="B3" s="44"/>
      <c r="C3" s="349"/>
      <c r="D3" s="2"/>
      <c r="E3" s="851"/>
      <c r="F3" s="2"/>
      <c r="G3" s="2"/>
      <c r="H3" s="2"/>
      <c r="I3" s="152"/>
      <c r="J3" s="152"/>
      <c r="K3" s="2"/>
      <c r="L3" s="2"/>
      <c r="M3" s="160"/>
      <c r="N3" s="852" t="s">
        <v>0</v>
      </c>
      <c r="O3" s="853" t="s">
        <v>16</v>
      </c>
      <c r="P3" s="714" t="s">
        <v>27</v>
      </c>
      <c r="Q3" s="853" t="s">
        <v>14</v>
      </c>
      <c r="R3" s="853" t="s">
        <v>31</v>
      </c>
      <c r="S3" s="853" t="s">
        <v>203</v>
      </c>
      <c r="T3" s="155" t="s">
        <v>46</v>
      </c>
      <c r="U3" s="234" t="s">
        <v>45</v>
      </c>
      <c r="AA3" s="1024" t="s">
        <v>14</v>
      </c>
      <c r="AB3" s="1026" t="s">
        <v>3</v>
      </c>
      <c r="AC3" s="1027"/>
      <c r="AD3" s="1028"/>
      <c r="AE3" s="1009" t="s">
        <v>21</v>
      </c>
    </row>
    <row r="4" spans="1:31" ht="46.5" customHeight="1">
      <c r="A4" s="157"/>
      <c r="B4" s="44"/>
      <c r="C4" s="349"/>
      <c r="D4" s="2"/>
      <c r="E4" s="851"/>
      <c r="F4" s="2"/>
      <c r="G4" s="2"/>
      <c r="H4" s="2"/>
      <c r="I4" s="152"/>
      <c r="J4" s="152"/>
      <c r="K4" s="2"/>
      <c r="L4" s="2"/>
      <c r="M4" s="160"/>
      <c r="N4" s="32">
        <v>1</v>
      </c>
      <c r="O4" s="32" t="s">
        <v>28</v>
      </c>
      <c r="P4" s="715">
        <v>7</v>
      </c>
      <c r="Q4" s="32" t="s">
        <v>24</v>
      </c>
      <c r="R4" s="32" t="s">
        <v>32</v>
      </c>
      <c r="S4" s="32" t="s">
        <v>4</v>
      </c>
      <c r="T4" s="101"/>
      <c r="U4" s="235" t="s">
        <v>178</v>
      </c>
      <c r="AA4" s="1025"/>
      <c r="AB4" s="118" t="s">
        <v>20</v>
      </c>
      <c r="AC4" s="119" t="s">
        <v>22</v>
      </c>
      <c r="AD4" s="120" t="s">
        <v>23</v>
      </c>
      <c r="AE4" s="1010"/>
    </row>
    <row r="5" spans="1:31" ht="48.75" customHeight="1">
      <c r="A5" s="157"/>
      <c r="B5" s="44"/>
      <c r="C5" s="349"/>
      <c r="D5" s="2"/>
      <c r="E5" s="851"/>
      <c r="F5" s="851"/>
      <c r="G5" s="2"/>
      <c r="H5" s="2"/>
      <c r="I5" s="152"/>
      <c r="J5" s="152"/>
      <c r="K5" s="2"/>
      <c r="L5" s="2"/>
      <c r="M5" s="160"/>
      <c r="N5" s="61">
        <v>2</v>
      </c>
      <c r="O5" s="61" t="s">
        <v>180</v>
      </c>
      <c r="P5" s="716">
        <v>4</v>
      </c>
      <c r="Q5" s="61" t="s">
        <v>24</v>
      </c>
      <c r="R5" s="61" t="s">
        <v>32</v>
      </c>
      <c r="S5" s="61" t="s">
        <v>7</v>
      </c>
      <c r="T5" s="403"/>
      <c r="U5" s="236" t="s">
        <v>178</v>
      </c>
      <c r="AA5" s="121" t="s">
        <v>24</v>
      </c>
      <c r="AB5" s="121"/>
      <c r="AC5" s="121"/>
      <c r="AD5" s="121"/>
      <c r="AE5" s="121">
        <f>SUM(AB5:AD5)</f>
        <v>0</v>
      </c>
    </row>
    <row r="6" spans="1:31" ht="37.5" customHeight="1">
      <c r="A6" s="157"/>
      <c r="B6" s="44"/>
      <c r="C6" s="349"/>
      <c r="D6" s="2"/>
      <c r="E6" s="851"/>
      <c r="F6" s="2"/>
      <c r="G6" s="2"/>
      <c r="H6" s="2"/>
      <c r="I6" s="152"/>
      <c r="J6" s="152"/>
      <c r="K6" s="2"/>
      <c r="L6" s="2"/>
      <c r="M6" s="160"/>
      <c r="N6" s="32">
        <v>3</v>
      </c>
      <c r="O6" s="32" t="s">
        <v>217</v>
      </c>
      <c r="P6" s="715">
        <v>1</v>
      </c>
      <c r="Q6" s="32" t="s">
        <v>218</v>
      </c>
      <c r="R6" s="32" t="s">
        <v>32</v>
      </c>
      <c r="S6" s="32"/>
      <c r="T6" s="101" t="s">
        <v>29</v>
      </c>
      <c r="U6" s="235" t="s">
        <v>29</v>
      </c>
      <c r="AA6" s="124" t="s">
        <v>171</v>
      </c>
      <c r="AB6" s="61"/>
      <c r="AC6" s="124"/>
      <c r="AD6" s="61"/>
      <c r="AE6" s="61">
        <f>+AB6+AC6+AD6</f>
        <v>0</v>
      </c>
    </row>
    <row r="7" spans="1:31" ht="38.25" customHeight="1">
      <c r="A7" s="157"/>
      <c r="B7" s="44"/>
      <c r="C7" s="349"/>
      <c r="D7" s="2"/>
      <c r="E7" s="851"/>
      <c r="F7" s="2"/>
      <c r="G7" s="2"/>
      <c r="H7" s="2"/>
      <c r="I7" s="152"/>
      <c r="J7" s="152"/>
      <c r="K7" s="2"/>
      <c r="L7" s="2"/>
      <c r="M7" s="160"/>
      <c r="N7" s="61"/>
      <c r="O7" s="61"/>
      <c r="P7" s="716"/>
      <c r="Q7" s="61"/>
      <c r="R7" s="61"/>
      <c r="S7" s="61"/>
      <c r="T7" s="403"/>
      <c r="U7" s="236"/>
      <c r="AA7" s="121" t="s">
        <v>21</v>
      </c>
      <c r="AB7" s="121">
        <f>AB5+AB6</f>
        <v>0</v>
      </c>
      <c r="AC7" s="121">
        <f>AC5+AC6</f>
        <v>0</v>
      </c>
      <c r="AD7" s="121">
        <f>AD5+AD6</f>
        <v>0</v>
      </c>
      <c r="AE7" s="121">
        <f>AE5+AE6</f>
        <v>0</v>
      </c>
    </row>
    <row r="8" spans="1:31" ht="34.5" customHeight="1">
      <c r="A8" s="157"/>
      <c r="B8" s="44"/>
      <c r="C8" s="349"/>
      <c r="D8" s="2"/>
      <c r="E8" s="851"/>
      <c r="F8" s="2"/>
      <c r="G8" s="2"/>
      <c r="H8" s="2"/>
      <c r="I8" s="152"/>
      <c r="J8" s="152"/>
      <c r="K8" s="2"/>
      <c r="L8" s="2"/>
      <c r="M8" s="160"/>
      <c r="N8" s="32"/>
      <c r="O8" s="32"/>
      <c r="P8" s="715"/>
      <c r="Q8" s="32"/>
      <c r="R8" s="32"/>
      <c r="S8" s="32"/>
      <c r="T8" s="101"/>
      <c r="U8" s="235"/>
      <c r="AB8" s="138" t="e">
        <f>+AB7/$AE$7</f>
        <v>#DIV/0!</v>
      </c>
      <c r="AC8" s="138" t="e">
        <f t="shared" ref="AC8:AD8" si="0">+AC7/$AE$7</f>
        <v>#DIV/0!</v>
      </c>
      <c r="AD8" s="138" t="e">
        <f t="shared" si="0"/>
        <v>#DIV/0!</v>
      </c>
    </row>
    <row r="9" spans="1:31" ht="34.5" customHeight="1">
      <c r="A9" s="157"/>
      <c r="B9" s="44"/>
      <c r="C9" s="349"/>
      <c r="D9" s="2"/>
      <c r="E9" s="851"/>
      <c r="F9" s="2"/>
      <c r="G9" s="2"/>
      <c r="H9" s="2"/>
      <c r="I9" s="152"/>
      <c r="J9" s="152"/>
      <c r="K9" s="2"/>
      <c r="L9" s="2"/>
      <c r="M9" s="160"/>
      <c r="N9" s="851"/>
      <c r="O9" s="851"/>
      <c r="P9" s="713"/>
      <c r="Q9" s="2"/>
      <c r="R9" s="851"/>
      <c r="S9" s="851"/>
      <c r="T9" s="2"/>
      <c r="U9" s="233"/>
    </row>
    <row r="10" spans="1:31" ht="26.25" customHeight="1">
      <c r="A10" s="762"/>
      <c r="B10" s="763"/>
      <c r="C10" s="764"/>
      <c r="D10" s="763"/>
      <c r="E10" s="765"/>
      <c r="F10" s="763"/>
      <c r="G10" s="763"/>
      <c r="H10" s="763"/>
      <c r="I10" s="766"/>
      <c r="J10" s="767"/>
      <c r="K10" s="763"/>
      <c r="L10" s="763"/>
      <c r="N10" s="765"/>
      <c r="O10" s="765"/>
      <c r="P10" s="768"/>
      <c r="Q10" s="763"/>
      <c r="R10" s="765"/>
      <c r="S10" s="769"/>
      <c r="T10" s="770" t="s">
        <v>198</v>
      </c>
      <c r="U10" s="237">
        <v>23230</v>
      </c>
      <c r="V10" s="769"/>
    </row>
    <row r="11" spans="1:31" ht="30" customHeight="1">
      <c r="A11" s="1011" t="s">
        <v>0</v>
      </c>
      <c r="B11" s="1013" t="s">
        <v>1</v>
      </c>
      <c r="C11" s="1015" t="s">
        <v>13</v>
      </c>
      <c r="D11" s="1013" t="s">
        <v>14</v>
      </c>
      <c r="E11" s="1013" t="s">
        <v>37</v>
      </c>
      <c r="F11" s="365" t="s">
        <v>9</v>
      </c>
      <c r="G11" s="366"/>
      <c r="H11" s="366"/>
      <c r="I11" s="366"/>
      <c r="J11" s="366"/>
      <c r="K11" s="366"/>
      <c r="L11" s="366"/>
      <c r="M11" s="367"/>
      <c r="N11" s="1017" t="s">
        <v>5</v>
      </c>
      <c r="O11" s="155" t="s">
        <v>205</v>
      </c>
      <c r="P11" s="1032" t="s">
        <v>10</v>
      </c>
      <c r="Q11" s="1033"/>
      <c r="R11" s="1034" t="s">
        <v>203</v>
      </c>
      <c r="S11" s="1013" t="s">
        <v>2</v>
      </c>
      <c r="T11" s="1019" t="s">
        <v>35</v>
      </c>
      <c r="U11" s="868" t="s">
        <v>190</v>
      </c>
      <c r="V11" s="867" t="s">
        <v>184</v>
      </c>
      <c r="X11" s="1021" t="s">
        <v>206</v>
      </c>
    </row>
    <row r="12" spans="1:31" ht="23.25" customHeight="1">
      <c r="A12" s="1012"/>
      <c r="B12" s="1014"/>
      <c r="C12" s="1016"/>
      <c r="D12" s="1014"/>
      <c r="E12" s="1014"/>
      <c r="F12" s="151" t="s">
        <v>15</v>
      </c>
      <c r="G12" s="151" t="s">
        <v>16</v>
      </c>
      <c r="H12" s="151" t="s">
        <v>193</v>
      </c>
      <c r="I12" s="154" t="s">
        <v>195</v>
      </c>
      <c r="J12" s="268" t="s">
        <v>194</v>
      </c>
      <c r="K12" s="151" t="s">
        <v>195</v>
      </c>
      <c r="L12" s="151" t="s">
        <v>21</v>
      </c>
      <c r="M12" s="161" t="s">
        <v>34</v>
      </c>
      <c r="N12" s="1018"/>
      <c r="O12" s="158"/>
      <c r="P12" s="718" t="s">
        <v>17</v>
      </c>
      <c r="Q12" s="852" t="s">
        <v>3</v>
      </c>
      <c r="R12" s="1013"/>
      <c r="S12" s="1014"/>
      <c r="T12" s="1020"/>
      <c r="U12" s="452"/>
      <c r="V12" s="854"/>
      <c r="X12" s="1022"/>
    </row>
    <row r="13" spans="1:31" ht="15.75">
      <c r="A13" s="876">
        <v>87</v>
      </c>
      <c r="B13" s="877" t="s">
        <v>857</v>
      </c>
      <c r="C13" s="878">
        <v>44165</v>
      </c>
      <c r="D13" s="879" t="s">
        <v>24</v>
      </c>
      <c r="E13" s="880" t="s">
        <v>858</v>
      </c>
      <c r="F13" s="881" t="s">
        <v>859</v>
      </c>
      <c r="G13" s="881" t="s">
        <v>867</v>
      </c>
      <c r="H13" s="882">
        <v>5</v>
      </c>
      <c r="I13" s="883" t="s">
        <v>207</v>
      </c>
      <c r="J13" s="884">
        <v>4</v>
      </c>
      <c r="K13" s="885" t="s">
        <v>197</v>
      </c>
      <c r="L13" s="886">
        <f t="shared" ref="L13:L39" si="1">H13*J13</f>
        <v>20</v>
      </c>
      <c r="M13" s="948">
        <v>61.2</v>
      </c>
      <c r="N13" s="887">
        <v>44166</v>
      </c>
      <c r="O13" s="888" t="s">
        <v>219</v>
      </c>
      <c r="P13" s="889">
        <v>303624115560</v>
      </c>
      <c r="Q13" s="890" t="s">
        <v>841</v>
      </c>
      <c r="R13" s="888" t="s">
        <v>4</v>
      </c>
      <c r="S13" s="891" t="s">
        <v>178</v>
      </c>
      <c r="T13" s="891" t="s">
        <v>178</v>
      </c>
      <c r="U13" s="943"/>
      <c r="V13" s="785"/>
      <c r="X13" s="239">
        <f t="shared" ref="X13:X30" si="2">L13/1000</f>
        <v>0.02</v>
      </c>
    </row>
    <row r="14" spans="1:31" ht="15.75">
      <c r="A14" s="893">
        <v>87</v>
      </c>
      <c r="B14" s="894" t="s">
        <v>857</v>
      </c>
      <c r="C14" s="895">
        <v>44165</v>
      </c>
      <c r="D14" s="896" t="s">
        <v>24</v>
      </c>
      <c r="E14" s="897" t="s">
        <v>858</v>
      </c>
      <c r="F14" s="898" t="s">
        <v>245</v>
      </c>
      <c r="G14" s="898" t="s">
        <v>156</v>
      </c>
      <c r="H14" s="899">
        <v>10</v>
      </c>
      <c r="I14" s="900" t="s">
        <v>207</v>
      </c>
      <c r="J14" s="901">
        <v>2.5</v>
      </c>
      <c r="K14" s="902" t="s">
        <v>197</v>
      </c>
      <c r="L14" s="903">
        <f t="shared" si="1"/>
        <v>25</v>
      </c>
      <c r="M14" s="949"/>
      <c r="N14" s="904">
        <v>44166</v>
      </c>
      <c r="O14" s="905" t="s">
        <v>219</v>
      </c>
      <c r="P14" s="906">
        <v>303624115560</v>
      </c>
      <c r="Q14" s="907" t="s">
        <v>841</v>
      </c>
      <c r="R14" s="905" t="s">
        <v>4</v>
      </c>
      <c r="S14" s="908" t="s">
        <v>178</v>
      </c>
      <c r="T14" s="908" t="s">
        <v>178</v>
      </c>
      <c r="U14" s="800"/>
      <c r="V14" s="799"/>
      <c r="X14" s="239">
        <f t="shared" si="2"/>
        <v>2.5000000000000001E-2</v>
      </c>
    </row>
    <row r="15" spans="1:31" ht="15.75">
      <c r="A15" s="893">
        <v>87</v>
      </c>
      <c r="B15" s="894" t="s">
        <v>857</v>
      </c>
      <c r="C15" s="895">
        <v>44165</v>
      </c>
      <c r="D15" s="896" t="s">
        <v>24</v>
      </c>
      <c r="E15" s="897" t="s">
        <v>858</v>
      </c>
      <c r="F15" s="898" t="s">
        <v>247</v>
      </c>
      <c r="G15" s="898" t="s">
        <v>156</v>
      </c>
      <c r="H15" s="899">
        <v>10</v>
      </c>
      <c r="I15" s="900" t="s">
        <v>207</v>
      </c>
      <c r="J15" s="901">
        <v>2.5</v>
      </c>
      <c r="K15" s="902" t="s">
        <v>197</v>
      </c>
      <c r="L15" s="903">
        <f t="shared" si="1"/>
        <v>25</v>
      </c>
      <c r="M15" s="949"/>
      <c r="N15" s="904">
        <v>44166</v>
      </c>
      <c r="O15" s="905" t="s">
        <v>219</v>
      </c>
      <c r="P15" s="906">
        <v>303624115560</v>
      </c>
      <c r="Q15" s="907" t="s">
        <v>841</v>
      </c>
      <c r="R15" s="905" t="s">
        <v>4</v>
      </c>
      <c r="S15" s="908" t="s">
        <v>178</v>
      </c>
      <c r="T15" s="908" t="s">
        <v>178</v>
      </c>
      <c r="U15" s="800"/>
      <c r="V15" s="799"/>
      <c r="X15" s="239">
        <f t="shared" si="2"/>
        <v>2.5000000000000001E-2</v>
      </c>
    </row>
    <row r="16" spans="1:31" ht="15.75">
      <c r="A16" s="893">
        <v>87</v>
      </c>
      <c r="B16" s="894" t="s">
        <v>857</v>
      </c>
      <c r="C16" s="895">
        <v>44165</v>
      </c>
      <c r="D16" s="896" t="s">
        <v>24</v>
      </c>
      <c r="E16" s="897" t="s">
        <v>858</v>
      </c>
      <c r="F16" s="898" t="s">
        <v>860</v>
      </c>
      <c r="G16" s="898" t="s">
        <v>246</v>
      </c>
      <c r="H16" s="899">
        <v>11</v>
      </c>
      <c r="I16" s="900" t="s">
        <v>207</v>
      </c>
      <c r="J16" s="901">
        <v>2</v>
      </c>
      <c r="K16" s="902" t="s">
        <v>197</v>
      </c>
      <c r="L16" s="903">
        <f t="shared" si="1"/>
        <v>22</v>
      </c>
      <c r="M16" s="949"/>
      <c r="N16" s="904">
        <v>44166</v>
      </c>
      <c r="O16" s="905" t="s">
        <v>219</v>
      </c>
      <c r="P16" s="906">
        <v>303624115560</v>
      </c>
      <c r="Q16" s="907" t="s">
        <v>841</v>
      </c>
      <c r="R16" s="905" t="s">
        <v>4</v>
      </c>
      <c r="S16" s="908" t="s">
        <v>178</v>
      </c>
      <c r="T16" s="908" t="s">
        <v>178</v>
      </c>
      <c r="U16" s="800"/>
      <c r="V16" s="799"/>
      <c r="X16" s="239">
        <f t="shared" si="2"/>
        <v>2.1999999999999999E-2</v>
      </c>
    </row>
    <row r="17" spans="1:24" ht="15.75">
      <c r="A17" s="893">
        <v>87</v>
      </c>
      <c r="B17" s="894" t="s">
        <v>857</v>
      </c>
      <c r="C17" s="895">
        <v>44165</v>
      </c>
      <c r="D17" s="896" t="s">
        <v>24</v>
      </c>
      <c r="E17" s="897" t="s">
        <v>858</v>
      </c>
      <c r="F17" s="898" t="s">
        <v>861</v>
      </c>
      <c r="G17" s="898" t="s">
        <v>156</v>
      </c>
      <c r="H17" s="899">
        <v>7</v>
      </c>
      <c r="I17" s="900" t="s">
        <v>207</v>
      </c>
      <c r="J17" s="901">
        <v>3</v>
      </c>
      <c r="K17" s="902" t="s">
        <v>197</v>
      </c>
      <c r="L17" s="903">
        <f t="shared" si="1"/>
        <v>21</v>
      </c>
      <c r="M17" s="949"/>
      <c r="N17" s="904">
        <v>44166</v>
      </c>
      <c r="O17" s="905" t="s">
        <v>219</v>
      </c>
      <c r="P17" s="906">
        <v>303624115560</v>
      </c>
      <c r="Q17" s="907" t="s">
        <v>841</v>
      </c>
      <c r="R17" s="905" t="s">
        <v>4</v>
      </c>
      <c r="S17" s="908" t="s">
        <v>178</v>
      </c>
      <c r="T17" s="908" t="s">
        <v>178</v>
      </c>
      <c r="U17" s="800"/>
      <c r="V17" s="799"/>
      <c r="X17" s="239">
        <f t="shared" si="2"/>
        <v>2.1000000000000001E-2</v>
      </c>
    </row>
    <row r="18" spans="1:24" ht="15.75">
      <c r="A18" s="893">
        <v>87</v>
      </c>
      <c r="B18" s="894" t="s">
        <v>857</v>
      </c>
      <c r="C18" s="895">
        <v>44165</v>
      </c>
      <c r="D18" s="896" t="s">
        <v>24</v>
      </c>
      <c r="E18" s="897" t="s">
        <v>858</v>
      </c>
      <c r="F18" s="898" t="s">
        <v>861</v>
      </c>
      <c r="G18" s="898" t="s">
        <v>156</v>
      </c>
      <c r="H18" s="899">
        <v>4</v>
      </c>
      <c r="I18" s="900" t="s">
        <v>207</v>
      </c>
      <c r="J18" s="901">
        <v>3</v>
      </c>
      <c r="K18" s="902" t="s">
        <v>197</v>
      </c>
      <c r="L18" s="903">
        <f t="shared" si="1"/>
        <v>12</v>
      </c>
      <c r="M18" s="949"/>
      <c r="N18" s="904">
        <v>44166</v>
      </c>
      <c r="O18" s="905" t="s">
        <v>219</v>
      </c>
      <c r="P18" s="906">
        <v>303624115560</v>
      </c>
      <c r="Q18" s="907" t="s">
        <v>841</v>
      </c>
      <c r="R18" s="905" t="s">
        <v>4</v>
      </c>
      <c r="S18" s="908" t="s">
        <v>178</v>
      </c>
      <c r="T18" s="908" t="s">
        <v>178</v>
      </c>
      <c r="U18" s="800"/>
      <c r="V18" s="799"/>
      <c r="X18" s="239">
        <f t="shared" si="2"/>
        <v>1.2E-2</v>
      </c>
    </row>
    <row r="19" spans="1:24" ht="15.75">
      <c r="A19" s="893">
        <v>87</v>
      </c>
      <c r="B19" s="894" t="s">
        <v>857</v>
      </c>
      <c r="C19" s="895">
        <v>44165</v>
      </c>
      <c r="D19" s="896" t="s">
        <v>24</v>
      </c>
      <c r="E19" s="897" t="s">
        <v>858</v>
      </c>
      <c r="F19" s="898" t="s">
        <v>466</v>
      </c>
      <c r="G19" s="898" t="s">
        <v>156</v>
      </c>
      <c r="H19" s="899">
        <v>4</v>
      </c>
      <c r="I19" s="900" t="s">
        <v>207</v>
      </c>
      <c r="J19" s="901">
        <v>3</v>
      </c>
      <c r="K19" s="902" t="s">
        <v>197</v>
      </c>
      <c r="L19" s="903">
        <f t="shared" si="1"/>
        <v>12</v>
      </c>
      <c r="M19" s="949"/>
      <c r="N19" s="904">
        <v>44166</v>
      </c>
      <c r="O19" s="905" t="s">
        <v>219</v>
      </c>
      <c r="P19" s="906">
        <v>303624115560</v>
      </c>
      <c r="Q19" s="907" t="s">
        <v>841</v>
      </c>
      <c r="R19" s="905" t="s">
        <v>4</v>
      </c>
      <c r="S19" s="908" t="s">
        <v>178</v>
      </c>
      <c r="T19" s="908" t="s">
        <v>178</v>
      </c>
      <c r="U19" s="944"/>
      <c r="V19" s="814"/>
      <c r="X19" s="239">
        <f t="shared" si="2"/>
        <v>1.2E-2</v>
      </c>
    </row>
    <row r="20" spans="1:24" ht="15.75">
      <c r="A20" s="893">
        <v>87</v>
      </c>
      <c r="B20" s="894" t="s">
        <v>857</v>
      </c>
      <c r="C20" s="895">
        <v>44165</v>
      </c>
      <c r="D20" s="896" t="s">
        <v>24</v>
      </c>
      <c r="E20" s="897" t="s">
        <v>858</v>
      </c>
      <c r="F20" s="898" t="s">
        <v>747</v>
      </c>
      <c r="G20" s="898" t="s">
        <v>868</v>
      </c>
      <c r="H20" s="899">
        <v>1</v>
      </c>
      <c r="I20" s="900" t="s">
        <v>207</v>
      </c>
      <c r="J20" s="901">
        <v>2.5</v>
      </c>
      <c r="K20" s="902" t="s">
        <v>197</v>
      </c>
      <c r="L20" s="903">
        <f t="shared" si="1"/>
        <v>2.5</v>
      </c>
      <c r="M20" s="949"/>
      <c r="N20" s="904">
        <v>44166</v>
      </c>
      <c r="O20" s="905" t="s">
        <v>219</v>
      </c>
      <c r="P20" s="906">
        <v>303624115560</v>
      </c>
      <c r="Q20" s="907" t="s">
        <v>841</v>
      </c>
      <c r="R20" s="905" t="s">
        <v>4</v>
      </c>
      <c r="S20" s="908" t="s">
        <v>178</v>
      </c>
      <c r="T20" s="908" t="s">
        <v>178</v>
      </c>
      <c r="U20" s="943"/>
      <c r="V20" s="785"/>
      <c r="X20" s="239">
        <f t="shared" si="2"/>
        <v>2.5000000000000001E-3</v>
      </c>
    </row>
    <row r="21" spans="1:24" ht="15.75">
      <c r="A21" s="893">
        <v>87</v>
      </c>
      <c r="B21" s="894" t="s">
        <v>857</v>
      </c>
      <c r="C21" s="895">
        <v>44165</v>
      </c>
      <c r="D21" s="896" t="s">
        <v>24</v>
      </c>
      <c r="E21" s="897" t="s">
        <v>858</v>
      </c>
      <c r="F21" s="898" t="s">
        <v>748</v>
      </c>
      <c r="G21" s="898" t="s">
        <v>868</v>
      </c>
      <c r="H21" s="899">
        <v>1</v>
      </c>
      <c r="I21" s="900" t="s">
        <v>207</v>
      </c>
      <c r="J21" s="901">
        <v>2.5</v>
      </c>
      <c r="K21" s="902" t="s">
        <v>197</v>
      </c>
      <c r="L21" s="903">
        <f t="shared" si="1"/>
        <v>2.5</v>
      </c>
      <c r="M21" s="949"/>
      <c r="N21" s="904">
        <v>44166</v>
      </c>
      <c r="O21" s="905" t="s">
        <v>219</v>
      </c>
      <c r="P21" s="906">
        <v>303624115560</v>
      </c>
      <c r="Q21" s="907" t="s">
        <v>841</v>
      </c>
      <c r="R21" s="905" t="s">
        <v>4</v>
      </c>
      <c r="S21" s="908" t="s">
        <v>178</v>
      </c>
      <c r="T21" s="908" t="s">
        <v>178</v>
      </c>
      <c r="U21" s="944"/>
      <c r="V21" s="814"/>
      <c r="X21" s="239">
        <f t="shared" si="2"/>
        <v>2.5000000000000001E-3</v>
      </c>
    </row>
    <row r="22" spans="1:24" ht="15.75">
      <c r="A22" s="893">
        <v>87</v>
      </c>
      <c r="B22" s="894" t="s">
        <v>857</v>
      </c>
      <c r="C22" s="895">
        <v>44165</v>
      </c>
      <c r="D22" s="896" t="s">
        <v>24</v>
      </c>
      <c r="E22" s="897" t="s">
        <v>858</v>
      </c>
      <c r="F22" s="898" t="s">
        <v>862</v>
      </c>
      <c r="G22" s="898" t="s">
        <v>156</v>
      </c>
      <c r="H22" s="899">
        <v>4</v>
      </c>
      <c r="I22" s="900" t="s">
        <v>207</v>
      </c>
      <c r="J22" s="901">
        <v>2.5</v>
      </c>
      <c r="K22" s="902" t="s">
        <v>197</v>
      </c>
      <c r="L22" s="903">
        <f t="shared" si="1"/>
        <v>10</v>
      </c>
      <c r="M22" s="949"/>
      <c r="N22" s="904">
        <v>44166</v>
      </c>
      <c r="O22" s="905" t="s">
        <v>219</v>
      </c>
      <c r="P22" s="906">
        <v>303624115560</v>
      </c>
      <c r="Q22" s="907" t="s">
        <v>841</v>
      </c>
      <c r="R22" s="905" t="s">
        <v>4</v>
      </c>
      <c r="S22" s="908" t="s">
        <v>178</v>
      </c>
      <c r="T22" s="908" t="s">
        <v>178</v>
      </c>
      <c r="U22" s="800"/>
      <c r="V22" s="799"/>
      <c r="X22" s="239">
        <f t="shared" si="2"/>
        <v>0.01</v>
      </c>
    </row>
    <row r="23" spans="1:24" ht="15.75">
      <c r="A23" s="893">
        <v>87</v>
      </c>
      <c r="B23" s="894" t="s">
        <v>857</v>
      </c>
      <c r="C23" s="895">
        <v>44165</v>
      </c>
      <c r="D23" s="896" t="s">
        <v>24</v>
      </c>
      <c r="E23" s="897" t="s">
        <v>858</v>
      </c>
      <c r="F23" s="898" t="s">
        <v>863</v>
      </c>
      <c r="G23" s="898" t="s">
        <v>156</v>
      </c>
      <c r="H23" s="899">
        <v>3</v>
      </c>
      <c r="I23" s="900" t="s">
        <v>207</v>
      </c>
      <c r="J23" s="901">
        <v>2.5</v>
      </c>
      <c r="K23" s="902" t="s">
        <v>197</v>
      </c>
      <c r="L23" s="903">
        <f t="shared" si="1"/>
        <v>7.5</v>
      </c>
      <c r="M23" s="949"/>
      <c r="N23" s="904">
        <v>44166</v>
      </c>
      <c r="O23" s="905" t="s">
        <v>219</v>
      </c>
      <c r="P23" s="906">
        <v>303624115560</v>
      </c>
      <c r="Q23" s="907" t="s">
        <v>841</v>
      </c>
      <c r="R23" s="905" t="s">
        <v>4</v>
      </c>
      <c r="S23" s="908" t="s">
        <v>178</v>
      </c>
      <c r="T23" s="908" t="s">
        <v>178</v>
      </c>
      <c r="U23" s="943"/>
      <c r="V23" s="785"/>
      <c r="X23" s="239">
        <f t="shared" si="2"/>
        <v>7.4999999999999997E-3</v>
      </c>
    </row>
    <row r="24" spans="1:24" ht="15.75">
      <c r="A24" s="893">
        <v>87</v>
      </c>
      <c r="B24" s="894" t="s">
        <v>857</v>
      </c>
      <c r="C24" s="895">
        <v>44165</v>
      </c>
      <c r="D24" s="896" t="s">
        <v>24</v>
      </c>
      <c r="E24" s="897" t="s">
        <v>858</v>
      </c>
      <c r="F24" s="898" t="s">
        <v>413</v>
      </c>
      <c r="G24" s="898" t="s">
        <v>156</v>
      </c>
      <c r="H24" s="899">
        <v>9</v>
      </c>
      <c r="I24" s="900" t="s">
        <v>207</v>
      </c>
      <c r="J24" s="901">
        <v>2.5</v>
      </c>
      <c r="K24" s="902" t="s">
        <v>197</v>
      </c>
      <c r="L24" s="903">
        <f t="shared" si="1"/>
        <v>22.5</v>
      </c>
      <c r="M24" s="949"/>
      <c r="N24" s="904">
        <v>44166</v>
      </c>
      <c r="O24" s="905" t="s">
        <v>219</v>
      </c>
      <c r="P24" s="906">
        <v>303624115560</v>
      </c>
      <c r="Q24" s="907" t="s">
        <v>841</v>
      </c>
      <c r="R24" s="905" t="s">
        <v>4</v>
      </c>
      <c r="S24" s="908" t="s">
        <v>178</v>
      </c>
      <c r="T24" s="908" t="s">
        <v>178</v>
      </c>
      <c r="U24" s="800"/>
      <c r="V24" s="799"/>
      <c r="X24" s="239">
        <f t="shared" si="2"/>
        <v>2.2499999999999999E-2</v>
      </c>
    </row>
    <row r="25" spans="1:24" ht="15.75">
      <c r="A25" s="893">
        <v>87</v>
      </c>
      <c r="B25" s="894" t="s">
        <v>857</v>
      </c>
      <c r="C25" s="895">
        <v>44165</v>
      </c>
      <c r="D25" s="896" t="s">
        <v>24</v>
      </c>
      <c r="E25" s="897" t="s">
        <v>858</v>
      </c>
      <c r="F25" s="898" t="s">
        <v>825</v>
      </c>
      <c r="G25" s="898" t="s">
        <v>156</v>
      </c>
      <c r="H25" s="899">
        <v>9</v>
      </c>
      <c r="I25" s="900" t="s">
        <v>207</v>
      </c>
      <c r="J25" s="901">
        <v>2.5</v>
      </c>
      <c r="K25" s="902" t="s">
        <v>197</v>
      </c>
      <c r="L25" s="903">
        <f t="shared" si="1"/>
        <v>22.5</v>
      </c>
      <c r="M25" s="949"/>
      <c r="N25" s="904">
        <v>44166</v>
      </c>
      <c r="O25" s="905" t="s">
        <v>219</v>
      </c>
      <c r="P25" s="906">
        <v>303624115560</v>
      </c>
      <c r="Q25" s="907" t="s">
        <v>841</v>
      </c>
      <c r="R25" s="905" t="s">
        <v>4</v>
      </c>
      <c r="S25" s="908" t="s">
        <v>178</v>
      </c>
      <c r="T25" s="908" t="s">
        <v>178</v>
      </c>
      <c r="U25" s="800"/>
      <c r="V25" s="799"/>
      <c r="X25" s="239">
        <f t="shared" si="2"/>
        <v>2.2499999999999999E-2</v>
      </c>
    </row>
    <row r="26" spans="1:24" ht="15.75">
      <c r="A26" s="893">
        <v>87</v>
      </c>
      <c r="B26" s="894" t="s">
        <v>857</v>
      </c>
      <c r="C26" s="895">
        <v>44165</v>
      </c>
      <c r="D26" s="896" t="s">
        <v>24</v>
      </c>
      <c r="E26" s="897" t="s">
        <v>858</v>
      </c>
      <c r="F26" s="898" t="s">
        <v>303</v>
      </c>
      <c r="G26" s="898" t="s">
        <v>156</v>
      </c>
      <c r="H26" s="899">
        <v>10</v>
      </c>
      <c r="I26" s="900" t="s">
        <v>207</v>
      </c>
      <c r="J26" s="901">
        <v>2.5</v>
      </c>
      <c r="K26" s="902" t="s">
        <v>197</v>
      </c>
      <c r="L26" s="903">
        <f t="shared" si="1"/>
        <v>25</v>
      </c>
      <c r="M26" s="949"/>
      <c r="N26" s="904">
        <v>44166</v>
      </c>
      <c r="O26" s="905" t="s">
        <v>219</v>
      </c>
      <c r="P26" s="906">
        <v>303624115560</v>
      </c>
      <c r="Q26" s="907" t="s">
        <v>841</v>
      </c>
      <c r="R26" s="905" t="s">
        <v>4</v>
      </c>
      <c r="S26" s="908" t="s">
        <v>178</v>
      </c>
      <c r="T26" s="908" t="s">
        <v>178</v>
      </c>
      <c r="U26" s="800"/>
      <c r="V26" s="799"/>
      <c r="X26" s="239">
        <f t="shared" si="2"/>
        <v>2.5000000000000001E-2</v>
      </c>
    </row>
    <row r="27" spans="1:24" ht="15.75">
      <c r="A27" s="893">
        <v>87</v>
      </c>
      <c r="B27" s="894" t="s">
        <v>857</v>
      </c>
      <c r="C27" s="895">
        <v>44165</v>
      </c>
      <c r="D27" s="896" t="s">
        <v>24</v>
      </c>
      <c r="E27" s="897" t="s">
        <v>858</v>
      </c>
      <c r="F27" s="898" t="s">
        <v>458</v>
      </c>
      <c r="G27" s="898" t="s">
        <v>869</v>
      </c>
      <c r="H27" s="899">
        <v>1</v>
      </c>
      <c r="I27" s="900" t="s">
        <v>207</v>
      </c>
      <c r="J27" s="901">
        <v>2.5</v>
      </c>
      <c r="K27" s="902" t="s">
        <v>197</v>
      </c>
      <c r="L27" s="903">
        <f t="shared" si="1"/>
        <v>2.5</v>
      </c>
      <c r="M27" s="949"/>
      <c r="N27" s="904">
        <v>44166</v>
      </c>
      <c r="O27" s="905" t="s">
        <v>219</v>
      </c>
      <c r="P27" s="906">
        <v>303624115560</v>
      </c>
      <c r="Q27" s="907" t="s">
        <v>841</v>
      </c>
      <c r="R27" s="905" t="s">
        <v>4</v>
      </c>
      <c r="S27" s="908" t="s">
        <v>178</v>
      </c>
      <c r="T27" s="908" t="s">
        <v>178</v>
      </c>
      <c r="U27" s="800"/>
      <c r="V27" s="799"/>
      <c r="X27" s="239">
        <f t="shared" si="2"/>
        <v>2.5000000000000001E-3</v>
      </c>
    </row>
    <row r="28" spans="1:24" ht="15.75">
      <c r="A28" s="893">
        <v>87</v>
      </c>
      <c r="B28" s="894" t="s">
        <v>857</v>
      </c>
      <c r="C28" s="895">
        <v>44165</v>
      </c>
      <c r="D28" s="896" t="s">
        <v>24</v>
      </c>
      <c r="E28" s="897" t="s">
        <v>858</v>
      </c>
      <c r="F28" s="898" t="s">
        <v>864</v>
      </c>
      <c r="G28" s="898" t="s">
        <v>156</v>
      </c>
      <c r="H28" s="899">
        <v>9</v>
      </c>
      <c r="I28" s="900" t="s">
        <v>207</v>
      </c>
      <c r="J28" s="901">
        <v>2.5</v>
      </c>
      <c r="K28" s="902" t="s">
        <v>197</v>
      </c>
      <c r="L28" s="903">
        <f t="shared" si="1"/>
        <v>22.5</v>
      </c>
      <c r="M28" s="949"/>
      <c r="N28" s="904">
        <v>44166</v>
      </c>
      <c r="O28" s="905" t="s">
        <v>219</v>
      </c>
      <c r="P28" s="906">
        <v>303624115560</v>
      </c>
      <c r="Q28" s="907" t="s">
        <v>841</v>
      </c>
      <c r="R28" s="905" t="s">
        <v>4</v>
      </c>
      <c r="S28" s="908" t="s">
        <v>178</v>
      </c>
      <c r="T28" s="908" t="s">
        <v>178</v>
      </c>
      <c r="U28" s="800"/>
      <c r="V28" s="799"/>
      <c r="X28" s="239">
        <f t="shared" si="2"/>
        <v>2.2499999999999999E-2</v>
      </c>
    </row>
    <row r="29" spans="1:24" ht="15.75">
      <c r="A29" s="893">
        <v>87</v>
      </c>
      <c r="B29" s="894" t="s">
        <v>857</v>
      </c>
      <c r="C29" s="895">
        <v>44165</v>
      </c>
      <c r="D29" s="896" t="s">
        <v>24</v>
      </c>
      <c r="E29" s="897" t="s">
        <v>858</v>
      </c>
      <c r="F29" s="898" t="s">
        <v>865</v>
      </c>
      <c r="G29" s="898" t="s">
        <v>156</v>
      </c>
      <c r="H29" s="899">
        <v>7</v>
      </c>
      <c r="I29" s="900" t="s">
        <v>207</v>
      </c>
      <c r="J29" s="901">
        <v>2.5</v>
      </c>
      <c r="K29" s="902" t="s">
        <v>197</v>
      </c>
      <c r="L29" s="903">
        <f t="shared" si="1"/>
        <v>17.5</v>
      </c>
      <c r="M29" s="949"/>
      <c r="N29" s="904">
        <v>44166</v>
      </c>
      <c r="O29" s="905" t="s">
        <v>219</v>
      </c>
      <c r="P29" s="906">
        <v>303624115560</v>
      </c>
      <c r="Q29" s="907" t="s">
        <v>841</v>
      </c>
      <c r="R29" s="905" t="s">
        <v>4</v>
      </c>
      <c r="S29" s="908" t="s">
        <v>178</v>
      </c>
      <c r="T29" s="908" t="s">
        <v>178</v>
      </c>
      <c r="U29" s="944"/>
      <c r="V29" s="799"/>
      <c r="X29" s="239">
        <f t="shared" si="2"/>
        <v>1.7500000000000002E-2</v>
      </c>
    </row>
    <row r="30" spans="1:24" ht="15.75">
      <c r="A30" s="893">
        <v>87</v>
      </c>
      <c r="B30" s="894" t="s">
        <v>857</v>
      </c>
      <c r="C30" s="895">
        <v>44165</v>
      </c>
      <c r="D30" s="896" t="s">
        <v>24</v>
      </c>
      <c r="E30" s="897" t="s">
        <v>858</v>
      </c>
      <c r="F30" s="898" t="s">
        <v>865</v>
      </c>
      <c r="G30" s="898" t="s">
        <v>156</v>
      </c>
      <c r="H30" s="899">
        <v>24</v>
      </c>
      <c r="I30" s="900" t="s">
        <v>207</v>
      </c>
      <c r="J30" s="901">
        <v>2.5</v>
      </c>
      <c r="K30" s="902" t="s">
        <v>197</v>
      </c>
      <c r="L30" s="903">
        <f t="shared" si="1"/>
        <v>60</v>
      </c>
      <c r="M30" s="949"/>
      <c r="N30" s="904">
        <v>44166</v>
      </c>
      <c r="O30" s="905" t="s">
        <v>219</v>
      </c>
      <c r="P30" s="906">
        <v>303624115560</v>
      </c>
      <c r="Q30" s="907" t="s">
        <v>841</v>
      </c>
      <c r="R30" s="905" t="s">
        <v>4</v>
      </c>
      <c r="S30" s="908" t="s">
        <v>178</v>
      </c>
      <c r="T30" s="908" t="s">
        <v>178</v>
      </c>
      <c r="U30" s="945"/>
      <c r="V30" s="785"/>
      <c r="X30" s="239">
        <f t="shared" si="2"/>
        <v>0.06</v>
      </c>
    </row>
    <row r="31" spans="1:24" ht="15.75">
      <c r="A31" s="893">
        <v>87</v>
      </c>
      <c r="B31" s="894" t="s">
        <v>857</v>
      </c>
      <c r="C31" s="895">
        <v>44165</v>
      </c>
      <c r="D31" s="896" t="s">
        <v>24</v>
      </c>
      <c r="E31" s="897" t="s">
        <v>858</v>
      </c>
      <c r="F31" s="898" t="s">
        <v>866</v>
      </c>
      <c r="G31" s="898" t="s">
        <v>870</v>
      </c>
      <c r="H31" s="899">
        <v>1</v>
      </c>
      <c r="I31" s="900" t="s">
        <v>207</v>
      </c>
      <c r="J31" s="901">
        <v>5</v>
      </c>
      <c r="K31" s="902" t="s">
        <v>197</v>
      </c>
      <c r="L31" s="903">
        <f t="shared" si="1"/>
        <v>5</v>
      </c>
      <c r="M31" s="949"/>
      <c r="N31" s="904">
        <v>44166</v>
      </c>
      <c r="O31" s="905" t="s">
        <v>219</v>
      </c>
      <c r="P31" s="906">
        <v>303624115560</v>
      </c>
      <c r="Q31" s="907" t="s">
        <v>841</v>
      </c>
      <c r="R31" s="905" t="s">
        <v>4</v>
      </c>
      <c r="S31" s="908" t="s">
        <v>178</v>
      </c>
      <c r="T31" s="908" t="s">
        <v>178</v>
      </c>
      <c r="U31" s="946"/>
      <c r="V31" s="799"/>
    </row>
    <row r="32" spans="1:24" ht="15.75">
      <c r="A32" s="893">
        <v>87</v>
      </c>
      <c r="B32" s="894" t="s">
        <v>857</v>
      </c>
      <c r="C32" s="895">
        <v>44165</v>
      </c>
      <c r="D32" s="896" t="s">
        <v>24</v>
      </c>
      <c r="E32" s="897" t="s">
        <v>858</v>
      </c>
      <c r="F32" s="898" t="s">
        <v>626</v>
      </c>
      <c r="G32" s="898" t="s">
        <v>416</v>
      </c>
      <c r="H32" s="899">
        <v>1</v>
      </c>
      <c r="I32" s="900" t="s">
        <v>207</v>
      </c>
      <c r="J32" s="901">
        <v>7</v>
      </c>
      <c r="K32" s="902" t="s">
        <v>197</v>
      </c>
      <c r="L32" s="903">
        <f t="shared" si="1"/>
        <v>7</v>
      </c>
      <c r="M32" s="949"/>
      <c r="N32" s="904">
        <v>44166</v>
      </c>
      <c r="O32" s="905" t="s">
        <v>219</v>
      </c>
      <c r="P32" s="906">
        <v>303624115560</v>
      </c>
      <c r="Q32" s="907" t="s">
        <v>841</v>
      </c>
      <c r="R32" s="905" t="s">
        <v>4</v>
      </c>
      <c r="S32" s="908" t="s">
        <v>178</v>
      </c>
      <c r="T32" s="908" t="s">
        <v>178</v>
      </c>
      <c r="U32" s="946"/>
      <c r="V32" s="799"/>
    </row>
    <row r="33" spans="1:22" ht="15.75">
      <c r="A33" s="910">
        <v>87</v>
      </c>
      <c r="B33" s="911" t="s">
        <v>857</v>
      </c>
      <c r="C33" s="912">
        <v>44165</v>
      </c>
      <c r="D33" s="913" t="s">
        <v>24</v>
      </c>
      <c r="E33" s="914" t="s">
        <v>858</v>
      </c>
      <c r="F33" s="915" t="s">
        <v>626</v>
      </c>
      <c r="G33" s="915" t="s">
        <v>416</v>
      </c>
      <c r="H33" s="916">
        <v>7</v>
      </c>
      <c r="I33" s="917" t="s">
        <v>207</v>
      </c>
      <c r="J33" s="918">
        <v>7</v>
      </c>
      <c r="K33" s="919" t="s">
        <v>197</v>
      </c>
      <c r="L33" s="920">
        <f t="shared" si="1"/>
        <v>49</v>
      </c>
      <c r="M33" s="950"/>
      <c r="N33" s="921">
        <v>44166</v>
      </c>
      <c r="O33" s="922" t="s">
        <v>219</v>
      </c>
      <c r="P33" s="923">
        <v>303624115560</v>
      </c>
      <c r="Q33" s="924" t="s">
        <v>841</v>
      </c>
      <c r="R33" s="922" t="s">
        <v>4</v>
      </c>
      <c r="S33" s="925" t="s">
        <v>178</v>
      </c>
      <c r="T33" s="925" t="s">
        <v>178</v>
      </c>
      <c r="U33" s="946"/>
      <c r="V33" s="799"/>
    </row>
    <row r="34" spans="1:22" ht="15.75">
      <c r="A34" s="876">
        <v>88</v>
      </c>
      <c r="B34" s="877" t="s">
        <v>871</v>
      </c>
      <c r="C34" s="878">
        <v>44166</v>
      </c>
      <c r="D34" s="879" t="s">
        <v>24</v>
      </c>
      <c r="E34" s="880" t="s">
        <v>872</v>
      </c>
      <c r="F34" s="881" t="s">
        <v>873</v>
      </c>
      <c r="G34" s="941" t="s">
        <v>180</v>
      </c>
      <c r="H34" s="882">
        <v>60</v>
      </c>
      <c r="I34" s="883" t="s">
        <v>207</v>
      </c>
      <c r="J34" s="884">
        <v>0.25</v>
      </c>
      <c r="K34" s="885" t="s">
        <v>197</v>
      </c>
      <c r="L34" s="886">
        <f t="shared" si="1"/>
        <v>15</v>
      </c>
      <c r="M34" s="948">
        <v>35</v>
      </c>
      <c r="N34" s="887">
        <v>44166</v>
      </c>
      <c r="O34" s="888" t="s">
        <v>219</v>
      </c>
      <c r="P34" s="889">
        <v>303624107640</v>
      </c>
      <c r="Q34" s="890" t="s">
        <v>841</v>
      </c>
      <c r="R34" s="887" t="s">
        <v>845</v>
      </c>
      <c r="S34" s="891" t="s">
        <v>178</v>
      </c>
      <c r="T34" s="891" t="s">
        <v>178</v>
      </c>
      <c r="U34" s="946"/>
      <c r="V34" s="799"/>
    </row>
    <row r="35" spans="1:22" ht="15.75">
      <c r="A35" s="893">
        <v>88</v>
      </c>
      <c r="B35" s="894" t="s">
        <v>871</v>
      </c>
      <c r="C35" s="895">
        <v>44166</v>
      </c>
      <c r="D35" s="896" t="s">
        <v>24</v>
      </c>
      <c r="E35" s="897" t="s">
        <v>872</v>
      </c>
      <c r="F35" s="898" t="s">
        <v>874</v>
      </c>
      <c r="G35" s="927" t="s">
        <v>180</v>
      </c>
      <c r="H35" s="899">
        <v>60</v>
      </c>
      <c r="I35" s="900" t="s">
        <v>207</v>
      </c>
      <c r="J35" s="901">
        <v>0.25</v>
      </c>
      <c r="K35" s="902" t="s">
        <v>197</v>
      </c>
      <c r="L35" s="903">
        <f t="shared" si="1"/>
        <v>15</v>
      </c>
      <c r="M35" s="949"/>
      <c r="N35" s="904">
        <v>44166</v>
      </c>
      <c r="O35" s="905" t="s">
        <v>219</v>
      </c>
      <c r="P35" s="906">
        <v>303624107640</v>
      </c>
      <c r="Q35" s="907" t="s">
        <v>841</v>
      </c>
      <c r="R35" s="904" t="s">
        <v>845</v>
      </c>
      <c r="S35" s="908" t="s">
        <v>178</v>
      </c>
      <c r="T35" s="908" t="s">
        <v>178</v>
      </c>
      <c r="U35" s="946"/>
      <c r="V35" s="799"/>
    </row>
    <row r="36" spans="1:22" ht="15.75">
      <c r="A36" s="893">
        <v>88</v>
      </c>
      <c r="B36" s="894" t="s">
        <v>871</v>
      </c>
      <c r="C36" s="895">
        <v>44166</v>
      </c>
      <c r="D36" s="896" t="s">
        <v>24</v>
      </c>
      <c r="E36" s="897" t="s">
        <v>872</v>
      </c>
      <c r="F36" s="898" t="s">
        <v>875</v>
      </c>
      <c r="G36" s="927" t="s">
        <v>180</v>
      </c>
      <c r="H36" s="899">
        <v>60</v>
      </c>
      <c r="I36" s="900" t="s">
        <v>207</v>
      </c>
      <c r="J36" s="901">
        <v>0.25</v>
      </c>
      <c r="K36" s="902" t="s">
        <v>197</v>
      </c>
      <c r="L36" s="903">
        <f t="shared" si="1"/>
        <v>15</v>
      </c>
      <c r="M36" s="949"/>
      <c r="N36" s="904">
        <v>44166</v>
      </c>
      <c r="O36" s="905" t="s">
        <v>219</v>
      </c>
      <c r="P36" s="906">
        <v>303624107640</v>
      </c>
      <c r="Q36" s="907" t="s">
        <v>841</v>
      </c>
      <c r="R36" s="904" t="s">
        <v>845</v>
      </c>
      <c r="S36" s="908" t="s">
        <v>178</v>
      </c>
      <c r="T36" s="908" t="s">
        <v>178</v>
      </c>
      <c r="U36" s="946"/>
      <c r="V36" s="799"/>
    </row>
    <row r="37" spans="1:22" ht="15.75">
      <c r="A37" s="893">
        <v>88</v>
      </c>
      <c r="B37" s="894" t="s">
        <v>871</v>
      </c>
      <c r="C37" s="895">
        <v>44166</v>
      </c>
      <c r="D37" s="896" t="s">
        <v>24</v>
      </c>
      <c r="E37" s="897" t="s">
        <v>872</v>
      </c>
      <c r="F37" s="898" t="s">
        <v>876</v>
      </c>
      <c r="G37" s="927" t="s">
        <v>180</v>
      </c>
      <c r="H37" s="899">
        <v>60</v>
      </c>
      <c r="I37" s="900" t="s">
        <v>207</v>
      </c>
      <c r="J37" s="901">
        <v>0.25</v>
      </c>
      <c r="K37" s="902" t="s">
        <v>197</v>
      </c>
      <c r="L37" s="903">
        <f t="shared" si="1"/>
        <v>15</v>
      </c>
      <c r="M37" s="949"/>
      <c r="N37" s="904">
        <v>44166</v>
      </c>
      <c r="O37" s="905" t="s">
        <v>219</v>
      </c>
      <c r="P37" s="906">
        <v>303624107640</v>
      </c>
      <c r="Q37" s="907" t="s">
        <v>841</v>
      </c>
      <c r="R37" s="904" t="s">
        <v>845</v>
      </c>
      <c r="S37" s="908" t="s">
        <v>178</v>
      </c>
      <c r="T37" s="908" t="s">
        <v>178</v>
      </c>
      <c r="U37" s="947"/>
      <c r="V37" s="814"/>
    </row>
    <row r="38" spans="1:22" ht="15.75">
      <c r="A38" s="893">
        <v>88</v>
      </c>
      <c r="B38" s="894" t="s">
        <v>871</v>
      </c>
      <c r="C38" s="895">
        <v>44166</v>
      </c>
      <c r="D38" s="896" t="s">
        <v>24</v>
      </c>
      <c r="E38" s="897" t="s">
        <v>872</v>
      </c>
      <c r="F38" s="898" t="s">
        <v>877</v>
      </c>
      <c r="G38" s="927" t="s">
        <v>180</v>
      </c>
      <c r="H38" s="899">
        <v>40</v>
      </c>
      <c r="I38" s="900" t="s">
        <v>207</v>
      </c>
      <c r="J38" s="901">
        <v>0.25</v>
      </c>
      <c r="K38" s="902" t="s">
        <v>197</v>
      </c>
      <c r="L38" s="903">
        <f t="shared" si="1"/>
        <v>10</v>
      </c>
      <c r="M38" s="949"/>
      <c r="N38" s="904">
        <v>44166</v>
      </c>
      <c r="O38" s="905" t="s">
        <v>219</v>
      </c>
      <c r="P38" s="906">
        <v>303624107640</v>
      </c>
      <c r="Q38" s="907" t="s">
        <v>841</v>
      </c>
      <c r="R38" s="904" t="s">
        <v>845</v>
      </c>
      <c r="S38" s="908" t="s">
        <v>178</v>
      </c>
      <c r="T38" s="908" t="s">
        <v>178</v>
      </c>
      <c r="U38" s="943"/>
      <c r="V38" s="799"/>
    </row>
    <row r="39" spans="1:22" ht="15.75">
      <c r="A39" s="910">
        <v>88</v>
      </c>
      <c r="B39" s="911" t="s">
        <v>871</v>
      </c>
      <c r="C39" s="912">
        <v>44166</v>
      </c>
      <c r="D39" s="913" t="s">
        <v>24</v>
      </c>
      <c r="E39" s="914" t="s">
        <v>872</v>
      </c>
      <c r="F39" s="915" t="s">
        <v>878</v>
      </c>
      <c r="G39" s="942" t="s">
        <v>180</v>
      </c>
      <c r="H39" s="916">
        <v>6</v>
      </c>
      <c r="I39" s="917" t="s">
        <v>207</v>
      </c>
      <c r="J39" s="918">
        <v>0.1</v>
      </c>
      <c r="K39" s="919" t="s">
        <v>197</v>
      </c>
      <c r="L39" s="920">
        <f t="shared" si="1"/>
        <v>0.60000000000000009</v>
      </c>
      <c r="M39" s="950"/>
      <c r="N39" s="921">
        <v>44166</v>
      </c>
      <c r="O39" s="922" t="s">
        <v>219</v>
      </c>
      <c r="P39" s="923">
        <v>303624107640</v>
      </c>
      <c r="Q39" s="924" t="s">
        <v>841</v>
      </c>
      <c r="R39" s="921" t="s">
        <v>845</v>
      </c>
      <c r="S39" s="925" t="s">
        <v>178</v>
      </c>
      <c r="T39" s="925" t="s">
        <v>178</v>
      </c>
      <c r="U39" s="800"/>
      <c r="V39" s="799"/>
    </row>
    <row r="40" spans="1:22" ht="15.75">
      <c r="A40" s="893">
        <v>89</v>
      </c>
      <c r="B40" s="894" t="s">
        <v>879</v>
      </c>
      <c r="C40" s="895">
        <v>44169</v>
      </c>
      <c r="D40" s="896" t="s">
        <v>24</v>
      </c>
      <c r="E40" s="897" t="s">
        <v>880</v>
      </c>
      <c r="F40" s="898" t="s">
        <v>846</v>
      </c>
      <c r="G40" s="898" t="s">
        <v>416</v>
      </c>
      <c r="H40" s="166">
        <v>2</v>
      </c>
      <c r="I40" s="900" t="s">
        <v>207</v>
      </c>
      <c r="J40" s="869">
        <v>4</v>
      </c>
      <c r="K40" s="902" t="s">
        <v>197</v>
      </c>
      <c r="L40" s="898"/>
      <c r="M40" s="949">
        <v>12.3</v>
      </c>
      <c r="N40" s="904">
        <v>44169</v>
      </c>
      <c r="O40" s="904"/>
      <c r="P40" s="906"/>
      <c r="Q40" s="898"/>
      <c r="R40" s="904" t="s">
        <v>4</v>
      </c>
      <c r="S40" s="908" t="s">
        <v>178</v>
      </c>
      <c r="T40" s="908" t="s">
        <v>178</v>
      </c>
      <c r="U40" s="800"/>
      <c r="V40" s="799"/>
    </row>
    <row r="41" spans="1:22" ht="15.75">
      <c r="A41" s="893">
        <v>89</v>
      </c>
      <c r="B41" s="894" t="s">
        <v>879</v>
      </c>
      <c r="C41" s="895">
        <v>44169</v>
      </c>
      <c r="D41" s="896" t="s">
        <v>24</v>
      </c>
      <c r="E41" s="897" t="s">
        <v>880</v>
      </c>
      <c r="F41" s="898" t="s">
        <v>847</v>
      </c>
      <c r="G41" s="898" t="s">
        <v>820</v>
      </c>
      <c r="H41" s="166">
        <v>2</v>
      </c>
      <c r="I41" s="900" t="s">
        <v>207</v>
      </c>
      <c r="J41" s="869">
        <v>5</v>
      </c>
      <c r="K41" s="902" t="s">
        <v>197</v>
      </c>
      <c r="L41" s="898"/>
      <c r="M41" s="949"/>
      <c r="N41" s="904">
        <v>44169</v>
      </c>
      <c r="O41" s="904"/>
      <c r="P41" s="906"/>
      <c r="Q41" s="898"/>
      <c r="R41" s="904" t="s">
        <v>4</v>
      </c>
      <c r="S41" s="908" t="s">
        <v>178</v>
      </c>
      <c r="T41" s="908" t="s">
        <v>178</v>
      </c>
      <c r="U41" s="800"/>
      <c r="V41" s="799"/>
    </row>
    <row r="42" spans="1:22" ht="15.75">
      <c r="A42" s="893">
        <v>89</v>
      </c>
      <c r="B42" s="894" t="s">
        <v>879</v>
      </c>
      <c r="C42" s="895">
        <v>44169</v>
      </c>
      <c r="D42" s="896" t="s">
        <v>24</v>
      </c>
      <c r="E42" s="897" t="s">
        <v>880</v>
      </c>
      <c r="F42" s="898" t="s">
        <v>881</v>
      </c>
      <c r="G42" s="898" t="s">
        <v>351</v>
      </c>
      <c r="H42" s="166">
        <v>1</v>
      </c>
      <c r="I42" s="900" t="s">
        <v>207</v>
      </c>
      <c r="J42" s="869">
        <v>10</v>
      </c>
      <c r="K42" s="902" t="s">
        <v>197</v>
      </c>
      <c r="L42" s="898"/>
      <c r="M42" s="949"/>
      <c r="N42" s="904">
        <v>44169</v>
      </c>
      <c r="O42" s="904"/>
      <c r="P42" s="906"/>
      <c r="Q42" s="898"/>
      <c r="R42" s="904" t="s">
        <v>4</v>
      </c>
      <c r="S42" s="908" t="s">
        <v>178</v>
      </c>
      <c r="T42" s="908" t="s">
        <v>178</v>
      </c>
      <c r="U42" s="800"/>
      <c r="V42" s="799"/>
    </row>
    <row r="43" spans="1:22" ht="15.75">
      <c r="A43" s="893">
        <v>89</v>
      </c>
      <c r="B43" s="894" t="s">
        <v>879</v>
      </c>
      <c r="C43" s="895">
        <v>44169</v>
      </c>
      <c r="D43" s="896" t="s">
        <v>24</v>
      </c>
      <c r="E43" s="897" t="s">
        <v>880</v>
      </c>
      <c r="F43" s="898" t="s">
        <v>882</v>
      </c>
      <c r="G43" s="898" t="s">
        <v>351</v>
      </c>
      <c r="H43" s="166">
        <v>3</v>
      </c>
      <c r="I43" s="900" t="s">
        <v>207</v>
      </c>
      <c r="J43" s="869">
        <v>11</v>
      </c>
      <c r="K43" s="902" t="s">
        <v>197</v>
      </c>
      <c r="L43" s="898"/>
      <c r="M43" s="949"/>
      <c r="N43" s="904">
        <v>44169</v>
      </c>
      <c r="O43" s="904"/>
      <c r="P43" s="906"/>
      <c r="Q43" s="898"/>
      <c r="R43" s="904" t="s">
        <v>4</v>
      </c>
      <c r="S43" s="908" t="s">
        <v>178</v>
      </c>
      <c r="T43" s="908" t="s">
        <v>178</v>
      </c>
      <c r="U43" s="800"/>
      <c r="V43" s="799"/>
    </row>
    <row r="44" spans="1:22" ht="15.75">
      <c r="A44" s="893">
        <v>89</v>
      </c>
      <c r="B44" s="894" t="s">
        <v>879</v>
      </c>
      <c r="C44" s="895">
        <v>44169</v>
      </c>
      <c r="D44" s="896" t="s">
        <v>24</v>
      </c>
      <c r="E44" s="897" t="s">
        <v>880</v>
      </c>
      <c r="F44" s="898" t="s">
        <v>883</v>
      </c>
      <c r="G44" s="898" t="s">
        <v>179</v>
      </c>
      <c r="H44" s="166">
        <f>3+4</f>
        <v>7</v>
      </c>
      <c r="I44" s="900" t="s">
        <v>207</v>
      </c>
      <c r="J44" s="869">
        <v>2</v>
      </c>
      <c r="K44" s="902" t="s">
        <v>197</v>
      </c>
      <c r="L44" s="898"/>
      <c r="M44" s="949"/>
      <c r="N44" s="904">
        <v>44169</v>
      </c>
      <c r="O44" s="904"/>
      <c r="P44" s="906"/>
      <c r="Q44" s="898"/>
      <c r="R44" s="904" t="s">
        <v>4</v>
      </c>
      <c r="S44" s="908" t="s">
        <v>178</v>
      </c>
      <c r="T44" s="908" t="s">
        <v>178</v>
      </c>
      <c r="U44" s="800"/>
      <c r="V44" s="799"/>
    </row>
    <row r="45" spans="1:22" ht="15.75">
      <c r="A45" s="893">
        <v>89</v>
      </c>
      <c r="B45" s="894" t="s">
        <v>879</v>
      </c>
      <c r="C45" s="895">
        <v>44169</v>
      </c>
      <c r="D45" s="896" t="s">
        <v>24</v>
      </c>
      <c r="E45" s="897" t="s">
        <v>880</v>
      </c>
      <c r="F45" s="898" t="s">
        <v>884</v>
      </c>
      <c r="G45" s="898" t="s">
        <v>179</v>
      </c>
      <c r="H45" s="166">
        <v>3</v>
      </c>
      <c r="I45" s="900" t="s">
        <v>207</v>
      </c>
      <c r="J45" s="869">
        <v>2</v>
      </c>
      <c r="K45" s="902" t="s">
        <v>197</v>
      </c>
      <c r="L45" s="898"/>
      <c r="M45" s="949"/>
      <c r="N45" s="904">
        <v>44169</v>
      </c>
      <c r="O45" s="904"/>
      <c r="P45" s="906"/>
      <c r="Q45" s="898"/>
      <c r="R45" s="904" t="s">
        <v>4</v>
      </c>
      <c r="S45" s="908" t="s">
        <v>178</v>
      </c>
      <c r="T45" s="908" t="s">
        <v>178</v>
      </c>
      <c r="U45" s="800"/>
      <c r="V45" s="799"/>
    </row>
    <row r="46" spans="1:22" ht="15.75">
      <c r="A46" s="910">
        <v>89</v>
      </c>
      <c r="B46" s="911" t="s">
        <v>879</v>
      </c>
      <c r="C46" s="912">
        <v>44169</v>
      </c>
      <c r="D46" s="913" t="s">
        <v>24</v>
      </c>
      <c r="E46" s="914" t="s">
        <v>880</v>
      </c>
      <c r="F46" s="915" t="s">
        <v>885</v>
      </c>
      <c r="G46" s="915" t="s">
        <v>179</v>
      </c>
      <c r="H46" s="169">
        <v>5</v>
      </c>
      <c r="I46" s="917" t="s">
        <v>207</v>
      </c>
      <c r="J46" s="928">
        <v>2</v>
      </c>
      <c r="K46" s="919" t="s">
        <v>197</v>
      </c>
      <c r="L46" s="915"/>
      <c r="M46" s="950"/>
      <c r="N46" s="921">
        <v>44169</v>
      </c>
      <c r="O46" s="921"/>
      <c r="P46" s="923"/>
      <c r="Q46" s="915"/>
      <c r="R46" s="921" t="s">
        <v>4</v>
      </c>
      <c r="S46" s="925" t="s">
        <v>178</v>
      </c>
      <c r="T46" s="925" t="s">
        <v>178</v>
      </c>
      <c r="U46" s="800"/>
      <c r="V46" s="799"/>
    </row>
    <row r="47" spans="1:22" ht="15.75">
      <c r="A47" s="517">
        <v>90</v>
      </c>
      <c r="B47" s="4" t="s">
        <v>886</v>
      </c>
      <c r="C47" s="518">
        <v>44169</v>
      </c>
      <c r="D47" s="929" t="s">
        <v>24</v>
      </c>
      <c r="E47" s="68" t="s">
        <v>887</v>
      </c>
      <c r="F47" s="953" t="s">
        <v>888</v>
      </c>
      <c r="G47" s="954" t="s">
        <v>889</v>
      </c>
      <c r="H47" s="427">
        <v>10</v>
      </c>
      <c r="I47" s="955" t="s">
        <v>336</v>
      </c>
      <c r="J47" s="931">
        <v>4.68</v>
      </c>
      <c r="K47" s="956" t="s">
        <v>197</v>
      </c>
      <c r="L47" s="954"/>
      <c r="M47" s="933">
        <v>10.5</v>
      </c>
      <c r="N47" s="16">
        <v>44169</v>
      </c>
      <c r="O47" s="16"/>
      <c r="P47" s="934"/>
      <c r="Q47" s="4"/>
      <c r="R47" s="935" t="s">
        <v>4</v>
      </c>
      <c r="S47" s="936" t="s">
        <v>178</v>
      </c>
      <c r="T47" s="936" t="s">
        <v>178</v>
      </c>
      <c r="U47" s="800"/>
      <c r="V47" s="799"/>
    </row>
    <row r="48" spans="1:22" ht="15.75">
      <c r="A48" s="338">
        <v>91</v>
      </c>
      <c r="B48" s="19" t="s">
        <v>890</v>
      </c>
      <c r="C48" s="351">
        <v>44172</v>
      </c>
      <c r="D48" s="879" t="s">
        <v>24</v>
      </c>
      <c r="E48" s="63" t="s">
        <v>891</v>
      </c>
      <c r="F48" s="957" t="s">
        <v>846</v>
      </c>
      <c r="G48" s="958" t="s">
        <v>416</v>
      </c>
      <c r="H48" s="164">
        <v>4</v>
      </c>
      <c r="I48" s="959" t="s">
        <v>207</v>
      </c>
      <c r="J48" s="838">
        <v>4</v>
      </c>
      <c r="K48" s="960" t="s">
        <v>197</v>
      </c>
      <c r="L48" s="957"/>
      <c r="M48" s="951">
        <v>18.399999999999999</v>
      </c>
      <c r="N48" s="864">
        <v>44173</v>
      </c>
      <c r="O48" s="864"/>
      <c r="P48" s="719"/>
      <c r="Q48" s="19"/>
      <c r="R48" s="887" t="s">
        <v>4</v>
      </c>
      <c r="S48" s="891" t="s">
        <v>178</v>
      </c>
      <c r="T48" s="891" t="s">
        <v>178</v>
      </c>
      <c r="U48" s="800"/>
      <c r="V48" s="799"/>
    </row>
    <row r="49" spans="1:22" ht="15.75">
      <c r="A49" s="339">
        <v>91</v>
      </c>
      <c r="B49" s="21" t="s">
        <v>890</v>
      </c>
      <c r="C49" s="352">
        <v>44172</v>
      </c>
      <c r="D49" s="896" t="s">
        <v>24</v>
      </c>
      <c r="E49" s="65" t="s">
        <v>891</v>
      </c>
      <c r="F49" s="871" t="s">
        <v>847</v>
      </c>
      <c r="G49" s="961" t="s">
        <v>820</v>
      </c>
      <c r="H49" s="166">
        <v>4</v>
      </c>
      <c r="I49" s="962" t="s">
        <v>207</v>
      </c>
      <c r="J49" s="869">
        <v>5</v>
      </c>
      <c r="K49" s="963" t="s">
        <v>197</v>
      </c>
      <c r="L49" s="871"/>
      <c r="M49" s="757"/>
      <c r="N49" s="865">
        <v>44173</v>
      </c>
      <c r="O49" s="865"/>
      <c r="P49" s="720"/>
      <c r="Q49" s="21"/>
      <c r="R49" s="904" t="s">
        <v>4</v>
      </c>
      <c r="S49" s="908" t="s">
        <v>178</v>
      </c>
      <c r="T49" s="908" t="s">
        <v>178</v>
      </c>
      <c r="U49" s="800"/>
      <c r="V49" s="799"/>
    </row>
    <row r="50" spans="1:22" ht="15.75">
      <c r="A50" s="339">
        <v>91</v>
      </c>
      <c r="B50" s="21" t="s">
        <v>890</v>
      </c>
      <c r="C50" s="352">
        <v>44172</v>
      </c>
      <c r="D50" s="896" t="s">
        <v>24</v>
      </c>
      <c r="E50" s="65" t="s">
        <v>891</v>
      </c>
      <c r="F50" s="871" t="s">
        <v>413</v>
      </c>
      <c r="G50" s="961" t="s">
        <v>868</v>
      </c>
      <c r="H50" s="166">
        <v>23</v>
      </c>
      <c r="I50" s="962" t="s">
        <v>207</v>
      </c>
      <c r="J50" s="870">
        <v>3</v>
      </c>
      <c r="K50" s="963" t="s">
        <v>197</v>
      </c>
      <c r="L50" s="871"/>
      <c r="M50" s="757"/>
      <c r="N50" s="865">
        <v>44173</v>
      </c>
      <c r="O50" s="865"/>
      <c r="P50" s="720"/>
      <c r="Q50" s="21"/>
      <c r="R50" s="904" t="s">
        <v>4</v>
      </c>
      <c r="S50" s="908" t="s">
        <v>178</v>
      </c>
      <c r="T50" s="908" t="s">
        <v>178</v>
      </c>
      <c r="U50" s="800"/>
      <c r="V50" s="799"/>
    </row>
    <row r="51" spans="1:22" ht="15.75">
      <c r="A51" s="340">
        <v>91</v>
      </c>
      <c r="B51" s="22" t="s">
        <v>890</v>
      </c>
      <c r="C51" s="353">
        <v>44172</v>
      </c>
      <c r="D51" s="913" t="s">
        <v>24</v>
      </c>
      <c r="E51" s="67" t="s">
        <v>891</v>
      </c>
      <c r="F51" s="873" t="s">
        <v>414</v>
      </c>
      <c r="G51" s="964" t="s">
        <v>868</v>
      </c>
      <c r="H51" s="169">
        <v>24</v>
      </c>
      <c r="I51" s="965" t="s">
        <v>207</v>
      </c>
      <c r="J51" s="875">
        <v>3</v>
      </c>
      <c r="K51" s="966" t="s">
        <v>197</v>
      </c>
      <c r="L51" s="873"/>
      <c r="M51" s="952"/>
      <c r="N51" s="866">
        <v>44173</v>
      </c>
      <c r="O51" s="866"/>
      <c r="P51" s="721"/>
      <c r="Q51" s="22"/>
      <c r="R51" s="921" t="s">
        <v>4</v>
      </c>
      <c r="S51" s="925" t="s">
        <v>178</v>
      </c>
      <c r="T51" s="925" t="s">
        <v>178</v>
      </c>
      <c r="U51" s="800"/>
      <c r="V51" s="799"/>
    </row>
    <row r="52" spans="1:22" ht="15.75">
      <c r="A52" s="771">
        <v>92</v>
      </c>
      <c r="B52" s="19" t="s">
        <v>892</v>
      </c>
      <c r="C52" s="773">
        <v>44174</v>
      </c>
      <c r="D52" s="879" t="s">
        <v>24</v>
      </c>
      <c r="E52" s="775" t="s">
        <v>893</v>
      </c>
      <c r="F52" s="973" t="s">
        <v>339</v>
      </c>
      <c r="G52" s="974" t="s">
        <v>180</v>
      </c>
      <c r="H52" s="164">
        <v>12</v>
      </c>
      <c r="I52" s="959" t="s">
        <v>207</v>
      </c>
      <c r="J52" s="975">
        <v>1</v>
      </c>
      <c r="K52" s="960" t="s">
        <v>197</v>
      </c>
      <c r="L52" s="970"/>
      <c r="M52" s="1029">
        <v>10</v>
      </c>
      <c r="N52" s="830">
        <v>44175</v>
      </c>
      <c r="O52" s="197"/>
      <c r="P52" s="783"/>
      <c r="Q52" s="784"/>
      <c r="R52" s="887" t="s">
        <v>845</v>
      </c>
      <c r="S52" s="891" t="s">
        <v>178</v>
      </c>
      <c r="T52" s="891" t="s">
        <v>178</v>
      </c>
      <c r="U52" s="800"/>
      <c r="V52" s="799"/>
    </row>
    <row r="53" spans="1:22" ht="15.75">
      <c r="A53" s="786">
        <v>92</v>
      </c>
      <c r="B53" s="21" t="s">
        <v>892</v>
      </c>
      <c r="C53" s="788">
        <v>44174</v>
      </c>
      <c r="D53" s="896" t="s">
        <v>24</v>
      </c>
      <c r="E53" s="790" t="s">
        <v>893</v>
      </c>
      <c r="F53" s="976" t="s">
        <v>894</v>
      </c>
      <c r="G53" s="976" t="s">
        <v>180</v>
      </c>
      <c r="H53" s="166">
        <v>24</v>
      </c>
      <c r="I53" s="962" t="s">
        <v>207</v>
      </c>
      <c r="J53" s="967">
        <v>1</v>
      </c>
      <c r="K53" s="963" t="s">
        <v>197</v>
      </c>
      <c r="L53" s="968"/>
      <c r="M53" s="1030"/>
      <c r="N53" s="828">
        <v>44175</v>
      </c>
      <c r="O53" s="198"/>
      <c r="P53" s="797"/>
      <c r="Q53" s="798"/>
      <c r="R53" s="904" t="s">
        <v>845</v>
      </c>
      <c r="S53" s="908" t="s">
        <v>178</v>
      </c>
      <c r="T53" s="908" t="s">
        <v>178</v>
      </c>
      <c r="U53" s="800"/>
      <c r="V53" s="799"/>
    </row>
    <row r="54" spans="1:22" ht="15.75">
      <c r="A54" s="786">
        <v>93</v>
      </c>
      <c r="B54" s="21" t="s">
        <v>895</v>
      </c>
      <c r="C54" s="788">
        <v>44176</v>
      </c>
      <c r="D54" s="896" t="s">
        <v>24</v>
      </c>
      <c r="E54" s="790" t="s">
        <v>896</v>
      </c>
      <c r="F54" s="969" t="s">
        <v>846</v>
      </c>
      <c r="G54" s="976" t="s">
        <v>416</v>
      </c>
      <c r="H54" s="166">
        <v>2</v>
      </c>
      <c r="I54" s="962" t="s">
        <v>207</v>
      </c>
      <c r="J54" s="869">
        <v>4</v>
      </c>
      <c r="K54" s="963" t="s">
        <v>197</v>
      </c>
      <c r="L54" s="968"/>
      <c r="M54" s="1030" t="s">
        <v>900</v>
      </c>
      <c r="N54" s="828">
        <v>44176</v>
      </c>
      <c r="O54" s="198"/>
      <c r="P54" s="797"/>
      <c r="Q54" s="798"/>
      <c r="R54" s="198" t="s">
        <v>4</v>
      </c>
      <c r="S54" s="908" t="s">
        <v>178</v>
      </c>
      <c r="T54" s="908" t="s">
        <v>178</v>
      </c>
      <c r="U54" s="800"/>
      <c r="V54" s="799"/>
    </row>
    <row r="55" spans="1:22" ht="15.75">
      <c r="A55" s="786">
        <v>93</v>
      </c>
      <c r="B55" s="21" t="s">
        <v>895</v>
      </c>
      <c r="C55" s="788">
        <v>44176</v>
      </c>
      <c r="D55" s="896" t="s">
        <v>24</v>
      </c>
      <c r="E55" s="790" t="s">
        <v>896</v>
      </c>
      <c r="F55" s="969" t="s">
        <v>847</v>
      </c>
      <c r="G55" s="976" t="s">
        <v>820</v>
      </c>
      <c r="H55" s="166">
        <v>2</v>
      </c>
      <c r="I55" s="962" t="s">
        <v>207</v>
      </c>
      <c r="J55" s="869">
        <v>5</v>
      </c>
      <c r="K55" s="963" t="s">
        <v>197</v>
      </c>
      <c r="L55" s="968"/>
      <c r="M55" s="1030"/>
      <c r="N55" s="828">
        <v>44176</v>
      </c>
      <c r="O55" s="198"/>
      <c r="P55" s="797"/>
      <c r="Q55" s="798"/>
      <c r="R55" s="198" t="s">
        <v>4</v>
      </c>
      <c r="S55" s="908" t="s">
        <v>178</v>
      </c>
      <c r="T55" s="908" t="s">
        <v>178</v>
      </c>
      <c r="U55" s="944"/>
      <c r="V55" s="799"/>
    </row>
    <row r="56" spans="1:22" ht="15.75">
      <c r="A56" s="786">
        <v>93</v>
      </c>
      <c r="B56" s="21" t="s">
        <v>895</v>
      </c>
      <c r="C56" s="788">
        <v>44176</v>
      </c>
      <c r="D56" s="896" t="s">
        <v>24</v>
      </c>
      <c r="E56" s="790" t="s">
        <v>896</v>
      </c>
      <c r="F56" s="871" t="s">
        <v>846</v>
      </c>
      <c r="G56" s="976" t="s">
        <v>416</v>
      </c>
      <c r="H56" s="166">
        <v>2</v>
      </c>
      <c r="I56" s="962" t="s">
        <v>207</v>
      </c>
      <c r="J56" s="869">
        <v>4</v>
      </c>
      <c r="K56" s="963" t="s">
        <v>197</v>
      </c>
      <c r="L56" s="968"/>
      <c r="M56" s="1030"/>
      <c r="N56" s="828">
        <v>44176</v>
      </c>
      <c r="O56" s="198"/>
      <c r="P56" s="797"/>
      <c r="Q56" s="798"/>
      <c r="R56" s="198" t="s">
        <v>4</v>
      </c>
      <c r="S56" s="908" t="s">
        <v>178</v>
      </c>
      <c r="T56" s="908" t="s">
        <v>178</v>
      </c>
      <c r="U56" s="943"/>
      <c r="V56" s="785"/>
    </row>
    <row r="57" spans="1:22" ht="15.75">
      <c r="A57" s="786">
        <v>93</v>
      </c>
      <c r="B57" s="21" t="s">
        <v>895</v>
      </c>
      <c r="C57" s="788">
        <v>44176</v>
      </c>
      <c r="D57" s="896" t="s">
        <v>24</v>
      </c>
      <c r="E57" s="790" t="s">
        <v>896</v>
      </c>
      <c r="F57" s="871" t="s">
        <v>847</v>
      </c>
      <c r="G57" s="976" t="s">
        <v>820</v>
      </c>
      <c r="H57" s="166">
        <v>2</v>
      </c>
      <c r="I57" s="962" t="s">
        <v>207</v>
      </c>
      <c r="J57" s="869">
        <v>5</v>
      </c>
      <c r="K57" s="963" t="s">
        <v>197</v>
      </c>
      <c r="L57" s="968"/>
      <c r="M57" s="1030"/>
      <c r="N57" s="828">
        <v>44176</v>
      </c>
      <c r="O57" s="198"/>
      <c r="P57" s="797"/>
      <c r="Q57" s="798"/>
      <c r="R57" s="198" t="s">
        <v>4</v>
      </c>
      <c r="S57" s="908" t="s">
        <v>178</v>
      </c>
      <c r="T57" s="908" t="s">
        <v>178</v>
      </c>
      <c r="U57" s="944"/>
      <c r="V57" s="814"/>
    </row>
    <row r="58" spans="1:22" ht="15.75">
      <c r="A58" s="786">
        <v>93</v>
      </c>
      <c r="B58" s="21" t="s">
        <v>895</v>
      </c>
      <c r="C58" s="788">
        <v>44176</v>
      </c>
      <c r="D58" s="896" t="s">
        <v>24</v>
      </c>
      <c r="E58" s="790" t="s">
        <v>896</v>
      </c>
      <c r="F58" s="972" t="s">
        <v>746</v>
      </c>
      <c r="G58" s="976" t="s">
        <v>752</v>
      </c>
      <c r="H58" s="166">
        <v>4</v>
      </c>
      <c r="I58" s="962" t="s">
        <v>207</v>
      </c>
      <c r="J58" s="870">
        <v>12.4</v>
      </c>
      <c r="K58" s="963" t="s">
        <v>197</v>
      </c>
      <c r="L58" s="968"/>
      <c r="M58" s="1030"/>
      <c r="N58" s="828">
        <v>44176</v>
      </c>
      <c r="O58" s="198"/>
      <c r="P58" s="797"/>
      <c r="Q58" s="798"/>
      <c r="R58" s="198" t="s">
        <v>4</v>
      </c>
      <c r="S58" s="908" t="s">
        <v>178</v>
      </c>
      <c r="T58" s="908" t="s">
        <v>178</v>
      </c>
      <c r="U58" s="945"/>
      <c r="V58" s="799"/>
    </row>
    <row r="59" spans="1:22" ht="15.75">
      <c r="A59" s="786">
        <v>93</v>
      </c>
      <c r="B59" s="21" t="s">
        <v>895</v>
      </c>
      <c r="C59" s="788">
        <v>44176</v>
      </c>
      <c r="D59" s="896" t="s">
        <v>24</v>
      </c>
      <c r="E59" s="790" t="s">
        <v>896</v>
      </c>
      <c r="F59" s="972" t="s">
        <v>897</v>
      </c>
      <c r="G59" s="976" t="s">
        <v>838</v>
      </c>
      <c r="H59" s="166">
        <v>23</v>
      </c>
      <c r="I59" s="962" t="s">
        <v>207</v>
      </c>
      <c r="J59" s="870">
        <v>3</v>
      </c>
      <c r="K59" s="963" t="s">
        <v>197</v>
      </c>
      <c r="L59" s="968"/>
      <c r="M59" s="1030"/>
      <c r="N59" s="828">
        <v>44176</v>
      </c>
      <c r="O59" s="198"/>
      <c r="P59" s="797"/>
      <c r="Q59" s="798"/>
      <c r="R59" s="198" t="s">
        <v>4</v>
      </c>
      <c r="S59" s="908" t="s">
        <v>178</v>
      </c>
      <c r="T59" s="908" t="s">
        <v>178</v>
      </c>
      <c r="U59" s="946"/>
      <c r="V59" s="799"/>
    </row>
    <row r="60" spans="1:22" ht="15.75">
      <c r="A60" s="786">
        <v>93</v>
      </c>
      <c r="B60" s="21" t="s">
        <v>895</v>
      </c>
      <c r="C60" s="788">
        <v>44176</v>
      </c>
      <c r="D60" s="896" t="s">
        <v>24</v>
      </c>
      <c r="E60" s="790" t="s">
        <v>896</v>
      </c>
      <c r="F60" s="972" t="s">
        <v>525</v>
      </c>
      <c r="G60" s="976" t="s">
        <v>416</v>
      </c>
      <c r="H60" s="166">
        <v>6</v>
      </c>
      <c r="I60" s="962" t="s">
        <v>207</v>
      </c>
      <c r="J60" s="870">
        <v>20</v>
      </c>
      <c r="K60" s="963" t="s">
        <v>197</v>
      </c>
      <c r="L60" s="968"/>
      <c r="M60" s="1030"/>
      <c r="N60" s="828">
        <v>44176</v>
      </c>
      <c r="O60" s="198"/>
      <c r="P60" s="797"/>
      <c r="Q60" s="798"/>
      <c r="R60" s="198" t="s">
        <v>4</v>
      </c>
      <c r="S60" s="908" t="s">
        <v>178</v>
      </c>
      <c r="T60" s="908" t="s">
        <v>178</v>
      </c>
      <c r="U60" s="946"/>
      <c r="V60" s="799"/>
    </row>
    <row r="61" spans="1:22" ht="15.75">
      <c r="A61" s="786">
        <v>93</v>
      </c>
      <c r="B61" s="21" t="s">
        <v>895</v>
      </c>
      <c r="C61" s="788">
        <v>44176</v>
      </c>
      <c r="D61" s="896" t="s">
        <v>24</v>
      </c>
      <c r="E61" s="790" t="s">
        <v>896</v>
      </c>
      <c r="F61" s="972" t="s">
        <v>525</v>
      </c>
      <c r="G61" s="976" t="s">
        <v>416</v>
      </c>
      <c r="H61" s="166">
        <v>6</v>
      </c>
      <c r="I61" s="962" t="s">
        <v>207</v>
      </c>
      <c r="J61" s="870">
        <v>20</v>
      </c>
      <c r="K61" s="963" t="s">
        <v>197</v>
      </c>
      <c r="L61" s="968"/>
      <c r="M61" s="1030"/>
      <c r="N61" s="828">
        <v>44176</v>
      </c>
      <c r="O61" s="198"/>
      <c r="P61" s="797"/>
      <c r="Q61" s="798"/>
      <c r="R61" s="198" t="s">
        <v>4</v>
      </c>
      <c r="S61" s="908" t="s">
        <v>178</v>
      </c>
      <c r="T61" s="908" t="s">
        <v>178</v>
      </c>
      <c r="U61" s="946"/>
      <c r="V61" s="799"/>
    </row>
    <row r="62" spans="1:22" ht="15.75">
      <c r="A62" s="786">
        <v>93</v>
      </c>
      <c r="B62" s="21" t="s">
        <v>895</v>
      </c>
      <c r="C62" s="788">
        <v>44176</v>
      </c>
      <c r="D62" s="896" t="s">
        <v>24</v>
      </c>
      <c r="E62" s="790" t="s">
        <v>896</v>
      </c>
      <c r="F62" s="972" t="s">
        <v>525</v>
      </c>
      <c r="G62" s="976" t="s">
        <v>416</v>
      </c>
      <c r="H62" s="166">
        <v>4</v>
      </c>
      <c r="I62" s="962" t="s">
        <v>207</v>
      </c>
      <c r="J62" s="870">
        <v>20</v>
      </c>
      <c r="K62" s="963" t="s">
        <v>197</v>
      </c>
      <c r="L62" s="968"/>
      <c r="M62" s="1030"/>
      <c r="N62" s="828">
        <v>44176</v>
      </c>
      <c r="O62" s="198"/>
      <c r="P62" s="797"/>
      <c r="Q62" s="798"/>
      <c r="R62" s="198" t="s">
        <v>4</v>
      </c>
      <c r="S62" s="908" t="s">
        <v>178</v>
      </c>
      <c r="T62" s="908" t="s">
        <v>178</v>
      </c>
      <c r="U62" s="946"/>
      <c r="V62" s="799"/>
    </row>
    <row r="63" spans="1:22" ht="15.75">
      <c r="A63" s="786">
        <v>93</v>
      </c>
      <c r="B63" s="21" t="s">
        <v>895</v>
      </c>
      <c r="C63" s="788">
        <v>44176</v>
      </c>
      <c r="D63" s="896" t="s">
        <v>24</v>
      </c>
      <c r="E63" s="790" t="s">
        <v>896</v>
      </c>
      <c r="F63" s="972" t="s">
        <v>898</v>
      </c>
      <c r="G63" s="976" t="s">
        <v>899</v>
      </c>
      <c r="H63" s="166">
        <v>15</v>
      </c>
      <c r="I63" s="962" t="s">
        <v>207</v>
      </c>
      <c r="J63" s="869">
        <v>1.89</v>
      </c>
      <c r="K63" s="963" t="s">
        <v>197</v>
      </c>
      <c r="L63" s="968"/>
      <c r="M63" s="1030"/>
      <c r="N63" s="828">
        <v>44176</v>
      </c>
      <c r="O63" s="198"/>
      <c r="P63" s="797"/>
      <c r="Q63" s="798"/>
      <c r="R63" s="198" t="s">
        <v>4</v>
      </c>
      <c r="S63" s="908" t="s">
        <v>178</v>
      </c>
      <c r="T63" s="908" t="s">
        <v>178</v>
      </c>
      <c r="U63" s="946"/>
      <c r="V63" s="799"/>
    </row>
    <row r="64" spans="1:22" ht="15.75">
      <c r="A64" s="801">
        <v>93</v>
      </c>
      <c r="B64" s="22" t="s">
        <v>895</v>
      </c>
      <c r="C64" s="803">
        <v>44176</v>
      </c>
      <c r="D64" s="913" t="s">
        <v>24</v>
      </c>
      <c r="E64" s="805" t="s">
        <v>896</v>
      </c>
      <c r="F64" s="977" t="s">
        <v>881</v>
      </c>
      <c r="G64" s="978" t="s">
        <v>351</v>
      </c>
      <c r="H64" s="169">
        <v>1</v>
      </c>
      <c r="I64" s="965" t="s">
        <v>207</v>
      </c>
      <c r="J64" s="928">
        <v>10</v>
      </c>
      <c r="K64" s="966" t="s">
        <v>197</v>
      </c>
      <c r="L64" s="971"/>
      <c r="M64" s="1031"/>
      <c r="N64" s="835">
        <v>44176</v>
      </c>
      <c r="O64" s="201"/>
      <c r="P64" s="812"/>
      <c r="Q64" s="813"/>
      <c r="R64" s="201" t="s">
        <v>4</v>
      </c>
      <c r="S64" s="925" t="s">
        <v>178</v>
      </c>
      <c r="T64" s="925" t="s">
        <v>178</v>
      </c>
      <c r="U64" s="946"/>
      <c r="V64" s="799"/>
    </row>
    <row r="65" spans="1:22" ht="15.75">
      <c r="A65" s="786">
        <v>94</v>
      </c>
      <c r="B65" s="22" t="s">
        <v>901</v>
      </c>
      <c r="C65" s="788">
        <v>44176</v>
      </c>
      <c r="D65" s="913" t="s">
        <v>24</v>
      </c>
      <c r="E65" s="790" t="s">
        <v>902</v>
      </c>
      <c r="F65" s="821" t="s">
        <v>212</v>
      </c>
      <c r="G65" s="820" t="s">
        <v>313</v>
      </c>
      <c r="H65" s="427">
        <v>16</v>
      </c>
      <c r="I65" s="965" t="s">
        <v>207</v>
      </c>
      <c r="J65" s="838">
        <v>1</v>
      </c>
      <c r="K65" s="966" t="s">
        <v>197</v>
      </c>
      <c r="L65" s="796"/>
      <c r="M65" s="1007">
        <v>2.4</v>
      </c>
      <c r="N65" s="828">
        <v>44176</v>
      </c>
      <c r="O65" s="198"/>
      <c r="P65" s="797"/>
      <c r="Q65" s="798"/>
      <c r="R65" s="201" t="s">
        <v>7</v>
      </c>
      <c r="S65" s="925" t="s">
        <v>178</v>
      </c>
      <c r="T65" s="925" t="s">
        <v>178</v>
      </c>
      <c r="U65" s="946"/>
      <c r="V65" s="799"/>
    </row>
    <row r="66" spans="1:22" ht="15.75">
      <c r="A66" s="786">
        <v>94</v>
      </c>
      <c r="B66" s="22" t="s">
        <v>901</v>
      </c>
      <c r="C66" s="788">
        <v>44176</v>
      </c>
      <c r="D66" s="913" t="s">
        <v>24</v>
      </c>
      <c r="E66" s="790" t="s">
        <v>902</v>
      </c>
      <c r="F66" s="821" t="s">
        <v>212</v>
      </c>
      <c r="G66" s="820" t="s">
        <v>313</v>
      </c>
      <c r="H66" s="427">
        <v>18</v>
      </c>
      <c r="I66" s="965" t="s">
        <v>207</v>
      </c>
      <c r="J66" s="838">
        <v>1</v>
      </c>
      <c r="K66" s="966" t="s">
        <v>197</v>
      </c>
      <c r="L66" s="796"/>
      <c r="M66" s="1008"/>
      <c r="N66" s="828">
        <v>44176</v>
      </c>
      <c r="O66" s="198"/>
      <c r="P66" s="797"/>
      <c r="Q66" s="798"/>
      <c r="R66" s="201" t="s">
        <v>7</v>
      </c>
      <c r="S66" s="925" t="s">
        <v>178</v>
      </c>
      <c r="T66" s="925" t="s">
        <v>178</v>
      </c>
      <c r="U66" s="947"/>
      <c r="V66" s="814"/>
    </row>
    <row r="67" spans="1:22" ht="15.75">
      <c r="A67" s="876">
        <v>95</v>
      </c>
      <c r="B67" s="22" t="s">
        <v>903</v>
      </c>
      <c r="C67" s="878">
        <v>44179</v>
      </c>
      <c r="D67" s="913" t="s">
        <v>24</v>
      </c>
      <c r="E67" s="880" t="s">
        <v>904</v>
      </c>
      <c r="F67" s="881" t="s">
        <v>905</v>
      </c>
      <c r="G67" s="881" t="s">
        <v>852</v>
      </c>
      <c r="H67" s="427">
        <v>6</v>
      </c>
      <c r="I67" s="965" t="s">
        <v>207</v>
      </c>
      <c r="J67" s="931">
        <v>5</v>
      </c>
      <c r="K67" s="966" t="s">
        <v>197</v>
      </c>
      <c r="L67" s="886"/>
      <c r="M67" s="948"/>
      <c r="N67" s="887"/>
      <c r="O67" s="888"/>
      <c r="P67" s="889"/>
      <c r="Q67" s="890"/>
      <c r="R67" s="888"/>
      <c r="S67" s="891"/>
      <c r="T67" s="891"/>
      <c r="U67" s="892"/>
      <c r="V67" s="785"/>
    </row>
    <row r="68" spans="1:22" ht="15.75">
      <c r="A68" s="876">
        <v>95</v>
      </c>
      <c r="B68" s="22" t="s">
        <v>903</v>
      </c>
      <c r="C68" s="878">
        <v>44179</v>
      </c>
      <c r="D68" s="913" t="s">
        <v>24</v>
      </c>
      <c r="E68" s="880" t="s">
        <v>904</v>
      </c>
      <c r="F68" s="898" t="s">
        <v>906</v>
      </c>
      <c r="G68" s="898" t="s">
        <v>868</v>
      </c>
      <c r="H68" s="427">
        <v>9</v>
      </c>
      <c r="I68" s="965" t="s">
        <v>207</v>
      </c>
      <c r="J68" s="931">
        <v>3</v>
      </c>
      <c r="K68" s="966" t="s">
        <v>197</v>
      </c>
      <c r="L68" s="903"/>
      <c r="M68" s="949"/>
      <c r="N68" s="904"/>
      <c r="O68" s="905"/>
      <c r="P68" s="906"/>
      <c r="Q68" s="907"/>
      <c r="R68" s="905"/>
      <c r="S68" s="908"/>
      <c r="T68" s="908"/>
      <c r="U68" s="909"/>
      <c r="V68" s="799"/>
    </row>
    <row r="69" spans="1:22" ht="15.75">
      <c r="A69" s="876">
        <v>95</v>
      </c>
      <c r="B69" s="22" t="s">
        <v>903</v>
      </c>
      <c r="C69" s="878">
        <v>44179</v>
      </c>
      <c r="D69" s="913" t="s">
        <v>24</v>
      </c>
      <c r="E69" s="880" t="s">
        <v>904</v>
      </c>
      <c r="F69" s="898" t="s">
        <v>907</v>
      </c>
      <c r="G69" s="898" t="s">
        <v>868</v>
      </c>
      <c r="H69" s="427">
        <v>6</v>
      </c>
      <c r="I69" s="965" t="s">
        <v>207</v>
      </c>
      <c r="J69" s="931">
        <v>5</v>
      </c>
      <c r="K69" s="966" t="s">
        <v>197</v>
      </c>
      <c r="L69" s="903"/>
      <c r="M69" s="949"/>
      <c r="N69" s="904"/>
      <c r="O69" s="905"/>
      <c r="P69" s="906"/>
      <c r="Q69" s="907"/>
      <c r="R69" s="905"/>
      <c r="S69" s="908"/>
      <c r="T69" s="908"/>
      <c r="U69" s="909"/>
      <c r="V69" s="799"/>
    </row>
    <row r="70" spans="1:22" ht="15.75">
      <c r="A70" s="876">
        <v>95</v>
      </c>
      <c r="B70" s="22" t="s">
        <v>903</v>
      </c>
      <c r="C70" s="878">
        <v>44179</v>
      </c>
      <c r="D70" s="913" t="s">
        <v>24</v>
      </c>
      <c r="E70" s="880" t="s">
        <v>904</v>
      </c>
      <c r="F70" s="898" t="s">
        <v>908</v>
      </c>
      <c r="G70" s="898" t="s">
        <v>868</v>
      </c>
      <c r="H70" s="427">
        <v>9</v>
      </c>
      <c r="I70" s="965" t="s">
        <v>207</v>
      </c>
      <c r="J70" s="931">
        <v>3</v>
      </c>
      <c r="K70" s="966" t="s">
        <v>197</v>
      </c>
      <c r="L70" s="903"/>
      <c r="M70" s="949"/>
      <c r="N70" s="904"/>
      <c r="O70" s="905"/>
      <c r="P70" s="906"/>
      <c r="Q70" s="907"/>
      <c r="R70" s="905"/>
      <c r="S70" s="908"/>
      <c r="T70" s="908"/>
      <c r="U70" s="909"/>
      <c r="V70" s="799"/>
    </row>
    <row r="71" spans="1:22" ht="15.75">
      <c r="A71" s="876">
        <v>95</v>
      </c>
      <c r="B71" s="22" t="s">
        <v>903</v>
      </c>
      <c r="C71" s="878">
        <v>44179</v>
      </c>
      <c r="D71" s="913" t="s">
        <v>24</v>
      </c>
      <c r="E71" s="880" t="s">
        <v>904</v>
      </c>
      <c r="F71" s="898" t="s">
        <v>909</v>
      </c>
      <c r="G71" s="898" t="s">
        <v>920</v>
      </c>
      <c r="H71" s="427">
        <v>1</v>
      </c>
      <c r="I71" s="965" t="s">
        <v>207</v>
      </c>
      <c r="J71" s="516">
        <v>7</v>
      </c>
      <c r="K71" s="966" t="s">
        <v>197</v>
      </c>
      <c r="L71" s="903"/>
      <c r="M71" s="949"/>
      <c r="N71" s="904"/>
      <c r="O71" s="905"/>
      <c r="P71" s="906"/>
      <c r="Q71" s="907"/>
      <c r="R71" s="905"/>
      <c r="S71" s="908"/>
      <c r="T71" s="908"/>
      <c r="U71" s="909"/>
      <c r="V71" s="799"/>
    </row>
    <row r="72" spans="1:22" ht="15.75">
      <c r="A72" s="876">
        <v>95</v>
      </c>
      <c r="B72" s="22" t="s">
        <v>903</v>
      </c>
      <c r="C72" s="878">
        <v>44179</v>
      </c>
      <c r="D72" s="913" t="s">
        <v>24</v>
      </c>
      <c r="E72" s="880" t="s">
        <v>904</v>
      </c>
      <c r="F72" s="898" t="s">
        <v>910</v>
      </c>
      <c r="G72" s="898" t="s">
        <v>179</v>
      </c>
      <c r="H72" s="427">
        <v>2</v>
      </c>
      <c r="I72" s="965" t="s">
        <v>207</v>
      </c>
      <c r="J72" s="516">
        <v>6</v>
      </c>
      <c r="K72" s="966" t="s">
        <v>197</v>
      </c>
      <c r="L72" s="903"/>
      <c r="M72" s="949"/>
      <c r="N72" s="904"/>
      <c r="O72" s="905"/>
      <c r="P72" s="906"/>
      <c r="Q72" s="907"/>
      <c r="R72" s="905"/>
      <c r="S72" s="908"/>
      <c r="T72" s="908"/>
      <c r="U72" s="909"/>
      <c r="V72" s="799"/>
    </row>
    <row r="73" spans="1:22" ht="15.75">
      <c r="A73" s="876">
        <v>95</v>
      </c>
      <c r="B73" s="22" t="s">
        <v>903</v>
      </c>
      <c r="C73" s="878">
        <v>44179</v>
      </c>
      <c r="D73" s="913" t="s">
        <v>24</v>
      </c>
      <c r="E73" s="880" t="s">
        <v>904</v>
      </c>
      <c r="F73" s="898" t="s">
        <v>911</v>
      </c>
      <c r="G73" s="898" t="s">
        <v>179</v>
      </c>
      <c r="H73" s="427">
        <v>5</v>
      </c>
      <c r="I73" s="965" t="s">
        <v>207</v>
      </c>
      <c r="J73" s="516">
        <v>2</v>
      </c>
      <c r="K73" s="966" t="s">
        <v>197</v>
      </c>
      <c r="L73" s="903"/>
      <c r="M73" s="949"/>
      <c r="N73" s="904"/>
      <c r="O73" s="905"/>
      <c r="P73" s="906"/>
      <c r="Q73" s="907"/>
      <c r="R73" s="905"/>
      <c r="S73" s="908"/>
      <c r="T73" s="908"/>
      <c r="U73" s="909"/>
      <c r="V73" s="799"/>
    </row>
    <row r="74" spans="1:22" ht="15.75">
      <c r="A74" s="876">
        <v>95</v>
      </c>
      <c r="B74" s="22" t="s">
        <v>903</v>
      </c>
      <c r="C74" s="878">
        <v>44179</v>
      </c>
      <c r="D74" s="913" t="s">
        <v>24</v>
      </c>
      <c r="E74" s="880" t="s">
        <v>904</v>
      </c>
      <c r="F74" s="898" t="s">
        <v>912</v>
      </c>
      <c r="G74" s="898" t="s">
        <v>179</v>
      </c>
      <c r="H74" s="427">
        <v>5</v>
      </c>
      <c r="I74" s="965" t="s">
        <v>207</v>
      </c>
      <c r="J74" s="516">
        <v>3</v>
      </c>
      <c r="K74" s="966" t="s">
        <v>197</v>
      </c>
      <c r="L74" s="903"/>
      <c r="M74" s="949"/>
      <c r="N74" s="904"/>
      <c r="O74" s="905"/>
      <c r="P74" s="906"/>
      <c r="Q74" s="907"/>
      <c r="R74" s="905"/>
      <c r="S74" s="908"/>
      <c r="T74" s="908"/>
      <c r="U74" s="909"/>
      <c r="V74" s="799"/>
    </row>
    <row r="75" spans="1:22" ht="15.75">
      <c r="A75" s="876">
        <v>95</v>
      </c>
      <c r="B75" s="22" t="s">
        <v>903</v>
      </c>
      <c r="C75" s="878">
        <v>44179</v>
      </c>
      <c r="D75" s="913" t="s">
        <v>24</v>
      </c>
      <c r="E75" s="880" t="s">
        <v>904</v>
      </c>
      <c r="F75" s="898" t="s">
        <v>913</v>
      </c>
      <c r="G75" s="898" t="s">
        <v>179</v>
      </c>
      <c r="H75" s="427">
        <v>5</v>
      </c>
      <c r="I75" s="965" t="s">
        <v>207</v>
      </c>
      <c r="J75" s="516">
        <v>2</v>
      </c>
      <c r="K75" s="966" t="s">
        <v>197</v>
      </c>
      <c r="L75" s="903"/>
      <c r="M75" s="949"/>
      <c r="N75" s="904"/>
      <c r="O75" s="905"/>
      <c r="P75" s="906"/>
      <c r="Q75" s="907"/>
      <c r="R75" s="905"/>
      <c r="S75" s="908"/>
      <c r="T75" s="908"/>
      <c r="U75" s="909"/>
      <c r="V75" s="799"/>
    </row>
    <row r="76" spans="1:22" ht="15.75">
      <c r="A76" s="876">
        <v>95</v>
      </c>
      <c r="B76" s="22" t="s">
        <v>903</v>
      </c>
      <c r="C76" s="878">
        <v>44179</v>
      </c>
      <c r="D76" s="913" t="s">
        <v>24</v>
      </c>
      <c r="E76" s="880" t="s">
        <v>904</v>
      </c>
      <c r="F76" s="898" t="s">
        <v>914</v>
      </c>
      <c r="G76" s="898" t="s">
        <v>179</v>
      </c>
      <c r="H76" s="427">
        <v>5</v>
      </c>
      <c r="I76" s="965" t="s">
        <v>207</v>
      </c>
      <c r="J76" s="516">
        <v>2</v>
      </c>
      <c r="K76" s="966" t="s">
        <v>197</v>
      </c>
      <c r="L76" s="903"/>
      <c r="M76" s="949"/>
      <c r="N76" s="904"/>
      <c r="O76" s="905"/>
      <c r="P76" s="906"/>
      <c r="Q76" s="907"/>
      <c r="R76" s="905"/>
      <c r="S76" s="908"/>
      <c r="T76" s="908"/>
      <c r="U76" s="909"/>
      <c r="V76" s="799"/>
    </row>
    <row r="77" spans="1:22" ht="15.75">
      <c r="A77" s="876">
        <v>95</v>
      </c>
      <c r="B77" s="22" t="s">
        <v>903</v>
      </c>
      <c r="C77" s="878">
        <v>44179</v>
      </c>
      <c r="D77" s="913" t="s">
        <v>24</v>
      </c>
      <c r="E77" s="880" t="s">
        <v>904</v>
      </c>
      <c r="F77" s="898" t="s">
        <v>915</v>
      </c>
      <c r="G77" s="898" t="s">
        <v>179</v>
      </c>
      <c r="H77" s="427">
        <v>1</v>
      </c>
      <c r="I77" s="965" t="s">
        <v>207</v>
      </c>
      <c r="J77" s="516">
        <v>5</v>
      </c>
      <c r="K77" s="966" t="s">
        <v>197</v>
      </c>
      <c r="L77" s="903"/>
      <c r="M77" s="949"/>
      <c r="N77" s="904"/>
      <c r="O77" s="905"/>
      <c r="P77" s="906"/>
      <c r="Q77" s="907"/>
      <c r="R77" s="905"/>
      <c r="S77" s="908"/>
      <c r="T77" s="908"/>
      <c r="U77" s="909"/>
      <c r="V77" s="799"/>
    </row>
    <row r="78" spans="1:22" ht="15.75">
      <c r="A78" s="981">
        <v>95</v>
      </c>
      <c r="B78" s="982" t="s">
        <v>903</v>
      </c>
      <c r="C78" s="983">
        <v>44179</v>
      </c>
      <c r="D78" s="984" t="s">
        <v>24</v>
      </c>
      <c r="E78" s="985" t="s">
        <v>904</v>
      </c>
      <c r="F78" s="986" t="s">
        <v>916</v>
      </c>
      <c r="G78" s="986" t="s">
        <v>921</v>
      </c>
      <c r="H78" s="979">
        <v>1</v>
      </c>
      <c r="I78" s="987" t="s">
        <v>207</v>
      </c>
      <c r="J78" s="980">
        <v>5</v>
      </c>
      <c r="K78" s="988" t="s">
        <v>197</v>
      </c>
      <c r="L78" s="903"/>
      <c r="M78" s="949"/>
      <c r="N78" s="904"/>
      <c r="O78" s="905"/>
      <c r="P78" s="906"/>
      <c r="Q78" s="907"/>
      <c r="R78" s="905"/>
      <c r="S78" s="908"/>
      <c r="T78" s="908"/>
      <c r="U78" s="909"/>
      <c r="V78" s="799"/>
    </row>
    <row r="79" spans="1:22" ht="15.75">
      <c r="A79" s="876">
        <v>95</v>
      </c>
      <c r="B79" s="22" t="s">
        <v>903</v>
      </c>
      <c r="C79" s="878">
        <v>44179</v>
      </c>
      <c r="D79" s="913" t="s">
        <v>24</v>
      </c>
      <c r="E79" s="880" t="s">
        <v>904</v>
      </c>
      <c r="F79" s="898" t="s">
        <v>917</v>
      </c>
      <c r="G79" s="898" t="s">
        <v>179</v>
      </c>
      <c r="H79" s="427">
        <v>1</v>
      </c>
      <c r="I79" s="965" t="s">
        <v>207</v>
      </c>
      <c r="J79" s="516">
        <v>5</v>
      </c>
      <c r="K79" s="966" t="s">
        <v>197</v>
      </c>
      <c r="L79" s="903"/>
      <c r="M79" s="949"/>
      <c r="N79" s="904"/>
      <c r="O79" s="905"/>
      <c r="P79" s="906"/>
      <c r="Q79" s="907"/>
      <c r="R79" s="905"/>
      <c r="S79" s="908"/>
      <c r="T79" s="908"/>
      <c r="U79" s="909"/>
      <c r="V79" s="799"/>
    </row>
    <row r="80" spans="1:22" ht="15.75">
      <c r="A80" s="876">
        <v>95</v>
      </c>
      <c r="B80" s="22" t="s">
        <v>903</v>
      </c>
      <c r="C80" s="878">
        <v>44179</v>
      </c>
      <c r="D80" s="913" t="s">
        <v>24</v>
      </c>
      <c r="E80" s="880" t="s">
        <v>904</v>
      </c>
      <c r="F80" s="898" t="s">
        <v>918</v>
      </c>
      <c r="G80" s="898" t="s">
        <v>179</v>
      </c>
      <c r="H80" s="427">
        <v>1</v>
      </c>
      <c r="I80" s="965" t="s">
        <v>207</v>
      </c>
      <c r="J80" s="516">
        <v>5</v>
      </c>
      <c r="K80" s="966" t="s">
        <v>197</v>
      </c>
      <c r="L80" s="903"/>
      <c r="M80" s="949"/>
      <c r="N80" s="904"/>
      <c r="O80" s="905"/>
      <c r="P80" s="906"/>
      <c r="Q80" s="907"/>
      <c r="R80" s="905"/>
      <c r="S80" s="908"/>
      <c r="T80" s="908"/>
      <c r="U80" s="909"/>
      <c r="V80" s="799"/>
    </row>
    <row r="81" spans="1:22" ht="15.75">
      <c r="A81" s="876">
        <v>95</v>
      </c>
      <c r="B81" s="22" t="s">
        <v>903</v>
      </c>
      <c r="C81" s="878">
        <v>44179</v>
      </c>
      <c r="D81" s="913" t="s">
        <v>24</v>
      </c>
      <c r="E81" s="880" t="s">
        <v>904</v>
      </c>
      <c r="F81" s="898" t="s">
        <v>919</v>
      </c>
      <c r="G81" s="898" t="s">
        <v>351</v>
      </c>
      <c r="H81" s="427">
        <v>1</v>
      </c>
      <c r="I81" s="965" t="s">
        <v>207</v>
      </c>
      <c r="J81" s="516">
        <v>9</v>
      </c>
      <c r="K81" s="966" t="s">
        <v>197</v>
      </c>
      <c r="L81" s="903"/>
      <c r="M81" s="949"/>
      <c r="N81" s="904"/>
      <c r="O81" s="905"/>
      <c r="P81" s="906"/>
      <c r="Q81" s="907"/>
      <c r="R81" s="905"/>
      <c r="S81" s="908"/>
      <c r="T81" s="908"/>
      <c r="U81" s="909"/>
      <c r="V81" s="799"/>
    </row>
    <row r="82" spans="1:22" ht="15.75">
      <c r="A82" s="893"/>
      <c r="B82" s="894"/>
      <c r="C82" s="895"/>
      <c r="D82" s="896"/>
      <c r="E82" s="897"/>
      <c r="F82" s="898"/>
      <c r="G82" s="898"/>
      <c r="H82" s="899"/>
      <c r="I82" s="900"/>
      <c r="J82" s="901"/>
      <c r="K82" s="902"/>
      <c r="L82" s="903"/>
      <c r="M82" s="949"/>
      <c r="N82" s="904"/>
      <c r="O82" s="905"/>
      <c r="P82" s="906"/>
      <c r="Q82" s="907"/>
      <c r="R82" s="905"/>
      <c r="S82" s="908"/>
      <c r="T82" s="908"/>
      <c r="U82" s="909"/>
      <c r="V82" s="799"/>
    </row>
    <row r="83" spans="1:22" ht="15.75">
      <c r="A83" s="893"/>
      <c r="B83" s="894"/>
      <c r="C83" s="895"/>
      <c r="D83" s="896"/>
      <c r="E83" s="897"/>
      <c r="F83" s="898"/>
      <c r="G83" s="898"/>
      <c r="H83" s="899"/>
      <c r="I83" s="900"/>
      <c r="J83" s="901"/>
      <c r="K83" s="902"/>
      <c r="L83" s="903"/>
      <c r="M83" s="949"/>
      <c r="N83" s="904"/>
      <c r="O83" s="905"/>
      <c r="P83" s="906"/>
      <c r="Q83" s="907"/>
      <c r="R83" s="905"/>
      <c r="S83" s="908"/>
      <c r="T83" s="908"/>
      <c r="U83" s="909"/>
      <c r="V83" s="799"/>
    </row>
    <row r="84" spans="1:22" ht="15.75">
      <c r="A84" s="893"/>
      <c r="B84" s="894"/>
      <c r="C84" s="895"/>
      <c r="D84" s="896"/>
      <c r="E84" s="897"/>
      <c r="F84" s="898"/>
      <c r="G84" s="898"/>
      <c r="H84" s="899"/>
      <c r="I84" s="900"/>
      <c r="J84" s="901"/>
      <c r="K84" s="902"/>
      <c r="L84" s="903"/>
      <c r="M84" s="949"/>
      <c r="N84" s="904"/>
      <c r="O84" s="905"/>
      <c r="P84" s="906"/>
      <c r="Q84" s="907"/>
      <c r="R84" s="905"/>
      <c r="S84" s="908"/>
      <c r="T84" s="908"/>
      <c r="U84" s="909"/>
      <c r="V84" s="799"/>
    </row>
    <row r="85" spans="1:22" ht="15.75">
      <c r="A85" s="893"/>
      <c r="B85" s="894"/>
      <c r="C85" s="895"/>
      <c r="D85" s="896"/>
      <c r="E85" s="897"/>
      <c r="F85" s="898"/>
      <c r="G85" s="898"/>
      <c r="H85" s="899"/>
      <c r="I85" s="900"/>
      <c r="J85" s="901"/>
      <c r="K85" s="902"/>
      <c r="L85" s="903"/>
      <c r="M85" s="949"/>
      <c r="N85" s="904"/>
      <c r="O85" s="905"/>
      <c r="P85" s="906"/>
      <c r="Q85" s="907"/>
      <c r="R85" s="905"/>
      <c r="S85" s="908"/>
      <c r="T85" s="908"/>
      <c r="U85" s="909"/>
      <c r="V85" s="799"/>
    </row>
    <row r="86" spans="1:22" ht="15.75">
      <c r="A86" s="893"/>
      <c r="B86" s="894"/>
      <c r="C86" s="895"/>
      <c r="D86" s="896"/>
      <c r="E86" s="897"/>
      <c r="F86" s="898"/>
      <c r="G86" s="898"/>
      <c r="H86" s="899"/>
      <c r="I86" s="900"/>
      <c r="J86" s="901"/>
      <c r="K86" s="902"/>
      <c r="L86" s="903"/>
      <c r="M86" s="949"/>
      <c r="N86" s="904"/>
      <c r="O86" s="905"/>
      <c r="P86" s="906"/>
      <c r="Q86" s="907"/>
      <c r="R86" s="905"/>
      <c r="S86" s="908"/>
      <c r="T86" s="908"/>
      <c r="U86" s="909"/>
      <c r="V86" s="799"/>
    </row>
    <row r="87" spans="1:22" ht="15.75">
      <c r="A87" s="910"/>
      <c r="B87" s="911"/>
      <c r="C87" s="912"/>
      <c r="D87" s="913"/>
      <c r="E87" s="914"/>
      <c r="F87" s="915"/>
      <c r="G87" s="915"/>
      <c r="H87" s="916"/>
      <c r="I87" s="917"/>
      <c r="J87" s="918"/>
      <c r="K87" s="919"/>
      <c r="L87" s="920"/>
      <c r="M87" s="950"/>
      <c r="N87" s="921"/>
      <c r="O87" s="922"/>
      <c r="P87" s="923"/>
      <c r="Q87" s="924"/>
      <c r="R87" s="922"/>
      <c r="S87" s="925"/>
      <c r="T87" s="925"/>
      <c r="U87" s="926"/>
      <c r="V87" s="814"/>
    </row>
    <row r="88" spans="1:22" ht="15.75">
      <c r="A88" s="876"/>
      <c r="B88" s="877"/>
      <c r="C88" s="878"/>
      <c r="D88" s="879"/>
      <c r="E88" s="880"/>
      <c r="F88" s="881"/>
      <c r="G88" s="941"/>
      <c r="H88" s="882"/>
      <c r="I88" s="883"/>
      <c r="J88" s="884"/>
      <c r="K88" s="885"/>
      <c r="L88" s="886"/>
      <c r="M88" s="948"/>
      <c r="N88" s="887"/>
      <c r="O88" s="888"/>
      <c r="P88" s="889"/>
      <c r="Q88" s="890"/>
      <c r="R88" s="887"/>
      <c r="S88" s="891"/>
      <c r="T88" s="891"/>
      <c r="U88" s="892"/>
      <c r="V88" s="785"/>
    </row>
    <row r="89" spans="1:22" ht="15.75">
      <c r="A89" s="893"/>
      <c r="B89" s="894"/>
      <c r="C89" s="895"/>
      <c r="D89" s="896"/>
      <c r="E89" s="897"/>
      <c r="F89" s="898"/>
      <c r="G89" s="927"/>
      <c r="H89" s="899"/>
      <c r="I89" s="900"/>
      <c r="J89" s="901"/>
      <c r="K89" s="902"/>
      <c r="L89" s="903"/>
      <c r="M89" s="949"/>
      <c r="N89" s="904"/>
      <c r="O89" s="905"/>
      <c r="P89" s="906"/>
      <c r="Q89" s="907"/>
      <c r="R89" s="904"/>
      <c r="S89" s="908"/>
      <c r="T89" s="908"/>
      <c r="U89" s="909"/>
      <c r="V89" s="799"/>
    </row>
    <row r="90" spans="1:22" ht="15.75">
      <c r="A90" s="893"/>
      <c r="B90" s="894"/>
      <c r="C90" s="895"/>
      <c r="D90" s="896"/>
      <c r="E90" s="897"/>
      <c r="F90" s="898"/>
      <c r="G90" s="927"/>
      <c r="H90" s="899"/>
      <c r="I90" s="900"/>
      <c r="J90" s="901"/>
      <c r="K90" s="902"/>
      <c r="L90" s="903"/>
      <c r="M90" s="949"/>
      <c r="N90" s="904"/>
      <c r="O90" s="905"/>
      <c r="P90" s="906"/>
      <c r="Q90" s="907"/>
      <c r="R90" s="904"/>
      <c r="S90" s="908"/>
      <c r="T90" s="908"/>
      <c r="U90" s="909"/>
      <c r="V90" s="799"/>
    </row>
    <row r="91" spans="1:22" ht="15.75">
      <c r="A91" s="893"/>
      <c r="B91" s="894"/>
      <c r="C91" s="895"/>
      <c r="D91" s="896"/>
      <c r="E91" s="897"/>
      <c r="F91" s="898"/>
      <c r="G91" s="927"/>
      <c r="H91" s="899"/>
      <c r="I91" s="900"/>
      <c r="J91" s="901"/>
      <c r="K91" s="902"/>
      <c r="L91" s="903"/>
      <c r="M91" s="949"/>
      <c r="N91" s="904"/>
      <c r="O91" s="905"/>
      <c r="P91" s="906"/>
      <c r="Q91" s="907"/>
      <c r="R91" s="904"/>
      <c r="S91" s="908"/>
      <c r="T91" s="908"/>
      <c r="U91" s="909"/>
      <c r="V91" s="799"/>
    </row>
    <row r="92" spans="1:22" ht="15.75">
      <c r="A92" s="893"/>
      <c r="B92" s="894"/>
      <c r="C92" s="895"/>
      <c r="D92" s="896"/>
      <c r="E92" s="897"/>
      <c r="F92" s="898"/>
      <c r="G92" s="927"/>
      <c r="H92" s="899"/>
      <c r="I92" s="900"/>
      <c r="J92" s="901"/>
      <c r="K92" s="902"/>
      <c r="L92" s="903"/>
      <c r="M92" s="949"/>
      <c r="N92" s="904"/>
      <c r="O92" s="905"/>
      <c r="P92" s="906"/>
      <c r="Q92" s="907"/>
      <c r="R92" s="904"/>
      <c r="S92" s="908"/>
      <c r="T92" s="908"/>
      <c r="U92" s="909"/>
      <c r="V92" s="799"/>
    </row>
    <row r="93" spans="1:22" ht="15.75">
      <c r="A93" s="910"/>
      <c r="B93" s="911"/>
      <c r="C93" s="912"/>
      <c r="D93" s="913"/>
      <c r="E93" s="914"/>
      <c r="F93" s="915"/>
      <c r="G93" s="942"/>
      <c r="H93" s="916"/>
      <c r="I93" s="917"/>
      <c r="J93" s="918"/>
      <c r="K93" s="919"/>
      <c r="L93" s="920"/>
      <c r="M93" s="950"/>
      <c r="N93" s="921"/>
      <c r="O93" s="922"/>
      <c r="P93" s="923"/>
      <c r="Q93" s="924"/>
      <c r="R93" s="921"/>
      <c r="S93" s="925"/>
      <c r="T93" s="925"/>
      <c r="U93" s="926"/>
      <c r="V93" s="814"/>
    </row>
    <row r="94" spans="1:22" ht="15.75">
      <c r="A94" s="893"/>
      <c r="B94" s="894"/>
      <c r="C94" s="895"/>
      <c r="D94" s="896"/>
      <c r="E94" s="897"/>
      <c r="F94" s="898"/>
      <c r="G94" s="898"/>
      <c r="H94" s="166"/>
      <c r="I94" s="900"/>
      <c r="J94" s="869"/>
      <c r="K94" s="902"/>
      <c r="L94" s="898"/>
      <c r="M94" s="949"/>
      <c r="N94" s="904"/>
      <c r="O94" s="904"/>
      <c r="P94" s="906"/>
      <c r="Q94" s="898"/>
      <c r="R94" s="904"/>
      <c r="S94" s="908"/>
      <c r="T94" s="908"/>
      <c r="U94" s="909"/>
      <c r="V94" s="859"/>
    </row>
    <row r="95" spans="1:22" ht="15.75">
      <c r="A95" s="893"/>
      <c r="B95" s="894"/>
      <c r="C95" s="895"/>
      <c r="D95" s="896"/>
      <c r="E95" s="897"/>
      <c r="F95" s="898"/>
      <c r="G95" s="898"/>
      <c r="H95" s="166"/>
      <c r="I95" s="900"/>
      <c r="J95" s="869"/>
      <c r="K95" s="902"/>
      <c r="L95" s="898"/>
      <c r="M95" s="949"/>
      <c r="N95" s="904"/>
      <c r="O95" s="904"/>
      <c r="P95" s="906"/>
      <c r="Q95" s="898"/>
      <c r="R95" s="904"/>
      <c r="S95" s="908"/>
      <c r="T95" s="908"/>
      <c r="U95" s="909"/>
      <c r="V95" s="859"/>
    </row>
    <row r="96" spans="1:22" ht="15.75">
      <c r="A96" s="893"/>
      <c r="B96" s="894"/>
      <c r="C96" s="895"/>
      <c r="D96" s="896"/>
      <c r="E96" s="897"/>
      <c r="F96" s="898"/>
      <c r="G96" s="898"/>
      <c r="H96" s="166"/>
      <c r="I96" s="900"/>
      <c r="J96" s="869"/>
      <c r="K96" s="902"/>
      <c r="L96" s="898"/>
      <c r="M96" s="949"/>
      <c r="N96" s="904"/>
      <c r="O96" s="904"/>
      <c r="P96" s="906"/>
      <c r="Q96" s="898"/>
      <c r="R96" s="904"/>
      <c r="S96" s="908"/>
      <c r="T96" s="908"/>
      <c r="U96" s="909"/>
      <c r="V96" s="859"/>
    </row>
    <row r="97" spans="1:22" ht="15.75">
      <c r="A97" s="893"/>
      <c r="B97" s="894"/>
      <c r="C97" s="895"/>
      <c r="D97" s="896"/>
      <c r="E97" s="897"/>
      <c r="F97" s="898"/>
      <c r="G97" s="898"/>
      <c r="H97" s="166"/>
      <c r="I97" s="900"/>
      <c r="J97" s="869"/>
      <c r="K97" s="902"/>
      <c r="L97" s="898"/>
      <c r="M97" s="949"/>
      <c r="N97" s="904"/>
      <c r="O97" s="904"/>
      <c r="P97" s="906"/>
      <c r="Q97" s="898"/>
      <c r="R97" s="904"/>
      <c r="S97" s="908"/>
      <c r="T97" s="908"/>
      <c r="U97" s="909"/>
      <c r="V97" s="859"/>
    </row>
    <row r="98" spans="1:22" ht="15.75">
      <c r="A98" s="893"/>
      <c r="B98" s="894"/>
      <c r="C98" s="895"/>
      <c r="D98" s="896"/>
      <c r="E98" s="897"/>
      <c r="F98" s="898"/>
      <c r="G98" s="898"/>
      <c r="H98" s="166"/>
      <c r="I98" s="900"/>
      <c r="J98" s="869"/>
      <c r="K98" s="902"/>
      <c r="L98" s="898"/>
      <c r="M98" s="949"/>
      <c r="N98" s="904"/>
      <c r="O98" s="904"/>
      <c r="P98" s="906"/>
      <c r="Q98" s="898"/>
      <c r="R98" s="904"/>
      <c r="S98" s="908"/>
      <c r="T98" s="908"/>
      <c r="U98" s="909"/>
      <c r="V98" s="859"/>
    </row>
    <row r="99" spans="1:22" ht="15.75">
      <c r="A99" s="893"/>
      <c r="B99" s="894"/>
      <c r="C99" s="895"/>
      <c r="D99" s="896"/>
      <c r="E99" s="897"/>
      <c r="F99" s="898"/>
      <c r="G99" s="898"/>
      <c r="H99" s="166"/>
      <c r="I99" s="900"/>
      <c r="J99" s="869"/>
      <c r="K99" s="902"/>
      <c r="L99" s="898"/>
      <c r="M99" s="949"/>
      <c r="N99" s="904"/>
      <c r="O99" s="904"/>
      <c r="P99" s="906"/>
      <c r="Q99" s="898"/>
      <c r="R99" s="904"/>
      <c r="S99" s="908"/>
      <c r="T99" s="908"/>
      <c r="U99" s="909"/>
      <c r="V99" s="859"/>
    </row>
    <row r="100" spans="1:22" ht="15.75">
      <c r="A100" s="910"/>
      <c r="B100" s="911"/>
      <c r="C100" s="912"/>
      <c r="D100" s="913"/>
      <c r="E100" s="914"/>
      <c r="F100" s="915"/>
      <c r="G100" s="915"/>
      <c r="H100" s="169"/>
      <c r="I100" s="917"/>
      <c r="J100" s="928"/>
      <c r="K100" s="919"/>
      <c r="L100" s="915"/>
      <c r="M100" s="950"/>
      <c r="N100" s="921"/>
      <c r="O100" s="921"/>
      <c r="P100" s="923"/>
      <c r="Q100" s="915"/>
      <c r="R100" s="921"/>
      <c r="S100" s="925"/>
      <c r="T100" s="925"/>
      <c r="U100" s="926"/>
      <c r="V100" s="860"/>
    </row>
    <row r="101" spans="1:22" ht="15.75">
      <c r="A101" s="517"/>
      <c r="B101" s="4"/>
      <c r="C101" s="518"/>
      <c r="D101" s="929"/>
      <c r="E101" s="68"/>
      <c r="F101" s="930"/>
      <c r="G101" s="4"/>
      <c r="H101" s="427"/>
      <c r="I101" s="549"/>
      <c r="J101" s="931"/>
      <c r="K101" s="932"/>
      <c r="L101" s="4"/>
      <c r="M101" s="933"/>
      <c r="N101" s="16"/>
      <c r="O101" s="16"/>
      <c r="P101" s="934"/>
      <c r="Q101" s="4"/>
      <c r="R101" s="935"/>
      <c r="S101" s="936"/>
      <c r="T101" s="936"/>
      <c r="U101" s="937"/>
      <c r="V101" s="521"/>
    </row>
    <row r="102" spans="1:22" ht="15.75">
      <c r="A102" s="338"/>
      <c r="B102" s="19"/>
      <c r="C102" s="351"/>
      <c r="D102" s="879"/>
      <c r="E102" s="63"/>
      <c r="F102" s="19"/>
      <c r="G102" s="938"/>
      <c r="H102" s="164"/>
      <c r="I102" s="883"/>
      <c r="J102" s="838"/>
      <c r="K102" s="885"/>
      <c r="L102" s="19"/>
      <c r="M102" s="951"/>
      <c r="N102" s="864"/>
      <c r="O102" s="864"/>
      <c r="P102" s="719"/>
      <c r="Q102" s="19"/>
      <c r="R102" s="887"/>
      <c r="S102" s="891"/>
      <c r="T102" s="891"/>
      <c r="U102" s="861"/>
      <c r="V102" s="858"/>
    </row>
    <row r="103" spans="1:22" ht="15.75">
      <c r="A103" s="339"/>
      <c r="B103" s="21"/>
      <c r="C103" s="352"/>
      <c r="D103" s="896"/>
      <c r="E103" s="65"/>
      <c r="F103" s="21"/>
      <c r="G103" s="939"/>
      <c r="H103" s="166"/>
      <c r="I103" s="900"/>
      <c r="J103" s="869"/>
      <c r="K103" s="902"/>
      <c r="L103" s="21"/>
      <c r="M103" s="757"/>
      <c r="N103" s="865"/>
      <c r="O103" s="865"/>
      <c r="P103" s="720"/>
      <c r="Q103" s="21"/>
      <c r="R103" s="904"/>
      <c r="S103" s="908"/>
      <c r="T103" s="908"/>
      <c r="U103" s="862"/>
      <c r="V103" s="859"/>
    </row>
    <row r="104" spans="1:22" ht="15.75">
      <c r="A104" s="339"/>
      <c r="B104" s="21"/>
      <c r="C104" s="352"/>
      <c r="D104" s="896"/>
      <c r="E104" s="65"/>
      <c r="F104" s="21"/>
      <c r="G104" s="939"/>
      <c r="H104" s="166"/>
      <c r="I104" s="900"/>
      <c r="J104" s="870"/>
      <c r="K104" s="902"/>
      <c r="L104" s="21"/>
      <c r="M104" s="757"/>
      <c r="N104" s="865"/>
      <c r="O104" s="865"/>
      <c r="P104" s="720"/>
      <c r="Q104" s="21"/>
      <c r="R104" s="904"/>
      <c r="S104" s="908"/>
      <c r="T104" s="908"/>
      <c r="U104" s="862"/>
      <c r="V104" s="859"/>
    </row>
    <row r="105" spans="1:22" ht="15.75">
      <c r="A105" s="340"/>
      <c r="B105" s="22"/>
      <c r="C105" s="353"/>
      <c r="D105" s="913"/>
      <c r="E105" s="67"/>
      <c r="F105" s="22"/>
      <c r="G105" s="940"/>
      <c r="H105" s="169"/>
      <c r="I105" s="917"/>
      <c r="J105" s="875"/>
      <c r="K105" s="919"/>
      <c r="L105" s="22"/>
      <c r="M105" s="952"/>
      <c r="N105" s="866"/>
      <c r="O105" s="866"/>
      <c r="P105" s="721"/>
      <c r="Q105" s="22"/>
      <c r="R105" s="921"/>
      <c r="S105" s="925"/>
      <c r="T105" s="925"/>
      <c r="U105" s="863"/>
      <c r="V105" s="860"/>
    </row>
    <row r="106" spans="1:22">
      <c r="A106" s="339"/>
      <c r="B106" s="21"/>
      <c r="C106" s="352"/>
      <c r="D106" s="21"/>
      <c r="E106" s="865"/>
      <c r="F106" s="21"/>
      <c r="G106" s="21"/>
      <c r="H106" s="871"/>
      <c r="I106" s="177"/>
      <c r="J106" s="320"/>
      <c r="K106" s="21"/>
      <c r="L106" s="21"/>
      <c r="M106" s="856"/>
      <c r="N106" s="865"/>
      <c r="O106" s="865"/>
      <c r="P106" s="720"/>
      <c r="Q106" s="21"/>
      <c r="R106" s="865"/>
      <c r="S106" s="859"/>
      <c r="T106" s="872"/>
      <c r="U106" s="862"/>
      <c r="V106" s="859"/>
    </row>
    <row r="107" spans="1:22">
      <c r="A107" s="339"/>
      <c r="B107" s="21"/>
      <c r="C107" s="352"/>
      <c r="D107" s="21"/>
      <c r="E107" s="865"/>
      <c r="F107" s="21"/>
      <c r="G107" s="21"/>
      <c r="H107" s="871"/>
      <c r="I107" s="177"/>
      <c r="J107" s="320"/>
      <c r="K107" s="21"/>
      <c r="L107" s="21"/>
      <c r="M107" s="856"/>
      <c r="N107" s="865"/>
      <c r="O107" s="865"/>
      <c r="P107" s="720"/>
      <c r="Q107" s="21"/>
      <c r="R107" s="865"/>
      <c r="S107" s="859"/>
      <c r="T107" s="872"/>
      <c r="U107" s="862"/>
      <c r="V107" s="859"/>
    </row>
    <row r="108" spans="1:22">
      <c r="A108" s="339"/>
      <c r="B108" s="21"/>
      <c r="C108" s="352"/>
      <c r="D108" s="21"/>
      <c r="E108" s="865"/>
      <c r="F108" s="21"/>
      <c r="G108" s="21"/>
      <c r="H108" s="871"/>
      <c r="I108" s="177"/>
      <c r="J108" s="320"/>
      <c r="K108" s="21"/>
      <c r="L108" s="21"/>
      <c r="M108" s="856"/>
      <c r="N108" s="865"/>
      <c r="O108" s="865"/>
      <c r="P108" s="720"/>
      <c r="Q108" s="21"/>
      <c r="R108" s="865"/>
      <c r="S108" s="859"/>
      <c r="T108" s="872"/>
      <c r="U108" s="862"/>
      <c r="V108" s="859"/>
    </row>
    <row r="109" spans="1:22">
      <c r="A109" s="339"/>
      <c r="B109" s="21"/>
      <c r="C109" s="352"/>
      <c r="D109" s="21"/>
      <c r="E109" s="865"/>
      <c r="F109" s="21"/>
      <c r="G109" s="21"/>
      <c r="H109" s="871"/>
      <c r="I109" s="177"/>
      <c r="J109" s="320"/>
      <c r="K109" s="21"/>
      <c r="L109" s="21"/>
      <c r="M109" s="856"/>
      <c r="N109" s="865"/>
      <c r="O109" s="865"/>
      <c r="P109" s="720"/>
      <c r="Q109" s="21"/>
      <c r="R109" s="865"/>
      <c r="S109" s="859"/>
      <c r="T109" s="872"/>
      <c r="U109" s="862"/>
      <c r="V109" s="859"/>
    </row>
    <row r="110" spans="1:22">
      <c r="A110" s="339"/>
      <c r="B110" s="21"/>
      <c r="C110" s="352"/>
      <c r="D110" s="21"/>
      <c r="E110" s="865"/>
      <c r="F110" s="21"/>
      <c r="G110" s="21"/>
      <c r="H110" s="871"/>
      <c r="I110" s="177"/>
      <c r="J110" s="320"/>
      <c r="K110" s="21"/>
      <c r="L110" s="21"/>
      <c r="M110" s="856"/>
      <c r="N110" s="865"/>
      <c r="O110" s="865"/>
      <c r="P110" s="720"/>
      <c r="Q110" s="21"/>
      <c r="R110" s="865"/>
      <c r="S110" s="859"/>
      <c r="T110" s="872"/>
      <c r="U110" s="862"/>
      <c r="V110" s="859"/>
    </row>
    <row r="111" spans="1:22">
      <c r="A111" s="339"/>
      <c r="B111" s="21"/>
      <c r="C111" s="352"/>
      <c r="D111" s="21"/>
      <c r="E111" s="865"/>
      <c r="F111" s="21"/>
      <c r="G111" s="21"/>
      <c r="H111" s="871"/>
      <c r="I111" s="177"/>
      <c r="J111" s="320"/>
      <c r="K111" s="21"/>
      <c r="L111" s="21"/>
      <c r="M111" s="856"/>
      <c r="N111" s="865"/>
      <c r="O111" s="865"/>
      <c r="P111" s="720"/>
      <c r="Q111" s="21"/>
      <c r="R111" s="865"/>
      <c r="S111" s="859"/>
      <c r="T111" s="872"/>
      <c r="U111" s="862"/>
      <c r="V111" s="859"/>
    </row>
    <row r="112" spans="1:22">
      <c r="A112" s="339"/>
      <c r="B112" s="21"/>
      <c r="C112" s="352"/>
      <c r="D112" s="21"/>
      <c r="E112" s="865"/>
      <c r="F112" s="21"/>
      <c r="G112" s="21"/>
      <c r="H112" s="871"/>
      <c r="I112" s="177"/>
      <c r="J112" s="320"/>
      <c r="K112" s="21"/>
      <c r="L112" s="21"/>
      <c r="M112" s="856"/>
      <c r="N112" s="865"/>
      <c r="O112" s="865"/>
      <c r="P112" s="720"/>
      <c r="Q112" s="21"/>
      <c r="R112" s="865"/>
      <c r="S112" s="859"/>
      <c r="T112" s="872"/>
      <c r="U112" s="862"/>
      <c r="V112" s="859"/>
    </row>
    <row r="113" spans="1:22">
      <c r="A113" s="339"/>
      <c r="B113" s="21"/>
      <c r="C113" s="352"/>
      <c r="D113" s="21"/>
      <c r="E113" s="865"/>
      <c r="F113" s="21"/>
      <c r="G113" s="21"/>
      <c r="H113" s="871"/>
      <c r="I113" s="177"/>
      <c r="J113" s="320"/>
      <c r="K113" s="21"/>
      <c r="L113" s="21"/>
      <c r="M113" s="856"/>
      <c r="N113" s="865"/>
      <c r="O113" s="865"/>
      <c r="P113" s="720"/>
      <c r="Q113" s="21"/>
      <c r="R113" s="865"/>
      <c r="S113" s="859"/>
      <c r="T113" s="872"/>
      <c r="U113" s="862"/>
      <c r="V113" s="859"/>
    </row>
    <row r="114" spans="1:22">
      <c r="A114" s="339"/>
      <c r="B114" s="21"/>
      <c r="C114" s="352"/>
      <c r="D114" s="21"/>
      <c r="E114" s="865"/>
      <c r="F114" s="21"/>
      <c r="G114" s="21"/>
      <c r="H114" s="871"/>
      <c r="I114" s="177"/>
      <c r="J114" s="320"/>
      <c r="K114" s="21"/>
      <c r="L114" s="21"/>
      <c r="M114" s="856"/>
      <c r="N114" s="865"/>
      <c r="O114" s="865"/>
      <c r="P114" s="720"/>
      <c r="Q114" s="21"/>
      <c r="R114" s="865"/>
      <c r="S114" s="859"/>
      <c r="T114" s="872"/>
      <c r="U114" s="862"/>
      <c r="V114" s="859"/>
    </row>
    <row r="115" spans="1:22">
      <c r="A115" s="339"/>
      <c r="B115" s="21"/>
      <c r="C115" s="352"/>
      <c r="D115" s="21"/>
      <c r="E115" s="865"/>
      <c r="F115" s="21"/>
      <c r="G115" s="21"/>
      <c r="H115" s="871"/>
      <c r="I115" s="177"/>
      <c r="J115" s="320"/>
      <c r="K115" s="21"/>
      <c r="L115" s="21"/>
      <c r="M115" s="856"/>
      <c r="N115" s="865"/>
      <c r="O115" s="865"/>
      <c r="P115" s="720"/>
      <c r="Q115" s="21"/>
      <c r="R115" s="865"/>
      <c r="S115" s="859"/>
      <c r="T115" s="872"/>
      <c r="U115" s="862"/>
      <c r="V115" s="859"/>
    </row>
    <row r="116" spans="1:22">
      <c r="A116" s="339"/>
      <c r="B116" s="21"/>
      <c r="C116" s="352"/>
      <c r="D116" s="21"/>
      <c r="E116" s="865"/>
      <c r="F116" s="21"/>
      <c r="G116" s="21"/>
      <c r="H116" s="871"/>
      <c r="I116" s="177"/>
      <c r="J116" s="320"/>
      <c r="K116" s="21"/>
      <c r="L116" s="21"/>
      <c r="M116" s="856"/>
      <c r="N116" s="865"/>
      <c r="O116" s="865"/>
      <c r="P116" s="720"/>
      <c r="Q116" s="21"/>
      <c r="R116" s="865"/>
      <c r="S116" s="859"/>
      <c r="T116" s="872"/>
      <c r="U116" s="862"/>
      <c r="V116" s="859"/>
    </row>
    <row r="117" spans="1:22">
      <c r="A117" s="339"/>
      <c r="B117" s="21"/>
      <c r="C117" s="352"/>
      <c r="D117" s="21"/>
      <c r="E117" s="865"/>
      <c r="F117" s="21"/>
      <c r="G117" s="21"/>
      <c r="H117" s="871"/>
      <c r="I117" s="177"/>
      <c r="J117" s="320"/>
      <c r="K117" s="21"/>
      <c r="L117" s="21"/>
      <c r="M117" s="856"/>
      <c r="N117" s="865"/>
      <c r="O117" s="865"/>
      <c r="P117" s="720"/>
      <c r="Q117" s="21"/>
      <c r="R117" s="865"/>
      <c r="S117" s="859"/>
      <c r="T117" s="872"/>
      <c r="U117" s="862"/>
      <c r="V117" s="859"/>
    </row>
    <row r="118" spans="1:22">
      <c r="A118" s="339"/>
      <c r="B118" s="21"/>
      <c r="C118" s="352"/>
      <c r="D118" s="21"/>
      <c r="E118" s="865"/>
      <c r="F118" s="21"/>
      <c r="G118" s="21"/>
      <c r="H118" s="871"/>
      <c r="I118" s="177"/>
      <c r="J118" s="320"/>
      <c r="K118" s="21"/>
      <c r="L118" s="21"/>
      <c r="M118" s="856"/>
      <c r="N118" s="865"/>
      <c r="O118" s="865"/>
      <c r="P118" s="720"/>
      <c r="Q118" s="21"/>
      <c r="R118" s="865"/>
      <c r="S118" s="859"/>
      <c r="T118" s="872"/>
      <c r="U118" s="862"/>
      <c r="V118" s="859"/>
    </row>
    <row r="119" spans="1:22">
      <c r="A119" s="339"/>
      <c r="B119" s="21"/>
      <c r="C119" s="352"/>
      <c r="D119" s="21"/>
      <c r="E119" s="865"/>
      <c r="F119" s="21"/>
      <c r="G119" s="21"/>
      <c r="H119" s="871"/>
      <c r="I119" s="177"/>
      <c r="J119" s="320"/>
      <c r="K119" s="21"/>
      <c r="L119" s="21"/>
      <c r="M119" s="856"/>
      <c r="N119" s="865"/>
      <c r="O119" s="865"/>
      <c r="P119" s="720"/>
      <c r="Q119" s="21"/>
      <c r="R119" s="865"/>
      <c r="S119" s="859"/>
      <c r="T119" s="872"/>
      <c r="U119" s="862"/>
      <c r="V119" s="859"/>
    </row>
    <row r="120" spans="1:22">
      <c r="A120" s="339"/>
      <c r="B120" s="21"/>
      <c r="C120" s="352"/>
      <c r="D120" s="21"/>
      <c r="E120" s="865"/>
      <c r="F120" s="21"/>
      <c r="G120" s="21"/>
      <c r="H120" s="871"/>
      <c r="I120" s="177"/>
      <c r="J120" s="320"/>
      <c r="K120" s="21"/>
      <c r="L120" s="21"/>
      <c r="M120" s="856"/>
      <c r="N120" s="865"/>
      <c r="O120" s="865"/>
      <c r="P120" s="720"/>
      <c r="Q120" s="21"/>
      <c r="R120" s="865"/>
      <c r="S120" s="859"/>
      <c r="T120" s="872"/>
      <c r="U120" s="862"/>
      <c r="V120" s="859"/>
    </row>
    <row r="121" spans="1:22">
      <c r="A121" s="339"/>
      <c r="B121" s="21"/>
      <c r="C121" s="352"/>
      <c r="D121" s="21"/>
      <c r="E121" s="865"/>
      <c r="F121" s="21"/>
      <c r="G121" s="21"/>
      <c r="H121" s="871"/>
      <c r="I121" s="177"/>
      <c r="J121" s="320"/>
      <c r="K121" s="21"/>
      <c r="L121" s="21"/>
      <c r="M121" s="856"/>
      <c r="N121" s="865"/>
      <c r="O121" s="865"/>
      <c r="P121" s="720"/>
      <c r="Q121" s="21"/>
      <c r="R121" s="865"/>
      <c r="S121" s="859"/>
      <c r="T121" s="872"/>
      <c r="U121" s="862"/>
      <c r="V121" s="859"/>
    </row>
    <row r="122" spans="1:22">
      <c r="A122" s="339"/>
      <c r="B122" s="21"/>
      <c r="C122" s="352"/>
      <c r="D122" s="21"/>
      <c r="E122" s="865"/>
      <c r="F122" s="21"/>
      <c r="G122" s="21"/>
      <c r="H122" s="871"/>
      <c r="I122" s="177"/>
      <c r="J122" s="320"/>
      <c r="K122" s="21"/>
      <c r="L122" s="21"/>
      <c r="M122" s="856"/>
      <c r="N122" s="865"/>
      <c r="O122" s="865"/>
      <c r="P122" s="720"/>
      <c r="Q122" s="21"/>
      <c r="R122" s="865"/>
      <c r="S122" s="859"/>
      <c r="T122" s="872"/>
      <c r="U122" s="862"/>
      <c r="V122" s="859"/>
    </row>
    <row r="123" spans="1:22">
      <c r="A123" s="339"/>
      <c r="B123" s="21"/>
      <c r="C123" s="352"/>
      <c r="D123" s="21"/>
      <c r="E123" s="865"/>
      <c r="F123" s="21"/>
      <c r="G123" s="21"/>
      <c r="H123" s="871"/>
      <c r="I123" s="177"/>
      <c r="J123" s="320"/>
      <c r="K123" s="21"/>
      <c r="L123" s="21"/>
      <c r="M123" s="856"/>
      <c r="N123" s="865"/>
      <c r="O123" s="865"/>
      <c r="P123" s="720"/>
      <c r="Q123" s="21"/>
      <c r="R123" s="865"/>
      <c r="S123" s="859"/>
      <c r="T123" s="872"/>
      <c r="U123" s="862"/>
      <c r="V123" s="859"/>
    </row>
    <row r="124" spans="1:22">
      <c r="A124" s="339"/>
      <c r="B124" s="21"/>
      <c r="C124" s="352"/>
      <c r="D124" s="21"/>
      <c r="E124" s="865"/>
      <c r="F124" s="21"/>
      <c r="G124" s="21"/>
      <c r="H124" s="871"/>
      <c r="I124" s="177"/>
      <c r="J124" s="320"/>
      <c r="K124" s="21"/>
      <c r="L124" s="21"/>
      <c r="M124" s="856"/>
      <c r="N124" s="865"/>
      <c r="O124" s="865"/>
      <c r="P124" s="720"/>
      <c r="Q124" s="21"/>
      <c r="R124" s="865"/>
      <c r="S124" s="859"/>
      <c r="T124" s="872"/>
      <c r="U124" s="862"/>
      <c r="V124" s="859"/>
    </row>
    <row r="125" spans="1:22">
      <c r="A125" s="339"/>
      <c r="B125" s="21"/>
      <c r="C125" s="352"/>
      <c r="D125" s="21"/>
      <c r="E125" s="865"/>
      <c r="F125" s="21"/>
      <c r="G125" s="21"/>
      <c r="H125" s="871"/>
      <c r="I125" s="177"/>
      <c r="J125" s="320"/>
      <c r="K125" s="21"/>
      <c r="L125" s="21"/>
      <c r="M125" s="855"/>
      <c r="N125" s="865"/>
      <c r="O125" s="865"/>
      <c r="P125" s="720"/>
      <c r="Q125" s="21"/>
      <c r="R125" s="865"/>
      <c r="S125" s="859"/>
      <c r="T125" s="872"/>
      <c r="U125" s="862"/>
      <c r="V125" s="859"/>
    </row>
    <row r="126" spans="1:22">
      <c r="A126" s="339"/>
      <c r="B126" s="21"/>
      <c r="C126" s="352"/>
      <c r="D126" s="21"/>
      <c r="E126" s="865"/>
      <c r="F126" s="21"/>
      <c r="G126" s="21"/>
      <c r="H126" s="871"/>
      <c r="I126" s="177"/>
      <c r="J126" s="320"/>
      <c r="K126" s="21"/>
      <c r="L126" s="21"/>
      <c r="M126" s="855"/>
      <c r="N126" s="865"/>
      <c r="O126" s="865"/>
      <c r="P126" s="720"/>
      <c r="Q126" s="21"/>
      <c r="R126" s="865"/>
      <c r="S126" s="859"/>
      <c r="T126" s="872"/>
      <c r="U126" s="862"/>
      <c r="V126" s="859"/>
    </row>
    <row r="127" spans="1:22">
      <c r="A127" s="339"/>
      <c r="B127" s="21"/>
      <c r="C127" s="352"/>
      <c r="D127" s="21"/>
      <c r="E127" s="865"/>
      <c r="F127" s="21"/>
      <c r="G127" s="21"/>
      <c r="H127" s="871"/>
      <c r="I127" s="177"/>
      <c r="J127" s="320"/>
      <c r="K127" s="21"/>
      <c r="L127" s="21"/>
      <c r="M127" s="855"/>
      <c r="N127" s="865"/>
      <c r="O127" s="865"/>
      <c r="P127" s="720"/>
      <c r="Q127" s="21"/>
      <c r="R127" s="865"/>
      <c r="S127" s="859"/>
      <c r="T127" s="872"/>
      <c r="U127" s="862"/>
      <c r="V127" s="859"/>
    </row>
    <row r="128" spans="1:22">
      <c r="A128" s="339"/>
      <c r="B128" s="21"/>
      <c r="C128" s="352"/>
      <c r="D128" s="21"/>
      <c r="E128" s="865"/>
      <c r="F128" s="21"/>
      <c r="G128" s="21"/>
      <c r="H128" s="871"/>
      <c r="I128" s="177"/>
      <c r="J128" s="320"/>
      <c r="K128" s="21"/>
      <c r="L128" s="21"/>
      <c r="M128" s="855"/>
      <c r="N128" s="865"/>
      <c r="O128" s="865"/>
      <c r="P128" s="720"/>
      <c r="Q128" s="21"/>
      <c r="R128" s="865"/>
      <c r="S128" s="859"/>
      <c r="T128" s="872"/>
      <c r="U128" s="862"/>
      <c r="V128" s="859"/>
    </row>
    <row r="129" spans="1:22">
      <c r="A129" s="339"/>
      <c r="B129" s="21"/>
      <c r="C129" s="352"/>
      <c r="D129" s="21"/>
      <c r="E129" s="865"/>
      <c r="F129" s="21"/>
      <c r="G129" s="21"/>
      <c r="H129" s="871"/>
      <c r="I129" s="177"/>
      <c r="J129" s="320"/>
      <c r="K129" s="21"/>
      <c r="L129" s="21"/>
      <c r="M129" s="855"/>
      <c r="N129" s="865"/>
      <c r="O129" s="865"/>
      <c r="P129" s="720"/>
      <c r="Q129" s="21"/>
      <c r="R129" s="865"/>
      <c r="S129" s="859"/>
      <c r="T129" s="872"/>
      <c r="U129" s="862"/>
      <c r="V129" s="859"/>
    </row>
    <row r="130" spans="1:22">
      <c r="A130" s="339"/>
      <c r="B130" s="21"/>
      <c r="C130" s="352"/>
      <c r="D130" s="21"/>
      <c r="E130" s="865"/>
      <c r="F130" s="21"/>
      <c r="G130" s="21"/>
      <c r="H130" s="871"/>
      <c r="I130" s="177"/>
      <c r="J130" s="320"/>
      <c r="K130" s="21"/>
      <c r="L130" s="21"/>
      <c r="M130" s="855"/>
      <c r="N130" s="865"/>
      <c r="O130" s="865"/>
      <c r="P130" s="720"/>
      <c r="Q130" s="21"/>
      <c r="R130" s="865"/>
      <c r="S130" s="859"/>
      <c r="T130" s="872"/>
      <c r="U130" s="862"/>
      <c r="V130" s="859"/>
    </row>
    <row r="131" spans="1:22">
      <c r="A131" s="339"/>
      <c r="B131" s="21"/>
      <c r="C131" s="352"/>
      <c r="D131" s="21"/>
      <c r="E131" s="865"/>
      <c r="F131" s="21"/>
      <c r="G131" s="21"/>
      <c r="H131" s="871"/>
      <c r="I131" s="177"/>
      <c r="J131" s="320"/>
      <c r="K131" s="21"/>
      <c r="L131" s="21"/>
      <c r="M131" s="855"/>
      <c r="N131" s="865"/>
      <c r="O131" s="865"/>
      <c r="P131" s="720"/>
      <c r="Q131" s="21"/>
      <c r="R131" s="865"/>
      <c r="S131" s="859"/>
      <c r="T131" s="872"/>
      <c r="U131" s="862"/>
      <c r="V131" s="859"/>
    </row>
    <row r="132" spans="1:22">
      <c r="A132" s="339"/>
      <c r="B132" s="21"/>
      <c r="C132" s="352"/>
      <c r="D132" s="21"/>
      <c r="E132" s="865"/>
      <c r="F132" s="21"/>
      <c r="G132" s="21"/>
      <c r="H132" s="871"/>
      <c r="I132" s="177"/>
      <c r="J132" s="320"/>
      <c r="K132" s="21"/>
      <c r="L132" s="21"/>
      <c r="M132" s="855"/>
      <c r="N132" s="865"/>
      <c r="O132" s="865"/>
      <c r="P132" s="720"/>
      <c r="Q132" s="21"/>
      <c r="R132" s="865"/>
      <c r="S132" s="859"/>
      <c r="T132" s="872"/>
      <c r="U132" s="862"/>
      <c r="V132" s="859"/>
    </row>
    <row r="133" spans="1:22">
      <c r="A133" s="339"/>
      <c r="B133" s="21"/>
      <c r="C133" s="352"/>
      <c r="D133" s="21"/>
      <c r="E133" s="865"/>
      <c r="F133" s="21"/>
      <c r="G133" s="21"/>
      <c r="H133" s="871"/>
      <c r="I133" s="177"/>
      <c r="J133" s="320"/>
      <c r="K133" s="21"/>
      <c r="L133" s="21"/>
      <c r="M133" s="855"/>
      <c r="N133" s="865"/>
      <c r="O133" s="865"/>
      <c r="P133" s="720"/>
      <c r="Q133" s="21"/>
      <c r="R133" s="865"/>
      <c r="S133" s="859"/>
      <c r="T133" s="872"/>
      <c r="U133" s="862"/>
      <c r="V133" s="859"/>
    </row>
    <row r="134" spans="1:22">
      <c r="A134" s="339"/>
      <c r="B134" s="21"/>
      <c r="C134" s="352"/>
      <c r="D134" s="21"/>
      <c r="E134" s="865"/>
      <c r="F134" s="21"/>
      <c r="G134" s="21"/>
      <c r="H134" s="871"/>
      <c r="I134" s="177"/>
      <c r="J134" s="320"/>
      <c r="K134" s="21"/>
      <c r="L134" s="21"/>
      <c r="M134" s="855"/>
      <c r="N134" s="865"/>
      <c r="O134" s="865"/>
      <c r="P134" s="720"/>
      <c r="Q134" s="21"/>
      <c r="R134" s="865"/>
      <c r="S134" s="859"/>
      <c r="T134" s="872"/>
      <c r="U134" s="862"/>
      <c r="V134" s="859"/>
    </row>
    <row r="135" spans="1:22">
      <c r="A135" s="339"/>
      <c r="B135" s="21"/>
      <c r="C135" s="352"/>
      <c r="D135" s="21"/>
      <c r="E135" s="865"/>
      <c r="F135" s="21"/>
      <c r="G135" s="21"/>
      <c r="H135" s="871"/>
      <c r="I135" s="177"/>
      <c r="J135" s="320"/>
      <c r="K135" s="21"/>
      <c r="L135" s="21"/>
      <c r="M135" s="855"/>
      <c r="N135" s="865"/>
      <c r="O135" s="865"/>
      <c r="P135" s="720"/>
      <c r="Q135" s="21"/>
      <c r="R135" s="865"/>
      <c r="S135" s="859"/>
      <c r="T135" s="872"/>
      <c r="U135" s="862"/>
      <c r="V135" s="859"/>
    </row>
    <row r="136" spans="1:22">
      <c r="A136" s="339"/>
      <c r="B136" s="21"/>
      <c r="C136" s="352"/>
      <c r="D136" s="21"/>
      <c r="E136" s="865"/>
      <c r="F136" s="21"/>
      <c r="G136" s="21"/>
      <c r="H136" s="871"/>
      <c r="I136" s="177"/>
      <c r="J136" s="320"/>
      <c r="K136" s="21"/>
      <c r="L136" s="21"/>
      <c r="M136" s="855"/>
      <c r="N136" s="865"/>
      <c r="O136" s="865"/>
      <c r="P136" s="720"/>
      <c r="Q136" s="21"/>
      <c r="R136" s="865"/>
      <c r="S136" s="859"/>
      <c r="T136" s="872"/>
      <c r="U136" s="862"/>
      <c r="V136" s="859"/>
    </row>
    <row r="137" spans="1:22">
      <c r="A137" s="339"/>
      <c r="B137" s="21"/>
      <c r="C137" s="352"/>
      <c r="D137" s="21"/>
      <c r="E137" s="865"/>
      <c r="F137" s="21"/>
      <c r="G137" s="21"/>
      <c r="H137" s="871"/>
      <c r="I137" s="177"/>
      <c r="J137" s="320"/>
      <c r="K137" s="21"/>
      <c r="L137" s="21"/>
      <c r="M137" s="855"/>
      <c r="N137" s="865"/>
      <c r="O137" s="865"/>
      <c r="P137" s="720"/>
      <c r="Q137" s="21"/>
      <c r="R137" s="865"/>
      <c r="S137" s="859"/>
      <c r="T137" s="872"/>
      <c r="U137" s="862"/>
      <c r="V137" s="859"/>
    </row>
    <row r="138" spans="1:22">
      <c r="A138" s="339"/>
      <c r="B138" s="21"/>
      <c r="C138" s="352"/>
      <c r="D138" s="21"/>
      <c r="E138" s="865"/>
      <c r="F138" s="21"/>
      <c r="G138" s="21"/>
      <c r="H138" s="871"/>
      <c r="I138" s="177"/>
      <c r="J138" s="320"/>
      <c r="K138" s="21"/>
      <c r="L138" s="21"/>
      <c r="M138" s="855"/>
      <c r="N138" s="865"/>
      <c r="O138" s="865"/>
      <c r="P138" s="720"/>
      <c r="Q138" s="21"/>
      <c r="R138" s="865"/>
      <c r="S138" s="859"/>
      <c r="T138" s="872"/>
      <c r="U138" s="862"/>
      <c r="V138" s="859"/>
    </row>
    <row r="139" spans="1:22">
      <c r="A139" s="339"/>
      <c r="B139" s="21"/>
      <c r="C139" s="352"/>
      <c r="D139" s="21"/>
      <c r="E139" s="865"/>
      <c r="F139" s="21"/>
      <c r="G139" s="21"/>
      <c r="H139" s="871"/>
      <c r="I139" s="177"/>
      <c r="J139" s="320"/>
      <c r="K139" s="21"/>
      <c r="L139" s="21"/>
      <c r="M139" s="855"/>
      <c r="N139" s="865"/>
      <c r="O139" s="865"/>
      <c r="P139" s="720"/>
      <c r="Q139" s="21"/>
      <c r="R139" s="865"/>
      <c r="S139" s="859"/>
      <c r="T139" s="872"/>
      <c r="U139" s="862"/>
      <c r="V139" s="859"/>
    </row>
    <row r="140" spans="1:22">
      <c r="A140" s="339"/>
      <c r="B140" s="21"/>
      <c r="C140" s="352"/>
      <c r="D140" s="21"/>
      <c r="E140" s="865"/>
      <c r="F140" s="21"/>
      <c r="G140" s="21"/>
      <c r="H140" s="871"/>
      <c r="I140" s="177"/>
      <c r="J140" s="320"/>
      <c r="K140" s="21"/>
      <c r="L140" s="21"/>
      <c r="M140" s="855"/>
      <c r="N140" s="865"/>
      <c r="O140" s="865"/>
      <c r="P140" s="720"/>
      <c r="Q140" s="21"/>
      <c r="R140" s="865"/>
      <c r="S140" s="859"/>
      <c r="T140" s="872"/>
      <c r="U140" s="862"/>
      <c r="V140" s="859"/>
    </row>
    <row r="141" spans="1:22">
      <c r="A141" s="339"/>
      <c r="B141" s="21"/>
      <c r="C141" s="352"/>
      <c r="D141" s="21"/>
      <c r="E141" s="865"/>
      <c r="F141" s="21"/>
      <c r="G141" s="21"/>
      <c r="H141" s="871"/>
      <c r="I141" s="177"/>
      <c r="J141" s="320"/>
      <c r="K141" s="21"/>
      <c r="L141" s="21"/>
      <c r="M141" s="855"/>
      <c r="N141" s="865"/>
      <c r="O141" s="865"/>
      <c r="P141" s="720"/>
      <c r="Q141" s="21"/>
      <c r="R141" s="865"/>
      <c r="S141" s="859"/>
      <c r="T141" s="872"/>
      <c r="U141" s="862"/>
      <c r="V141" s="859"/>
    </row>
    <row r="142" spans="1:22">
      <c r="A142" s="339"/>
      <c r="B142" s="21"/>
      <c r="C142" s="352"/>
      <c r="D142" s="21"/>
      <c r="E142" s="865"/>
      <c r="F142" s="21"/>
      <c r="G142" s="21"/>
      <c r="H142" s="871"/>
      <c r="I142" s="177"/>
      <c r="J142" s="320"/>
      <c r="K142" s="21"/>
      <c r="L142" s="21"/>
      <c r="M142" s="855"/>
      <c r="N142" s="865"/>
      <c r="O142" s="865"/>
      <c r="P142" s="720"/>
      <c r="Q142" s="21"/>
      <c r="R142" s="865"/>
      <c r="S142" s="859"/>
      <c r="T142" s="872"/>
      <c r="U142" s="862"/>
      <c r="V142" s="859"/>
    </row>
    <row r="143" spans="1:22">
      <c r="A143" s="339"/>
      <c r="B143" s="21"/>
      <c r="C143" s="352"/>
      <c r="D143" s="21"/>
      <c r="E143" s="865"/>
      <c r="F143" s="21"/>
      <c r="G143" s="21"/>
      <c r="H143" s="871"/>
      <c r="I143" s="177"/>
      <c r="J143" s="320"/>
      <c r="K143" s="21"/>
      <c r="L143" s="21"/>
      <c r="M143" s="855"/>
      <c r="N143" s="865"/>
      <c r="O143" s="865"/>
      <c r="P143" s="720"/>
      <c r="Q143" s="21"/>
      <c r="R143" s="865"/>
      <c r="S143" s="859"/>
      <c r="T143" s="872"/>
      <c r="U143" s="862"/>
      <c r="V143" s="859"/>
    </row>
    <row r="144" spans="1:22">
      <c r="A144" s="339"/>
      <c r="B144" s="21"/>
      <c r="C144" s="352"/>
      <c r="D144" s="21"/>
      <c r="E144" s="865"/>
      <c r="F144" s="21"/>
      <c r="G144" s="21"/>
      <c r="H144" s="871"/>
      <c r="I144" s="177"/>
      <c r="J144" s="320"/>
      <c r="K144" s="21"/>
      <c r="L144" s="21"/>
      <c r="M144" s="855"/>
      <c r="N144" s="865"/>
      <c r="O144" s="865"/>
      <c r="P144" s="720"/>
      <c r="Q144" s="21"/>
      <c r="R144" s="865"/>
      <c r="S144" s="859"/>
      <c r="T144" s="872"/>
      <c r="U144" s="862"/>
      <c r="V144" s="859"/>
    </row>
    <row r="145" spans="1:22">
      <c r="A145" s="339"/>
      <c r="B145" s="21"/>
      <c r="C145" s="352"/>
      <c r="D145" s="21"/>
      <c r="E145" s="865"/>
      <c r="F145" s="21"/>
      <c r="G145" s="21"/>
      <c r="H145" s="871"/>
      <c r="I145" s="177"/>
      <c r="J145" s="320"/>
      <c r="K145" s="21"/>
      <c r="L145" s="21"/>
      <c r="M145" s="855"/>
      <c r="N145" s="865"/>
      <c r="O145" s="865"/>
      <c r="P145" s="720"/>
      <c r="Q145" s="21"/>
      <c r="R145" s="865"/>
      <c r="S145" s="859"/>
      <c r="T145" s="872"/>
      <c r="U145" s="862"/>
      <c r="V145" s="859"/>
    </row>
    <row r="146" spans="1:22">
      <c r="A146" s="339"/>
      <c r="B146" s="21"/>
      <c r="C146" s="352"/>
      <c r="D146" s="21"/>
      <c r="E146" s="865"/>
      <c r="F146" s="21"/>
      <c r="G146" s="21"/>
      <c r="H146" s="871"/>
      <c r="I146" s="177"/>
      <c r="J146" s="320"/>
      <c r="K146" s="21"/>
      <c r="L146" s="21"/>
      <c r="M146" s="855"/>
      <c r="N146" s="865"/>
      <c r="O146" s="865"/>
      <c r="P146" s="720"/>
      <c r="Q146" s="21"/>
      <c r="R146" s="865"/>
      <c r="S146" s="859"/>
      <c r="T146" s="872"/>
      <c r="U146" s="862"/>
      <c r="V146" s="859"/>
    </row>
    <row r="147" spans="1:22">
      <c r="A147" s="339"/>
      <c r="B147" s="21"/>
      <c r="C147" s="352"/>
      <c r="D147" s="21"/>
      <c r="E147" s="865"/>
      <c r="F147" s="21"/>
      <c r="G147" s="21"/>
      <c r="H147" s="871"/>
      <c r="I147" s="177"/>
      <c r="J147" s="320"/>
      <c r="K147" s="21"/>
      <c r="L147" s="21"/>
      <c r="M147" s="855"/>
      <c r="N147" s="865"/>
      <c r="O147" s="865"/>
      <c r="P147" s="720"/>
      <c r="Q147" s="21"/>
      <c r="R147" s="865"/>
      <c r="S147" s="859"/>
      <c r="T147" s="872"/>
      <c r="U147" s="862"/>
      <c r="V147" s="859"/>
    </row>
    <row r="148" spans="1:22">
      <c r="A148" s="339"/>
      <c r="B148" s="21"/>
      <c r="C148" s="352"/>
      <c r="D148" s="21"/>
      <c r="E148" s="865"/>
      <c r="F148" s="21"/>
      <c r="G148" s="21"/>
      <c r="H148" s="871"/>
      <c r="I148" s="177"/>
      <c r="J148" s="320"/>
      <c r="K148" s="21"/>
      <c r="L148" s="21"/>
      <c r="M148" s="855"/>
      <c r="N148" s="865"/>
      <c r="O148" s="865"/>
      <c r="P148" s="720"/>
      <c r="Q148" s="21"/>
      <c r="R148" s="865"/>
      <c r="S148" s="859"/>
      <c r="T148" s="872"/>
      <c r="U148" s="862"/>
      <c r="V148" s="859"/>
    </row>
    <row r="149" spans="1:22">
      <c r="A149" s="339"/>
      <c r="B149" s="21"/>
      <c r="C149" s="352"/>
      <c r="D149" s="21"/>
      <c r="E149" s="865"/>
      <c r="F149" s="21"/>
      <c r="G149" s="21"/>
      <c r="H149" s="871"/>
      <c r="I149" s="177"/>
      <c r="J149" s="320"/>
      <c r="K149" s="21"/>
      <c r="L149" s="21"/>
      <c r="M149" s="855"/>
      <c r="N149" s="865"/>
      <c r="O149" s="865"/>
      <c r="P149" s="720"/>
      <c r="Q149" s="21"/>
      <c r="R149" s="865"/>
      <c r="S149" s="859"/>
      <c r="T149" s="872"/>
      <c r="U149" s="862"/>
      <c r="V149" s="859"/>
    </row>
    <row r="150" spans="1:22">
      <c r="A150" s="339"/>
      <c r="B150" s="21"/>
      <c r="C150" s="352"/>
      <c r="D150" s="21"/>
      <c r="E150" s="865"/>
      <c r="F150" s="21"/>
      <c r="G150" s="21"/>
      <c r="H150" s="871"/>
      <c r="I150" s="177"/>
      <c r="J150" s="320"/>
      <c r="K150" s="21"/>
      <c r="L150" s="21"/>
      <c r="M150" s="855"/>
      <c r="N150" s="865"/>
      <c r="O150" s="865"/>
      <c r="P150" s="720"/>
      <c r="Q150" s="21"/>
      <c r="R150" s="865"/>
      <c r="S150" s="859"/>
      <c r="T150" s="872"/>
      <c r="U150" s="862"/>
      <c r="V150" s="859"/>
    </row>
    <row r="151" spans="1:22">
      <c r="A151" s="339"/>
      <c r="B151" s="21"/>
      <c r="C151" s="352"/>
      <c r="D151" s="21"/>
      <c r="E151" s="865"/>
      <c r="F151" s="21"/>
      <c r="G151" s="21"/>
      <c r="H151" s="871"/>
      <c r="I151" s="177"/>
      <c r="J151" s="320"/>
      <c r="K151" s="21"/>
      <c r="L151" s="21"/>
      <c r="M151" s="855"/>
      <c r="N151" s="865"/>
      <c r="O151" s="865"/>
      <c r="P151" s="720"/>
      <c r="Q151" s="21"/>
      <c r="R151" s="865"/>
      <c r="S151" s="859"/>
      <c r="T151" s="872"/>
      <c r="U151" s="862"/>
      <c r="V151" s="859"/>
    </row>
    <row r="152" spans="1:22">
      <c r="A152" s="339"/>
      <c r="B152" s="21"/>
      <c r="C152" s="352"/>
      <c r="D152" s="21"/>
      <c r="E152" s="865"/>
      <c r="F152" s="21"/>
      <c r="G152" s="21"/>
      <c r="H152" s="871"/>
      <c r="I152" s="177"/>
      <c r="J152" s="320"/>
      <c r="K152" s="21"/>
      <c r="L152" s="21"/>
      <c r="M152" s="855"/>
      <c r="N152" s="865"/>
      <c r="O152" s="865"/>
      <c r="P152" s="720"/>
      <c r="Q152" s="21"/>
      <c r="R152" s="865"/>
      <c r="S152" s="859"/>
      <c r="T152" s="872"/>
      <c r="U152" s="862"/>
      <c r="V152" s="859"/>
    </row>
    <row r="153" spans="1:22">
      <c r="A153" s="339"/>
      <c r="B153" s="21"/>
      <c r="C153" s="352"/>
      <c r="D153" s="21"/>
      <c r="E153" s="865"/>
      <c r="F153" s="21"/>
      <c r="G153" s="21"/>
      <c r="H153" s="871"/>
      <c r="I153" s="177"/>
      <c r="J153" s="320"/>
      <c r="K153" s="21"/>
      <c r="L153" s="21"/>
      <c r="M153" s="855"/>
      <c r="N153" s="865"/>
      <c r="O153" s="865"/>
      <c r="P153" s="720"/>
      <c r="Q153" s="21"/>
      <c r="R153" s="865"/>
      <c r="S153" s="859"/>
      <c r="T153" s="872"/>
      <c r="U153" s="862"/>
      <c r="V153" s="859"/>
    </row>
    <row r="154" spans="1:22">
      <c r="A154" s="339"/>
      <c r="B154" s="21"/>
      <c r="C154" s="352"/>
      <c r="D154" s="21"/>
      <c r="E154" s="865"/>
      <c r="F154" s="21"/>
      <c r="G154" s="21"/>
      <c r="H154" s="871"/>
      <c r="I154" s="177"/>
      <c r="J154" s="320"/>
      <c r="K154" s="21"/>
      <c r="L154" s="21"/>
      <c r="M154" s="855"/>
      <c r="N154" s="865"/>
      <c r="O154" s="865"/>
      <c r="P154" s="720"/>
      <c r="Q154" s="21"/>
      <c r="R154" s="865"/>
      <c r="S154" s="859"/>
      <c r="T154" s="872"/>
      <c r="U154" s="862"/>
      <c r="V154" s="859"/>
    </row>
    <row r="155" spans="1:22">
      <c r="A155" s="339"/>
      <c r="B155" s="21"/>
      <c r="C155" s="352"/>
      <c r="D155" s="21"/>
      <c r="E155" s="865"/>
      <c r="F155" s="21"/>
      <c r="G155" s="21"/>
      <c r="H155" s="871"/>
      <c r="I155" s="177"/>
      <c r="J155" s="320"/>
      <c r="K155" s="21"/>
      <c r="L155" s="21"/>
      <c r="M155" s="855"/>
      <c r="N155" s="865"/>
      <c r="O155" s="865"/>
      <c r="P155" s="720"/>
      <c r="Q155" s="21"/>
      <c r="R155" s="865"/>
      <c r="S155" s="859"/>
      <c r="T155" s="872"/>
      <c r="U155" s="862"/>
      <c r="V155" s="859"/>
    </row>
    <row r="156" spans="1:22">
      <c r="A156" s="339"/>
      <c r="B156" s="21"/>
      <c r="C156" s="352"/>
      <c r="D156" s="21"/>
      <c r="E156" s="865"/>
      <c r="F156" s="21"/>
      <c r="G156" s="21"/>
      <c r="H156" s="871"/>
      <c r="I156" s="177"/>
      <c r="J156" s="320"/>
      <c r="K156" s="21"/>
      <c r="L156" s="21"/>
      <c r="M156" s="855"/>
      <c r="N156" s="865"/>
      <c r="O156" s="865"/>
      <c r="P156" s="720"/>
      <c r="Q156" s="21"/>
      <c r="R156" s="865"/>
      <c r="S156" s="859"/>
      <c r="T156" s="872"/>
      <c r="U156" s="862"/>
      <c r="V156" s="859"/>
    </row>
    <row r="157" spans="1:22">
      <c r="A157" s="339"/>
      <c r="B157" s="21"/>
      <c r="C157" s="352"/>
      <c r="D157" s="21"/>
      <c r="E157" s="865"/>
      <c r="F157" s="21"/>
      <c r="G157" s="21"/>
      <c r="H157" s="871"/>
      <c r="I157" s="177"/>
      <c r="J157" s="320"/>
      <c r="K157" s="21"/>
      <c r="L157" s="21"/>
      <c r="M157" s="855"/>
      <c r="N157" s="865"/>
      <c r="O157" s="865"/>
      <c r="P157" s="720"/>
      <c r="Q157" s="21"/>
      <c r="R157" s="865"/>
      <c r="S157" s="859"/>
      <c r="T157" s="872"/>
      <c r="U157" s="862"/>
      <c r="V157" s="859"/>
    </row>
    <row r="158" spans="1:22">
      <c r="A158" s="339"/>
      <c r="B158" s="21"/>
      <c r="C158" s="352"/>
      <c r="D158" s="21"/>
      <c r="E158" s="865"/>
      <c r="F158" s="21"/>
      <c r="G158" s="21"/>
      <c r="H158" s="871"/>
      <c r="I158" s="177"/>
      <c r="J158" s="320"/>
      <c r="K158" s="21"/>
      <c r="L158" s="21"/>
      <c r="M158" s="855"/>
      <c r="N158" s="865"/>
      <c r="O158" s="865"/>
      <c r="P158" s="720"/>
      <c r="Q158" s="21"/>
      <c r="R158" s="865"/>
      <c r="S158" s="859"/>
      <c r="T158" s="872"/>
      <c r="U158" s="862"/>
      <c r="V158" s="859"/>
    </row>
    <row r="159" spans="1:22">
      <c r="A159" s="339"/>
      <c r="B159" s="21"/>
      <c r="C159" s="352"/>
      <c r="D159" s="21"/>
      <c r="E159" s="865"/>
      <c r="F159" s="21"/>
      <c r="G159" s="21"/>
      <c r="H159" s="871"/>
      <c r="I159" s="177"/>
      <c r="J159" s="320"/>
      <c r="K159" s="21"/>
      <c r="L159" s="21"/>
      <c r="M159" s="855"/>
      <c r="N159" s="865"/>
      <c r="O159" s="865"/>
      <c r="P159" s="720"/>
      <c r="Q159" s="21"/>
      <c r="R159" s="865"/>
      <c r="S159" s="859"/>
      <c r="T159" s="872"/>
      <c r="U159" s="862"/>
      <c r="V159" s="859"/>
    </row>
    <row r="160" spans="1:22">
      <c r="A160" s="339"/>
      <c r="B160" s="21"/>
      <c r="C160" s="352"/>
      <c r="D160" s="21"/>
      <c r="E160" s="865"/>
      <c r="F160" s="21"/>
      <c r="G160" s="21"/>
      <c r="H160" s="871"/>
      <c r="I160" s="177"/>
      <c r="J160" s="320"/>
      <c r="K160" s="21"/>
      <c r="L160" s="21"/>
      <c r="M160" s="855"/>
      <c r="N160" s="865"/>
      <c r="O160" s="865"/>
      <c r="P160" s="720"/>
      <c r="Q160" s="21"/>
      <c r="R160" s="865"/>
      <c r="S160" s="859"/>
      <c r="T160" s="872"/>
      <c r="U160" s="862"/>
      <c r="V160" s="859"/>
    </row>
    <row r="161" spans="1:22">
      <c r="A161" s="339"/>
      <c r="B161" s="21"/>
      <c r="C161" s="352"/>
      <c r="D161" s="21"/>
      <c r="E161" s="865"/>
      <c r="F161" s="21"/>
      <c r="G161" s="21"/>
      <c r="H161" s="871"/>
      <c r="I161" s="177"/>
      <c r="J161" s="320"/>
      <c r="K161" s="21"/>
      <c r="L161" s="21"/>
      <c r="M161" s="855"/>
      <c r="N161" s="865"/>
      <c r="O161" s="865"/>
      <c r="P161" s="720"/>
      <c r="Q161" s="21"/>
      <c r="R161" s="865"/>
      <c r="S161" s="859"/>
      <c r="T161" s="872"/>
      <c r="U161" s="862"/>
      <c r="V161" s="859"/>
    </row>
    <row r="162" spans="1:22">
      <c r="A162" s="339"/>
      <c r="B162" s="21"/>
      <c r="C162" s="352"/>
      <c r="D162" s="21"/>
      <c r="E162" s="865"/>
      <c r="F162" s="21"/>
      <c r="G162" s="21"/>
      <c r="H162" s="871"/>
      <c r="I162" s="177"/>
      <c r="J162" s="320"/>
      <c r="K162" s="21"/>
      <c r="L162" s="21"/>
      <c r="M162" s="855"/>
      <c r="N162" s="865"/>
      <c r="O162" s="865"/>
      <c r="P162" s="720"/>
      <c r="Q162" s="21"/>
      <c r="R162" s="865"/>
      <c r="S162" s="859"/>
      <c r="T162" s="872"/>
      <c r="U162" s="862"/>
      <c r="V162" s="859"/>
    </row>
    <row r="163" spans="1:22">
      <c r="A163" s="339"/>
      <c r="B163" s="21"/>
      <c r="C163" s="352"/>
      <c r="D163" s="21"/>
      <c r="E163" s="865"/>
      <c r="F163" s="21"/>
      <c r="G163" s="21"/>
      <c r="H163" s="871"/>
      <c r="I163" s="177"/>
      <c r="J163" s="320"/>
      <c r="K163" s="21"/>
      <c r="L163" s="21"/>
      <c r="M163" s="855"/>
      <c r="N163" s="865"/>
      <c r="O163" s="865"/>
      <c r="P163" s="720"/>
      <c r="Q163" s="21"/>
      <c r="R163" s="865"/>
      <c r="S163" s="859"/>
      <c r="T163" s="872"/>
      <c r="U163" s="862"/>
      <c r="V163" s="859"/>
    </row>
    <row r="164" spans="1:22">
      <c r="A164" s="339"/>
      <c r="B164" s="21"/>
      <c r="C164" s="352"/>
      <c r="D164" s="21"/>
      <c r="E164" s="865"/>
      <c r="F164" s="21"/>
      <c r="G164" s="21"/>
      <c r="H164" s="871"/>
      <c r="I164" s="177"/>
      <c r="J164" s="320"/>
      <c r="K164" s="21"/>
      <c r="L164" s="21"/>
      <c r="M164" s="855"/>
      <c r="N164" s="865"/>
      <c r="O164" s="865"/>
      <c r="P164" s="720"/>
      <c r="Q164" s="21"/>
      <c r="R164" s="865"/>
      <c r="S164" s="859"/>
      <c r="T164" s="872"/>
      <c r="U164" s="862"/>
      <c r="V164" s="859"/>
    </row>
    <row r="165" spans="1:22">
      <c r="A165" s="339"/>
      <c r="B165" s="21"/>
      <c r="C165" s="352"/>
      <c r="D165" s="21"/>
      <c r="E165" s="865"/>
      <c r="F165" s="21"/>
      <c r="G165" s="21"/>
      <c r="H165" s="871"/>
      <c r="I165" s="177"/>
      <c r="J165" s="320"/>
      <c r="K165" s="21"/>
      <c r="L165" s="21"/>
      <c r="M165" s="855"/>
      <c r="N165" s="865"/>
      <c r="O165" s="865"/>
      <c r="P165" s="720"/>
      <c r="Q165" s="21"/>
      <c r="R165" s="865"/>
      <c r="S165" s="859"/>
      <c r="T165" s="872"/>
      <c r="U165" s="862"/>
      <c r="V165" s="859"/>
    </row>
    <row r="166" spans="1:22">
      <c r="A166" s="339"/>
      <c r="B166" s="21"/>
      <c r="C166" s="352"/>
      <c r="D166" s="21"/>
      <c r="E166" s="865"/>
      <c r="F166" s="21"/>
      <c r="G166" s="21"/>
      <c r="H166" s="871"/>
      <c r="I166" s="177"/>
      <c r="J166" s="320"/>
      <c r="K166" s="21"/>
      <c r="L166" s="21"/>
      <c r="M166" s="855"/>
      <c r="N166" s="865"/>
      <c r="O166" s="865"/>
      <c r="P166" s="720"/>
      <c r="Q166" s="21"/>
      <c r="R166" s="865"/>
      <c r="S166" s="859"/>
      <c r="T166" s="872"/>
      <c r="U166" s="862"/>
      <c r="V166" s="859"/>
    </row>
    <row r="167" spans="1:22">
      <c r="A167" s="339"/>
      <c r="B167" s="21"/>
      <c r="C167" s="352"/>
      <c r="D167" s="21"/>
      <c r="E167" s="865"/>
      <c r="F167" s="21"/>
      <c r="G167" s="21"/>
      <c r="H167" s="871"/>
      <c r="I167" s="177"/>
      <c r="J167" s="320"/>
      <c r="K167" s="21"/>
      <c r="L167" s="21"/>
      <c r="M167" s="855"/>
      <c r="N167" s="865"/>
      <c r="O167" s="865"/>
      <c r="P167" s="720"/>
      <c r="Q167" s="21"/>
      <c r="R167" s="865"/>
      <c r="S167" s="859"/>
      <c r="T167" s="872"/>
      <c r="U167" s="862"/>
      <c r="V167" s="859"/>
    </row>
    <row r="168" spans="1:22">
      <c r="A168" s="339"/>
      <c r="B168" s="21"/>
      <c r="C168" s="352"/>
      <c r="D168" s="21"/>
      <c r="E168" s="865"/>
      <c r="F168" s="21"/>
      <c r="G168" s="21"/>
      <c r="H168" s="871"/>
      <c r="I168" s="177"/>
      <c r="J168" s="320"/>
      <c r="K168" s="21"/>
      <c r="L168" s="21"/>
      <c r="M168" s="855"/>
      <c r="N168" s="865"/>
      <c r="O168" s="865"/>
      <c r="P168" s="720"/>
      <c r="Q168" s="21"/>
      <c r="R168" s="865"/>
      <c r="S168" s="859"/>
      <c r="T168" s="872"/>
      <c r="U168" s="862"/>
      <c r="V168" s="859"/>
    </row>
    <row r="169" spans="1:22">
      <c r="A169" s="339"/>
      <c r="B169" s="21"/>
      <c r="C169" s="352"/>
      <c r="D169" s="21"/>
      <c r="E169" s="865"/>
      <c r="F169" s="21"/>
      <c r="G169" s="21"/>
      <c r="H169" s="871"/>
      <c r="I169" s="177"/>
      <c r="J169" s="320"/>
      <c r="K169" s="21"/>
      <c r="L169" s="21"/>
      <c r="M169" s="855"/>
      <c r="N169" s="865"/>
      <c r="O169" s="865"/>
      <c r="P169" s="720"/>
      <c r="Q169" s="21"/>
      <c r="R169" s="865"/>
      <c r="S169" s="859"/>
      <c r="T169" s="872"/>
      <c r="U169" s="862"/>
      <c r="V169" s="859"/>
    </row>
    <row r="170" spans="1:22">
      <c r="A170" s="339"/>
      <c r="B170" s="21"/>
      <c r="C170" s="352"/>
      <c r="D170" s="21"/>
      <c r="E170" s="865"/>
      <c r="F170" s="21"/>
      <c r="G170" s="21"/>
      <c r="H170" s="871"/>
      <c r="I170" s="177"/>
      <c r="J170" s="320"/>
      <c r="K170" s="21"/>
      <c r="L170" s="21"/>
      <c r="M170" s="855"/>
      <c r="N170" s="865"/>
      <c r="O170" s="865"/>
      <c r="P170" s="720"/>
      <c r="Q170" s="21"/>
      <c r="R170" s="865"/>
      <c r="S170" s="859"/>
      <c r="T170" s="872"/>
      <c r="U170" s="862"/>
      <c r="V170" s="859"/>
    </row>
    <row r="171" spans="1:22">
      <c r="A171" s="339"/>
      <c r="B171" s="21"/>
      <c r="C171" s="352"/>
      <c r="D171" s="21"/>
      <c r="E171" s="865"/>
      <c r="F171" s="21"/>
      <c r="G171" s="21"/>
      <c r="H171" s="871"/>
      <c r="I171" s="177"/>
      <c r="J171" s="320"/>
      <c r="K171" s="21"/>
      <c r="L171" s="21"/>
      <c r="M171" s="855"/>
      <c r="N171" s="865"/>
      <c r="O171" s="865"/>
      <c r="P171" s="720"/>
      <c r="Q171" s="21"/>
      <c r="R171" s="865"/>
      <c r="S171" s="859"/>
      <c r="T171" s="872"/>
      <c r="U171" s="862"/>
      <c r="V171" s="859"/>
    </row>
    <row r="172" spans="1:22">
      <c r="A172" s="339"/>
      <c r="B172" s="21"/>
      <c r="C172" s="352"/>
      <c r="D172" s="21"/>
      <c r="E172" s="865"/>
      <c r="F172" s="21"/>
      <c r="G172" s="21"/>
      <c r="H172" s="871"/>
      <c r="I172" s="177"/>
      <c r="J172" s="320"/>
      <c r="K172" s="21"/>
      <c r="L172" s="21"/>
      <c r="M172" s="855"/>
      <c r="N172" s="865"/>
      <c r="O172" s="865"/>
      <c r="P172" s="720"/>
      <c r="Q172" s="21"/>
      <c r="R172" s="865"/>
      <c r="S172" s="859"/>
      <c r="T172" s="872"/>
      <c r="U172" s="862"/>
      <c r="V172" s="859"/>
    </row>
    <row r="173" spans="1:22">
      <c r="A173" s="339"/>
      <c r="B173" s="21"/>
      <c r="C173" s="352"/>
      <c r="D173" s="21"/>
      <c r="E173" s="865"/>
      <c r="F173" s="21"/>
      <c r="G173" s="21"/>
      <c r="H173" s="871"/>
      <c r="I173" s="177"/>
      <c r="J173" s="320"/>
      <c r="K173" s="21"/>
      <c r="L173" s="21"/>
      <c r="M173" s="855"/>
      <c r="N173" s="865"/>
      <c r="O173" s="865"/>
      <c r="P173" s="720"/>
      <c r="Q173" s="21"/>
      <c r="R173" s="865"/>
      <c r="S173" s="859"/>
      <c r="T173" s="872"/>
      <c r="U173" s="862"/>
      <c r="V173" s="859"/>
    </row>
    <row r="174" spans="1:22">
      <c r="A174" s="339"/>
      <c r="B174" s="21"/>
      <c r="C174" s="352"/>
      <c r="D174" s="21"/>
      <c r="E174" s="865"/>
      <c r="F174" s="21"/>
      <c r="G174" s="21"/>
      <c r="H174" s="871"/>
      <c r="I174" s="177"/>
      <c r="J174" s="320"/>
      <c r="K174" s="21"/>
      <c r="L174" s="21"/>
      <c r="M174" s="855"/>
      <c r="N174" s="865"/>
      <c r="O174" s="865"/>
      <c r="P174" s="720"/>
      <c r="Q174" s="21"/>
      <c r="R174" s="865"/>
      <c r="S174" s="859"/>
      <c r="T174" s="872"/>
      <c r="U174" s="862"/>
      <c r="V174" s="859"/>
    </row>
    <row r="175" spans="1:22">
      <c r="A175" s="339"/>
      <c r="B175" s="21"/>
      <c r="C175" s="352"/>
      <c r="D175" s="21"/>
      <c r="E175" s="865"/>
      <c r="F175" s="21"/>
      <c r="G175" s="21"/>
      <c r="H175" s="871"/>
      <c r="I175" s="177"/>
      <c r="J175" s="320"/>
      <c r="K175" s="21"/>
      <c r="L175" s="21"/>
      <c r="M175" s="855"/>
      <c r="N175" s="865"/>
      <c r="O175" s="865"/>
      <c r="P175" s="720"/>
      <c r="Q175" s="21"/>
      <c r="R175" s="865"/>
      <c r="S175" s="859"/>
      <c r="T175" s="872"/>
      <c r="U175" s="862"/>
      <c r="V175" s="859"/>
    </row>
    <row r="176" spans="1:22">
      <c r="A176" s="339"/>
      <c r="B176" s="21"/>
      <c r="C176" s="352"/>
      <c r="D176" s="21"/>
      <c r="E176" s="865"/>
      <c r="F176" s="21"/>
      <c r="G176" s="21"/>
      <c r="H176" s="871"/>
      <c r="I176" s="177"/>
      <c r="J176" s="320"/>
      <c r="K176" s="21"/>
      <c r="L176" s="21"/>
      <c r="M176" s="855"/>
      <c r="N176" s="865"/>
      <c r="O176" s="865"/>
      <c r="P176" s="720"/>
      <c r="Q176" s="21"/>
      <c r="R176" s="865"/>
      <c r="S176" s="859"/>
      <c r="T176" s="872"/>
      <c r="U176" s="862"/>
      <c r="V176" s="859"/>
    </row>
    <row r="177" spans="1:22">
      <c r="A177" s="339"/>
      <c r="B177" s="21"/>
      <c r="C177" s="352"/>
      <c r="D177" s="21"/>
      <c r="E177" s="865"/>
      <c r="F177" s="21"/>
      <c r="G177" s="21"/>
      <c r="H177" s="871"/>
      <c r="I177" s="177"/>
      <c r="J177" s="320"/>
      <c r="K177" s="21"/>
      <c r="L177" s="21"/>
      <c r="M177" s="855"/>
      <c r="N177" s="865"/>
      <c r="O177" s="865"/>
      <c r="P177" s="720"/>
      <c r="Q177" s="21"/>
      <c r="R177" s="865"/>
      <c r="S177" s="859"/>
      <c r="T177" s="872"/>
      <c r="U177" s="862"/>
      <c r="V177" s="859"/>
    </row>
    <row r="178" spans="1:22">
      <c r="A178" s="339"/>
      <c r="B178" s="21"/>
      <c r="C178" s="352"/>
      <c r="D178" s="21"/>
      <c r="E178" s="865"/>
      <c r="F178" s="21"/>
      <c r="G178" s="21"/>
      <c r="H178" s="871"/>
      <c r="I178" s="177"/>
      <c r="J178" s="320"/>
      <c r="K178" s="21"/>
      <c r="L178" s="21"/>
      <c r="M178" s="855"/>
      <c r="N178" s="865"/>
      <c r="O178" s="865"/>
      <c r="P178" s="720"/>
      <c r="Q178" s="21"/>
      <c r="R178" s="865"/>
      <c r="S178" s="859"/>
      <c r="T178" s="872"/>
      <c r="U178" s="862"/>
      <c r="V178" s="859"/>
    </row>
    <row r="179" spans="1:22">
      <c r="A179" s="339"/>
      <c r="B179" s="21"/>
      <c r="C179" s="352"/>
      <c r="D179" s="21"/>
      <c r="E179" s="865"/>
      <c r="F179" s="21"/>
      <c r="G179" s="21"/>
      <c r="H179" s="871"/>
      <c r="I179" s="177"/>
      <c r="J179" s="320"/>
      <c r="K179" s="21"/>
      <c r="L179" s="21"/>
      <c r="M179" s="855"/>
      <c r="N179" s="865"/>
      <c r="O179" s="865"/>
      <c r="P179" s="720"/>
      <c r="Q179" s="21"/>
      <c r="R179" s="865"/>
      <c r="S179" s="859"/>
      <c r="T179" s="872"/>
      <c r="U179" s="862"/>
      <c r="V179" s="859"/>
    </row>
    <row r="180" spans="1:22">
      <c r="A180" s="339"/>
      <c r="B180" s="21"/>
      <c r="C180" s="352"/>
      <c r="D180" s="21"/>
      <c r="E180" s="865"/>
      <c r="F180" s="21"/>
      <c r="G180" s="21"/>
      <c r="H180" s="871"/>
      <c r="I180" s="177"/>
      <c r="J180" s="320"/>
      <c r="K180" s="21"/>
      <c r="L180" s="21"/>
      <c r="M180" s="855"/>
      <c r="N180" s="865"/>
      <c r="O180" s="865"/>
      <c r="P180" s="720"/>
      <c r="Q180" s="21"/>
      <c r="R180" s="865"/>
      <c r="S180" s="859"/>
      <c r="T180" s="872"/>
      <c r="U180" s="862"/>
      <c r="V180" s="859"/>
    </row>
    <row r="181" spans="1:22">
      <c r="A181" s="339"/>
      <c r="B181" s="21"/>
      <c r="C181" s="352"/>
      <c r="D181" s="21"/>
      <c r="E181" s="865"/>
      <c r="F181" s="21"/>
      <c r="G181" s="21"/>
      <c r="H181" s="871"/>
      <c r="I181" s="177"/>
      <c r="J181" s="320"/>
      <c r="K181" s="21"/>
      <c r="L181" s="21"/>
      <c r="M181" s="855"/>
      <c r="N181" s="865"/>
      <c r="O181" s="865"/>
      <c r="P181" s="720"/>
      <c r="Q181" s="21"/>
      <c r="R181" s="865"/>
      <c r="S181" s="859"/>
      <c r="T181" s="872"/>
      <c r="U181" s="862"/>
      <c r="V181" s="859"/>
    </row>
    <row r="182" spans="1:22">
      <c r="A182" s="339"/>
      <c r="B182" s="21"/>
      <c r="C182" s="352"/>
      <c r="D182" s="21"/>
      <c r="E182" s="865"/>
      <c r="F182" s="21"/>
      <c r="G182" s="21"/>
      <c r="H182" s="871"/>
      <c r="I182" s="177"/>
      <c r="J182" s="320"/>
      <c r="K182" s="21"/>
      <c r="L182" s="21"/>
      <c r="M182" s="855"/>
      <c r="N182" s="865"/>
      <c r="O182" s="865"/>
      <c r="P182" s="720"/>
      <c r="Q182" s="21"/>
      <c r="R182" s="865"/>
      <c r="S182" s="859"/>
      <c r="T182" s="872"/>
      <c r="U182" s="862"/>
      <c r="V182" s="859"/>
    </row>
    <row r="183" spans="1:22">
      <c r="A183" s="339"/>
      <c r="B183" s="21"/>
      <c r="C183" s="352"/>
      <c r="D183" s="21"/>
      <c r="E183" s="865"/>
      <c r="F183" s="21"/>
      <c r="G183" s="21"/>
      <c r="H183" s="871"/>
      <c r="I183" s="177"/>
      <c r="J183" s="320"/>
      <c r="K183" s="21"/>
      <c r="L183" s="21"/>
      <c r="M183" s="855"/>
      <c r="N183" s="865"/>
      <c r="O183" s="865"/>
      <c r="P183" s="720"/>
      <c r="Q183" s="21"/>
      <c r="R183" s="865"/>
      <c r="S183" s="859"/>
      <c r="T183" s="872"/>
      <c r="U183" s="862"/>
      <c r="V183" s="859"/>
    </row>
    <row r="184" spans="1:22">
      <c r="A184" s="339"/>
      <c r="B184" s="21"/>
      <c r="C184" s="352"/>
      <c r="D184" s="21"/>
      <c r="E184" s="865"/>
      <c r="F184" s="21"/>
      <c r="G184" s="21"/>
      <c r="H184" s="871"/>
      <c r="I184" s="177"/>
      <c r="J184" s="320"/>
      <c r="K184" s="21"/>
      <c r="L184" s="21"/>
      <c r="M184" s="855"/>
      <c r="N184" s="865"/>
      <c r="O184" s="865"/>
      <c r="P184" s="720"/>
      <c r="Q184" s="21"/>
      <c r="R184" s="865"/>
      <c r="S184" s="859"/>
      <c r="T184" s="872"/>
      <c r="U184" s="862"/>
      <c r="V184" s="859"/>
    </row>
    <row r="185" spans="1:22">
      <c r="A185" s="339"/>
      <c r="B185" s="21"/>
      <c r="C185" s="352"/>
      <c r="D185" s="21"/>
      <c r="E185" s="865"/>
      <c r="F185" s="21"/>
      <c r="G185" s="21"/>
      <c r="H185" s="871"/>
      <c r="I185" s="177"/>
      <c r="J185" s="320"/>
      <c r="K185" s="21"/>
      <c r="L185" s="21"/>
      <c r="M185" s="855"/>
      <c r="N185" s="865"/>
      <c r="O185" s="865"/>
      <c r="P185" s="720"/>
      <c r="Q185" s="21"/>
      <c r="R185" s="865"/>
      <c r="S185" s="859"/>
      <c r="T185" s="872"/>
      <c r="U185" s="862"/>
      <c r="V185" s="859"/>
    </row>
    <row r="186" spans="1:22">
      <c r="A186" s="339"/>
      <c r="B186" s="21"/>
      <c r="C186" s="352"/>
      <c r="D186" s="21"/>
      <c r="E186" s="865"/>
      <c r="F186" s="21"/>
      <c r="G186" s="21"/>
      <c r="H186" s="871"/>
      <c r="I186" s="177"/>
      <c r="J186" s="320"/>
      <c r="K186" s="21"/>
      <c r="L186" s="21"/>
      <c r="M186" s="855"/>
      <c r="N186" s="865"/>
      <c r="O186" s="865"/>
      <c r="P186" s="720"/>
      <c r="Q186" s="21"/>
      <c r="R186" s="865"/>
      <c r="S186" s="859"/>
      <c r="T186" s="872"/>
      <c r="U186" s="862"/>
      <c r="V186" s="859"/>
    </row>
    <row r="187" spans="1:22">
      <c r="A187" s="339"/>
      <c r="B187" s="21"/>
      <c r="C187" s="352"/>
      <c r="D187" s="21"/>
      <c r="E187" s="865"/>
      <c r="F187" s="21"/>
      <c r="G187" s="21"/>
      <c r="H187" s="871"/>
      <c r="I187" s="177"/>
      <c r="J187" s="320"/>
      <c r="K187" s="21"/>
      <c r="L187" s="21"/>
      <c r="M187" s="855"/>
      <c r="N187" s="865"/>
      <c r="O187" s="865"/>
      <c r="P187" s="720"/>
      <c r="Q187" s="21"/>
      <c r="R187" s="865"/>
      <c r="S187" s="859"/>
      <c r="T187" s="872"/>
      <c r="U187" s="862"/>
      <c r="V187" s="859"/>
    </row>
    <row r="188" spans="1:22">
      <c r="A188" s="339"/>
      <c r="B188" s="21"/>
      <c r="C188" s="352"/>
      <c r="D188" s="21"/>
      <c r="E188" s="865"/>
      <c r="F188" s="21"/>
      <c r="G188" s="21"/>
      <c r="H188" s="871"/>
      <c r="I188" s="177"/>
      <c r="J188" s="320"/>
      <c r="K188" s="21"/>
      <c r="L188" s="21"/>
      <c r="M188" s="855"/>
      <c r="N188" s="865"/>
      <c r="O188" s="865"/>
      <c r="P188" s="720"/>
      <c r="Q188" s="21"/>
      <c r="R188" s="865"/>
      <c r="S188" s="859"/>
      <c r="T188" s="872"/>
      <c r="U188" s="862"/>
      <c r="V188" s="859"/>
    </row>
    <row r="189" spans="1:22">
      <c r="A189" s="339"/>
      <c r="B189" s="21"/>
      <c r="C189" s="352"/>
      <c r="D189" s="21"/>
      <c r="E189" s="865"/>
      <c r="F189" s="21"/>
      <c r="G189" s="21"/>
      <c r="H189" s="871"/>
      <c r="I189" s="177"/>
      <c r="J189" s="320"/>
      <c r="K189" s="21"/>
      <c r="L189" s="21"/>
      <c r="M189" s="855"/>
      <c r="N189" s="865"/>
      <c r="O189" s="865"/>
      <c r="P189" s="720"/>
      <c r="Q189" s="21"/>
      <c r="R189" s="865"/>
      <c r="S189" s="859"/>
      <c r="T189" s="872"/>
      <c r="U189" s="862"/>
      <c r="V189" s="859"/>
    </row>
    <row r="190" spans="1:22">
      <c r="A190" s="339"/>
      <c r="B190" s="21"/>
      <c r="C190" s="352"/>
      <c r="D190" s="21"/>
      <c r="E190" s="865"/>
      <c r="F190" s="21"/>
      <c r="G190" s="21"/>
      <c r="H190" s="871"/>
      <c r="I190" s="177"/>
      <c r="J190" s="320"/>
      <c r="K190" s="21"/>
      <c r="L190" s="21"/>
      <c r="M190" s="855"/>
      <c r="N190" s="865"/>
      <c r="O190" s="865"/>
      <c r="P190" s="720"/>
      <c r="Q190" s="21"/>
      <c r="R190" s="865"/>
      <c r="S190" s="859"/>
      <c r="T190" s="872"/>
      <c r="U190" s="862"/>
      <c r="V190" s="859"/>
    </row>
    <row r="191" spans="1:22">
      <c r="A191" s="339"/>
      <c r="B191" s="21"/>
      <c r="C191" s="352"/>
      <c r="D191" s="21"/>
      <c r="E191" s="865"/>
      <c r="F191" s="21"/>
      <c r="G191" s="21"/>
      <c r="H191" s="871"/>
      <c r="I191" s="177"/>
      <c r="J191" s="320"/>
      <c r="K191" s="21"/>
      <c r="L191" s="21"/>
      <c r="M191" s="855"/>
      <c r="N191" s="865"/>
      <c r="O191" s="865"/>
      <c r="P191" s="720"/>
      <c r="Q191" s="21"/>
      <c r="R191" s="865"/>
      <c r="S191" s="859"/>
      <c r="T191" s="872"/>
      <c r="U191" s="862"/>
      <c r="V191" s="859"/>
    </row>
    <row r="192" spans="1:22">
      <c r="A192" s="339"/>
      <c r="B192" s="21"/>
      <c r="C192" s="352"/>
      <c r="D192" s="21"/>
      <c r="E192" s="865"/>
      <c r="F192" s="21"/>
      <c r="G192" s="21"/>
      <c r="H192" s="871"/>
      <c r="I192" s="177"/>
      <c r="J192" s="320"/>
      <c r="K192" s="21"/>
      <c r="L192" s="21"/>
      <c r="M192" s="855"/>
      <c r="N192" s="865"/>
      <c r="O192" s="865"/>
      <c r="P192" s="720"/>
      <c r="Q192" s="21"/>
      <c r="R192" s="865"/>
      <c r="S192" s="859"/>
      <c r="T192" s="872"/>
      <c r="U192" s="862"/>
      <c r="V192" s="859"/>
    </row>
    <row r="193" spans="1:22">
      <c r="A193" s="339"/>
      <c r="B193" s="21"/>
      <c r="C193" s="352"/>
      <c r="D193" s="21"/>
      <c r="E193" s="865"/>
      <c r="F193" s="21"/>
      <c r="G193" s="21"/>
      <c r="H193" s="871"/>
      <c r="I193" s="177"/>
      <c r="J193" s="320"/>
      <c r="K193" s="21"/>
      <c r="L193" s="21"/>
      <c r="M193" s="855"/>
      <c r="N193" s="865"/>
      <c r="O193" s="865"/>
      <c r="P193" s="720"/>
      <c r="Q193" s="21"/>
      <c r="R193" s="865"/>
      <c r="S193" s="859"/>
      <c r="T193" s="872"/>
      <c r="U193" s="862"/>
      <c r="V193" s="859"/>
    </row>
    <row r="194" spans="1:22">
      <c r="A194" s="339"/>
      <c r="B194" s="21"/>
      <c r="C194" s="352"/>
      <c r="D194" s="21"/>
      <c r="E194" s="865"/>
      <c r="F194" s="21"/>
      <c r="G194" s="21"/>
      <c r="H194" s="871"/>
      <c r="I194" s="177"/>
      <c r="J194" s="320"/>
      <c r="K194" s="21"/>
      <c r="L194" s="21"/>
      <c r="M194" s="855"/>
      <c r="N194" s="865"/>
      <c r="O194" s="865"/>
      <c r="P194" s="720"/>
      <c r="Q194" s="21"/>
      <c r="R194" s="865"/>
      <c r="S194" s="859"/>
      <c r="T194" s="872"/>
      <c r="U194" s="862"/>
      <c r="V194" s="859"/>
    </row>
    <row r="195" spans="1:22">
      <c r="A195" s="339"/>
      <c r="B195" s="21"/>
      <c r="C195" s="352"/>
      <c r="D195" s="21"/>
      <c r="E195" s="865"/>
      <c r="F195" s="21"/>
      <c r="G195" s="21"/>
      <c r="H195" s="871"/>
      <c r="I195" s="177"/>
      <c r="J195" s="320"/>
      <c r="K195" s="21"/>
      <c r="L195" s="21"/>
      <c r="M195" s="855"/>
      <c r="N195" s="865"/>
      <c r="O195" s="865"/>
      <c r="P195" s="720"/>
      <c r="Q195" s="21"/>
      <c r="R195" s="865"/>
      <c r="S195" s="859"/>
      <c r="T195" s="872"/>
      <c r="U195" s="862"/>
      <c r="V195" s="859"/>
    </row>
    <row r="196" spans="1:22">
      <c r="A196" s="339"/>
      <c r="B196" s="21"/>
      <c r="C196" s="352"/>
      <c r="D196" s="21"/>
      <c r="E196" s="865"/>
      <c r="F196" s="21"/>
      <c r="G196" s="21"/>
      <c r="H196" s="871"/>
      <c r="I196" s="177"/>
      <c r="J196" s="320"/>
      <c r="K196" s="21"/>
      <c r="L196" s="21"/>
      <c r="M196" s="855"/>
      <c r="N196" s="865"/>
      <c r="O196" s="865"/>
      <c r="P196" s="720"/>
      <c r="Q196" s="21"/>
      <c r="R196" s="865"/>
      <c r="S196" s="859"/>
      <c r="T196" s="872"/>
      <c r="U196" s="862"/>
      <c r="V196" s="859"/>
    </row>
    <row r="197" spans="1:22">
      <c r="A197" s="339"/>
      <c r="B197" s="21"/>
      <c r="C197" s="352"/>
      <c r="D197" s="21"/>
      <c r="E197" s="865"/>
      <c r="F197" s="21"/>
      <c r="G197" s="21"/>
      <c r="H197" s="871"/>
      <c r="I197" s="177"/>
      <c r="J197" s="320"/>
      <c r="K197" s="21"/>
      <c r="L197" s="21"/>
      <c r="M197" s="855"/>
      <c r="N197" s="865"/>
      <c r="O197" s="865"/>
      <c r="P197" s="720"/>
      <c r="Q197" s="21"/>
      <c r="R197" s="865"/>
      <c r="S197" s="859"/>
      <c r="T197" s="872"/>
      <c r="U197" s="862"/>
      <c r="V197" s="859"/>
    </row>
    <row r="198" spans="1:22">
      <c r="A198" s="339"/>
      <c r="B198" s="21"/>
      <c r="C198" s="352"/>
      <c r="D198" s="21"/>
      <c r="E198" s="865"/>
      <c r="F198" s="21"/>
      <c r="G198" s="21"/>
      <c r="H198" s="871"/>
      <c r="I198" s="177"/>
      <c r="J198" s="320"/>
      <c r="K198" s="21"/>
      <c r="L198" s="21"/>
      <c r="M198" s="855"/>
      <c r="N198" s="865"/>
      <c r="O198" s="865"/>
      <c r="P198" s="720"/>
      <c r="Q198" s="21"/>
      <c r="R198" s="865"/>
      <c r="S198" s="859"/>
      <c r="T198" s="872"/>
      <c r="U198" s="862"/>
      <c r="V198" s="859"/>
    </row>
    <row r="199" spans="1:22">
      <c r="A199" s="339"/>
      <c r="B199" s="21"/>
      <c r="C199" s="352"/>
      <c r="D199" s="21"/>
      <c r="E199" s="865"/>
      <c r="F199" s="21"/>
      <c r="G199" s="21"/>
      <c r="H199" s="871"/>
      <c r="I199" s="177"/>
      <c r="J199" s="320"/>
      <c r="K199" s="21"/>
      <c r="L199" s="21"/>
      <c r="M199" s="855"/>
      <c r="N199" s="865"/>
      <c r="O199" s="865"/>
      <c r="P199" s="720"/>
      <c r="Q199" s="21"/>
      <c r="R199" s="865"/>
      <c r="S199" s="859"/>
      <c r="T199" s="872"/>
      <c r="U199" s="862"/>
      <c r="V199" s="859"/>
    </row>
    <row r="200" spans="1:22">
      <c r="A200" s="339"/>
      <c r="B200" s="21"/>
      <c r="C200" s="352"/>
      <c r="D200" s="21"/>
      <c r="E200" s="865"/>
      <c r="F200" s="21"/>
      <c r="G200" s="21"/>
      <c r="H200" s="871"/>
      <c r="I200" s="177"/>
      <c r="J200" s="320"/>
      <c r="K200" s="21"/>
      <c r="L200" s="21"/>
      <c r="M200" s="855"/>
      <c r="N200" s="865"/>
      <c r="O200" s="865"/>
      <c r="P200" s="720"/>
      <c r="Q200" s="21"/>
      <c r="R200" s="865"/>
      <c r="S200" s="859"/>
      <c r="T200" s="872"/>
      <c r="U200" s="862"/>
      <c r="V200" s="859"/>
    </row>
    <row r="201" spans="1:22">
      <c r="A201" s="339"/>
      <c r="B201" s="21"/>
      <c r="C201" s="352"/>
      <c r="D201" s="21"/>
      <c r="E201" s="865"/>
      <c r="F201" s="21"/>
      <c r="G201" s="21"/>
      <c r="H201" s="871"/>
      <c r="I201" s="177"/>
      <c r="J201" s="320"/>
      <c r="K201" s="21"/>
      <c r="L201" s="21"/>
      <c r="M201" s="855"/>
      <c r="N201" s="865"/>
      <c r="O201" s="865"/>
      <c r="P201" s="720"/>
      <c r="Q201" s="21"/>
      <c r="R201" s="865"/>
      <c r="S201" s="859"/>
      <c r="T201" s="872"/>
      <c r="U201" s="862"/>
      <c r="V201" s="859"/>
    </row>
    <row r="202" spans="1:22">
      <c r="A202" s="339"/>
      <c r="B202" s="21"/>
      <c r="C202" s="352"/>
      <c r="D202" s="21"/>
      <c r="E202" s="865"/>
      <c r="F202" s="21"/>
      <c r="G202" s="21"/>
      <c r="H202" s="871"/>
      <c r="I202" s="177"/>
      <c r="J202" s="320"/>
      <c r="K202" s="21"/>
      <c r="L202" s="21"/>
      <c r="M202" s="855"/>
      <c r="N202" s="865"/>
      <c r="O202" s="865"/>
      <c r="P202" s="720"/>
      <c r="Q202" s="21"/>
      <c r="R202" s="865"/>
      <c r="S202" s="859"/>
      <c r="T202" s="872"/>
      <c r="U202" s="862"/>
      <c r="V202" s="859"/>
    </row>
    <row r="203" spans="1:22">
      <c r="A203" s="339"/>
      <c r="B203" s="21"/>
      <c r="C203" s="352"/>
      <c r="D203" s="21"/>
      <c r="E203" s="865"/>
      <c r="F203" s="21"/>
      <c r="G203" s="21"/>
      <c r="H203" s="871"/>
      <c r="I203" s="177"/>
      <c r="J203" s="320"/>
      <c r="K203" s="21"/>
      <c r="L203" s="21"/>
      <c r="M203" s="855"/>
      <c r="N203" s="865"/>
      <c r="O203" s="865"/>
      <c r="P203" s="720"/>
      <c r="Q203" s="21"/>
      <c r="R203" s="865"/>
      <c r="S203" s="859"/>
      <c r="T203" s="872"/>
      <c r="U203" s="862"/>
      <c r="V203" s="859"/>
    </row>
    <row r="204" spans="1:22">
      <c r="A204" s="339"/>
      <c r="B204" s="21"/>
      <c r="C204" s="352"/>
      <c r="D204" s="21"/>
      <c r="E204" s="865"/>
      <c r="F204" s="21"/>
      <c r="G204" s="21"/>
      <c r="H204" s="871"/>
      <c r="I204" s="177"/>
      <c r="J204" s="320"/>
      <c r="K204" s="21"/>
      <c r="L204" s="21"/>
      <c r="M204" s="855"/>
      <c r="N204" s="865"/>
      <c r="O204" s="865"/>
      <c r="P204" s="720"/>
      <c r="Q204" s="21"/>
      <c r="R204" s="865"/>
      <c r="S204" s="859"/>
      <c r="T204" s="872"/>
      <c r="U204" s="862"/>
      <c r="V204" s="859"/>
    </row>
    <row r="205" spans="1:22">
      <c r="A205" s="339"/>
      <c r="B205" s="21"/>
      <c r="C205" s="352"/>
      <c r="D205" s="21"/>
      <c r="E205" s="865"/>
      <c r="F205" s="21"/>
      <c r="G205" s="21"/>
      <c r="H205" s="871"/>
      <c r="I205" s="177"/>
      <c r="J205" s="320"/>
      <c r="K205" s="21"/>
      <c r="L205" s="21"/>
      <c r="M205" s="855"/>
      <c r="N205" s="865"/>
      <c r="O205" s="865"/>
      <c r="P205" s="720"/>
      <c r="Q205" s="21"/>
      <c r="R205" s="865"/>
      <c r="S205" s="859"/>
      <c r="T205" s="872"/>
      <c r="U205" s="862"/>
      <c r="V205" s="859"/>
    </row>
    <row r="206" spans="1:22">
      <c r="A206" s="339"/>
      <c r="B206" s="21"/>
      <c r="C206" s="352"/>
      <c r="D206" s="21"/>
      <c r="E206" s="865"/>
      <c r="F206" s="21"/>
      <c r="G206" s="21"/>
      <c r="H206" s="871"/>
      <c r="I206" s="177"/>
      <c r="J206" s="320"/>
      <c r="K206" s="21"/>
      <c r="L206" s="21"/>
      <c r="M206" s="855"/>
      <c r="N206" s="865"/>
      <c r="O206" s="865"/>
      <c r="P206" s="720"/>
      <c r="Q206" s="21"/>
      <c r="R206" s="865"/>
      <c r="S206" s="859"/>
      <c r="T206" s="872"/>
      <c r="U206" s="862"/>
      <c r="V206" s="859"/>
    </row>
    <row r="207" spans="1:22">
      <c r="A207" s="339"/>
      <c r="B207" s="21"/>
      <c r="C207" s="352"/>
      <c r="D207" s="21"/>
      <c r="E207" s="865"/>
      <c r="F207" s="21"/>
      <c r="G207" s="21"/>
      <c r="H207" s="871"/>
      <c r="I207" s="177"/>
      <c r="J207" s="320"/>
      <c r="K207" s="21"/>
      <c r="L207" s="21"/>
      <c r="M207" s="855"/>
      <c r="N207" s="865"/>
      <c r="O207" s="865"/>
      <c r="P207" s="720"/>
      <c r="Q207" s="21"/>
      <c r="R207" s="865"/>
      <c r="S207" s="859"/>
      <c r="T207" s="872"/>
      <c r="U207" s="862"/>
      <c r="V207" s="859"/>
    </row>
    <row r="208" spans="1:22">
      <c r="A208" s="339"/>
      <c r="B208" s="21"/>
      <c r="C208" s="352"/>
      <c r="D208" s="21"/>
      <c r="E208" s="865"/>
      <c r="F208" s="21"/>
      <c r="G208" s="21"/>
      <c r="H208" s="871"/>
      <c r="I208" s="177"/>
      <c r="J208" s="320"/>
      <c r="K208" s="21"/>
      <c r="L208" s="21"/>
      <c r="M208" s="855"/>
      <c r="N208" s="865"/>
      <c r="O208" s="865"/>
      <c r="P208" s="720"/>
      <c r="Q208" s="21"/>
      <c r="R208" s="865"/>
      <c r="S208" s="859"/>
      <c r="T208" s="872"/>
      <c r="U208" s="862"/>
      <c r="V208" s="859"/>
    </row>
    <row r="209" spans="1:22">
      <c r="A209" s="339"/>
      <c r="B209" s="21"/>
      <c r="C209" s="352"/>
      <c r="D209" s="21"/>
      <c r="E209" s="865"/>
      <c r="F209" s="21"/>
      <c r="G209" s="21"/>
      <c r="H209" s="871"/>
      <c r="I209" s="177"/>
      <c r="J209" s="320"/>
      <c r="K209" s="21"/>
      <c r="L209" s="21"/>
      <c r="M209" s="855"/>
      <c r="N209" s="865"/>
      <c r="O209" s="865"/>
      <c r="P209" s="720"/>
      <c r="Q209" s="21"/>
      <c r="R209" s="865"/>
      <c r="S209" s="859"/>
      <c r="T209" s="872"/>
      <c r="U209" s="862"/>
      <c r="V209" s="859"/>
    </row>
    <row r="210" spans="1:22">
      <c r="A210" s="339"/>
      <c r="B210" s="21"/>
      <c r="C210" s="352"/>
      <c r="D210" s="21"/>
      <c r="E210" s="865"/>
      <c r="F210" s="21"/>
      <c r="G210" s="21"/>
      <c r="H210" s="871"/>
      <c r="I210" s="177"/>
      <c r="J210" s="320"/>
      <c r="K210" s="21"/>
      <c r="L210" s="21"/>
      <c r="M210" s="855"/>
      <c r="N210" s="865"/>
      <c r="O210" s="865"/>
      <c r="P210" s="720"/>
      <c r="Q210" s="21"/>
      <c r="R210" s="865"/>
      <c r="S210" s="859"/>
      <c r="T210" s="872"/>
      <c r="U210" s="862"/>
      <c r="V210" s="859"/>
    </row>
    <row r="211" spans="1:22">
      <c r="A211" s="339"/>
      <c r="B211" s="21"/>
      <c r="C211" s="352"/>
      <c r="D211" s="21"/>
      <c r="E211" s="865"/>
      <c r="F211" s="21"/>
      <c r="G211" s="21"/>
      <c r="H211" s="871"/>
      <c r="I211" s="177"/>
      <c r="J211" s="320"/>
      <c r="K211" s="21"/>
      <c r="L211" s="21"/>
      <c r="M211" s="855"/>
      <c r="N211" s="865"/>
      <c r="O211" s="865"/>
      <c r="P211" s="720"/>
      <c r="Q211" s="21"/>
      <c r="R211" s="865"/>
      <c r="S211" s="859"/>
      <c r="T211" s="872"/>
      <c r="U211" s="862"/>
      <c r="V211" s="859"/>
    </row>
    <row r="212" spans="1:22">
      <c r="A212" s="339"/>
      <c r="B212" s="21"/>
      <c r="C212" s="352"/>
      <c r="D212" s="21"/>
      <c r="E212" s="865"/>
      <c r="F212" s="21"/>
      <c r="G212" s="21"/>
      <c r="H212" s="871"/>
      <c r="I212" s="177"/>
      <c r="J212" s="320"/>
      <c r="K212" s="21"/>
      <c r="L212" s="21"/>
      <c r="M212" s="855"/>
      <c r="N212" s="865"/>
      <c r="O212" s="865"/>
      <c r="P212" s="720"/>
      <c r="Q212" s="21"/>
      <c r="R212" s="865"/>
      <c r="S212" s="859"/>
      <c r="T212" s="872"/>
      <c r="U212" s="862"/>
      <c r="V212" s="859"/>
    </row>
    <row r="213" spans="1:22">
      <c r="A213" s="339"/>
      <c r="B213" s="21"/>
      <c r="C213" s="352"/>
      <c r="D213" s="21"/>
      <c r="E213" s="865"/>
      <c r="F213" s="21"/>
      <c r="G213" s="21"/>
      <c r="H213" s="871"/>
      <c r="I213" s="177"/>
      <c r="J213" s="320"/>
      <c r="K213" s="21"/>
      <c r="L213" s="21"/>
      <c r="M213" s="855"/>
      <c r="N213" s="865"/>
      <c r="O213" s="865"/>
      <c r="P213" s="720"/>
      <c r="Q213" s="21"/>
      <c r="R213" s="865"/>
      <c r="S213" s="859"/>
      <c r="T213" s="872"/>
      <c r="U213" s="862"/>
      <c r="V213" s="859"/>
    </row>
    <row r="214" spans="1:22">
      <c r="A214" s="339"/>
      <c r="B214" s="21"/>
      <c r="C214" s="352"/>
      <c r="D214" s="21"/>
      <c r="E214" s="865"/>
      <c r="F214" s="21"/>
      <c r="G214" s="21"/>
      <c r="H214" s="871"/>
      <c r="I214" s="177"/>
      <c r="J214" s="320"/>
      <c r="K214" s="21"/>
      <c r="L214" s="21"/>
      <c r="M214" s="855"/>
      <c r="N214" s="865"/>
      <c r="O214" s="865"/>
      <c r="P214" s="720"/>
      <c r="Q214" s="21"/>
      <c r="R214" s="865"/>
      <c r="S214" s="859"/>
      <c r="T214" s="872"/>
      <c r="U214" s="862"/>
      <c r="V214" s="859"/>
    </row>
    <row r="215" spans="1:22">
      <c r="A215" s="339"/>
      <c r="B215" s="21"/>
      <c r="C215" s="352"/>
      <c r="D215" s="21"/>
      <c r="E215" s="865"/>
      <c r="F215" s="21"/>
      <c r="G215" s="21"/>
      <c r="H215" s="871"/>
      <c r="I215" s="177"/>
      <c r="J215" s="320"/>
      <c r="K215" s="21"/>
      <c r="L215" s="21"/>
      <c r="M215" s="855"/>
      <c r="N215" s="865"/>
      <c r="O215" s="865"/>
      <c r="P215" s="720"/>
      <c r="Q215" s="21"/>
      <c r="R215" s="865"/>
      <c r="S215" s="859"/>
      <c r="T215" s="872"/>
      <c r="U215" s="862"/>
      <c r="V215" s="859"/>
    </row>
    <row r="216" spans="1:22">
      <c r="A216" s="339"/>
      <c r="B216" s="21"/>
      <c r="C216" s="352"/>
      <c r="D216" s="21"/>
      <c r="E216" s="865"/>
      <c r="F216" s="21"/>
      <c r="G216" s="21"/>
      <c r="H216" s="871"/>
      <c r="I216" s="177"/>
      <c r="J216" s="320"/>
      <c r="K216" s="21"/>
      <c r="L216" s="21"/>
      <c r="M216" s="855"/>
      <c r="N216" s="865"/>
      <c r="O216" s="865"/>
      <c r="P216" s="720"/>
      <c r="Q216" s="21"/>
      <c r="R216" s="865"/>
      <c r="S216" s="859"/>
      <c r="T216" s="872"/>
      <c r="U216" s="862"/>
      <c r="V216" s="859"/>
    </row>
    <row r="217" spans="1:22">
      <c r="A217" s="339"/>
      <c r="B217" s="21"/>
      <c r="C217" s="352"/>
      <c r="D217" s="21"/>
      <c r="E217" s="865"/>
      <c r="F217" s="21"/>
      <c r="G217" s="21"/>
      <c r="H217" s="871"/>
      <c r="I217" s="177"/>
      <c r="J217" s="320"/>
      <c r="K217" s="21"/>
      <c r="L217" s="21"/>
      <c r="M217" s="855"/>
      <c r="N217" s="865"/>
      <c r="O217" s="865"/>
      <c r="P217" s="720"/>
      <c r="Q217" s="21"/>
      <c r="R217" s="865"/>
      <c r="S217" s="859"/>
      <c r="T217" s="872"/>
      <c r="U217" s="862"/>
      <c r="V217" s="859"/>
    </row>
    <row r="218" spans="1:22">
      <c r="A218" s="339"/>
      <c r="B218" s="21"/>
      <c r="C218" s="352"/>
      <c r="D218" s="21"/>
      <c r="E218" s="865"/>
      <c r="F218" s="21"/>
      <c r="G218" s="21"/>
      <c r="H218" s="871"/>
      <c r="I218" s="177"/>
      <c r="J218" s="320"/>
      <c r="K218" s="21"/>
      <c r="L218" s="21"/>
      <c r="M218" s="855"/>
      <c r="N218" s="865"/>
      <c r="O218" s="865"/>
      <c r="P218" s="720"/>
      <c r="Q218" s="21"/>
      <c r="R218" s="865"/>
      <c r="S218" s="859"/>
      <c r="T218" s="872"/>
      <c r="U218" s="862"/>
      <c r="V218" s="859"/>
    </row>
    <row r="219" spans="1:22">
      <c r="A219" s="339"/>
      <c r="B219" s="21"/>
      <c r="C219" s="352"/>
      <c r="D219" s="21"/>
      <c r="E219" s="865"/>
      <c r="F219" s="21"/>
      <c r="G219" s="21"/>
      <c r="H219" s="871"/>
      <c r="I219" s="177"/>
      <c r="J219" s="320"/>
      <c r="K219" s="21"/>
      <c r="L219" s="21"/>
      <c r="M219" s="855"/>
      <c r="N219" s="865"/>
      <c r="O219" s="865"/>
      <c r="P219" s="720"/>
      <c r="Q219" s="21"/>
      <c r="R219" s="865"/>
      <c r="S219" s="859"/>
      <c r="T219" s="872"/>
      <c r="U219" s="862"/>
      <c r="V219" s="859"/>
    </row>
    <row r="220" spans="1:22">
      <c r="A220" s="339"/>
      <c r="B220" s="21"/>
      <c r="C220" s="352"/>
      <c r="D220" s="21"/>
      <c r="E220" s="865"/>
      <c r="F220" s="21"/>
      <c r="G220" s="21"/>
      <c r="H220" s="871"/>
      <c r="I220" s="177"/>
      <c r="J220" s="320"/>
      <c r="K220" s="21"/>
      <c r="L220" s="21"/>
      <c r="M220" s="855"/>
      <c r="N220" s="865"/>
      <c r="O220" s="865"/>
      <c r="P220" s="720"/>
      <c r="Q220" s="21"/>
      <c r="R220" s="865"/>
      <c r="S220" s="859"/>
      <c r="T220" s="872"/>
      <c r="U220" s="862"/>
      <c r="V220" s="859"/>
    </row>
    <row r="221" spans="1:22">
      <c r="A221" s="339"/>
      <c r="B221" s="21"/>
      <c r="C221" s="352"/>
      <c r="D221" s="21"/>
      <c r="E221" s="865"/>
      <c r="F221" s="21"/>
      <c r="G221" s="21"/>
      <c r="H221" s="871"/>
      <c r="I221" s="177"/>
      <c r="J221" s="320"/>
      <c r="K221" s="21"/>
      <c r="L221" s="21"/>
      <c r="M221" s="855"/>
      <c r="N221" s="865"/>
      <c r="O221" s="865"/>
      <c r="P221" s="720"/>
      <c r="Q221" s="21"/>
      <c r="R221" s="865"/>
      <c r="S221" s="859"/>
      <c r="T221" s="872"/>
      <c r="U221" s="862"/>
      <c r="V221" s="859"/>
    </row>
    <row r="222" spans="1:22">
      <c r="A222" s="339"/>
      <c r="B222" s="21"/>
      <c r="C222" s="352"/>
      <c r="D222" s="21"/>
      <c r="E222" s="865"/>
      <c r="F222" s="21"/>
      <c r="G222" s="21"/>
      <c r="H222" s="871"/>
      <c r="I222" s="177"/>
      <c r="J222" s="320"/>
      <c r="K222" s="21"/>
      <c r="L222" s="21"/>
      <c r="M222" s="855"/>
      <c r="N222" s="865"/>
      <c r="O222" s="865"/>
      <c r="P222" s="720"/>
      <c r="Q222" s="21"/>
      <c r="R222" s="865"/>
      <c r="S222" s="859"/>
      <c r="T222" s="872"/>
      <c r="U222" s="862"/>
      <c r="V222" s="859"/>
    </row>
    <row r="223" spans="1:22">
      <c r="A223" s="340"/>
      <c r="B223" s="22"/>
      <c r="C223" s="353"/>
      <c r="D223" s="22"/>
      <c r="E223" s="866"/>
      <c r="F223" s="22"/>
      <c r="G223" s="22"/>
      <c r="H223" s="873"/>
      <c r="I223" s="179"/>
      <c r="J223" s="321"/>
      <c r="K223" s="22"/>
      <c r="L223" s="22"/>
      <c r="M223" s="857"/>
      <c r="N223" s="866"/>
      <c r="O223" s="866"/>
      <c r="P223" s="721"/>
      <c r="Q223" s="22"/>
      <c r="R223" s="866"/>
      <c r="S223" s="860"/>
      <c r="T223" s="874"/>
      <c r="U223" s="863"/>
      <c r="V223" s="860"/>
    </row>
  </sheetData>
  <autoFilter ref="A12:AE100"/>
  <dataConsolidate/>
  <mergeCells count="18">
    <mergeCell ref="A1:C1"/>
    <mergeCell ref="AA3:AA4"/>
    <mergeCell ref="AB3:AD3"/>
    <mergeCell ref="M52:M53"/>
    <mergeCell ref="M54:M64"/>
    <mergeCell ref="P11:Q11"/>
    <mergeCell ref="R11:R12"/>
    <mergeCell ref="S11:S12"/>
    <mergeCell ref="M65:M66"/>
    <mergeCell ref="AE3:AE4"/>
    <mergeCell ref="A11:A12"/>
    <mergeCell ref="B11:B12"/>
    <mergeCell ref="C11:C12"/>
    <mergeCell ref="D11:D12"/>
    <mergeCell ref="E11:E12"/>
    <mergeCell ref="N11:N12"/>
    <mergeCell ref="T11:T12"/>
    <mergeCell ref="X11:X12"/>
  </mergeCells>
  <dataValidations count="2">
    <dataValidation type="list" allowBlank="1" showInputMessage="1" showErrorMessage="1" sqref="R13:R33 R54:R87">
      <formula1>"Measurement, Material"</formula1>
    </dataValidation>
    <dataValidation type="list" allowBlank="1" showInputMessage="1" showErrorMessage="1" sqref="D1:D1048576">
      <formula1>"Commercial, Non-commercial"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3"/>
  <sheetViews>
    <sheetView topLeftCell="A10" zoomScaleNormal="100" workbookViewId="0">
      <pane xSplit="5" ySplit="3" topLeftCell="K61" activePane="bottomRight" state="frozen"/>
      <selection activeCell="A10" sqref="A10"/>
      <selection pane="topRight" activeCell="F10" sqref="F10"/>
      <selection pane="bottomLeft" activeCell="A13" sqref="A13"/>
      <selection pane="bottomRight" activeCell="A67" sqref="A67:V155"/>
    </sheetView>
  </sheetViews>
  <sheetFormatPr defaultRowHeight="15"/>
  <cols>
    <col min="1" max="1" width="4.5703125" style="156" bestFit="1" customWidth="1"/>
    <col min="2" max="2" width="11.28515625" customWidth="1"/>
    <col min="3" max="3" width="10.85546875" style="350" customWidth="1"/>
    <col min="4" max="4" width="10.85546875" customWidth="1"/>
    <col min="5" max="5" width="14" style="9" customWidth="1"/>
    <col min="6" max="6" width="28.85546875" bestFit="1" customWidth="1"/>
    <col min="7" max="7" width="46.5703125" bestFit="1" customWidth="1"/>
    <col min="8" max="8" width="6.85546875" customWidth="1"/>
    <col min="9" max="9" width="4.42578125" style="153" customWidth="1"/>
    <col min="10" max="10" width="8.85546875" style="267" customWidth="1"/>
    <col min="11" max="11" width="9.42578125" customWidth="1"/>
    <col min="12" max="12" width="13" hidden="1" customWidth="1"/>
    <col min="13" max="13" width="12.42578125" style="162" customWidth="1"/>
    <col min="14" max="14" width="13.7109375" style="9" customWidth="1"/>
    <col min="15" max="15" width="32.140625" style="9" hidden="1" customWidth="1"/>
    <col min="16" max="16" width="23.85546875" style="717" hidden="1" customWidth="1"/>
    <col min="17" max="17" width="15.5703125" hidden="1" customWidth="1"/>
    <col min="18" max="18" width="17.7109375" style="9" customWidth="1"/>
    <col min="19" max="19" width="16.7109375" style="7" customWidth="1"/>
    <col min="20" max="20" width="18.7109375" style="404" customWidth="1"/>
    <col min="21" max="21" width="20.85546875" style="238" customWidth="1"/>
    <col min="22" max="22" width="15.140625" style="7" customWidth="1"/>
    <col min="24" max="24" width="16.7109375" customWidth="1"/>
    <col min="25" max="25" width="14.42578125" customWidth="1"/>
    <col min="26" max="26" width="13.7109375" customWidth="1"/>
    <col min="27" max="27" width="19.7109375" bestFit="1" customWidth="1"/>
    <col min="28" max="30" width="11" customWidth="1"/>
    <col min="31" max="31" width="13.28515625" customWidth="1"/>
    <col min="32" max="32" width="16.140625" customWidth="1"/>
  </cols>
  <sheetData>
    <row r="1" spans="1:31" ht="34.5" customHeight="1">
      <c r="A1" s="1023">
        <v>43891</v>
      </c>
      <c r="B1" s="1023"/>
      <c r="C1" s="1023"/>
      <c r="D1" s="2"/>
      <c r="E1" s="697"/>
      <c r="F1" s="2"/>
      <c r="G1" s="2"/>
      <c r="H1" s="2"/>
      <c r="I1" s="152"/>
      <c r="J1" s="152"/>
      <c r="K1" s="2"/>
      <c r="L1" s="2"/>
      <c r="M1" s="160"/>
      <c r="N1" s="697"/>
      <c r="O1" s="697"/>
      <c r="P1" s="713"/>
      <c r="Q1" s="2"/>
      <c r="R1" s="697"/>
      <c r="S1" s="697"/>
      <c r="T1" s="2"/>
      <c r="U1" s="233"/>
    </row>
    <row r="2" spans="1:31" ht="34.5" customHeight="1">
      <c r="A2" s="157"/>
      <c r="B2" s="44"/>
      <c r="C2" s="349"/>
      <c r="D2" s="2"/>
      <c r="E2" s="697"/>
      <c r="F2" s="2"/>
      <c r="G2" s="2"/>
      <c r="H2" s="2"/>
      <c r="I2" s="152"/>
      <c r="J2" s="152"/>
      <c r="K2" s="2"/>
      <c r="L2" s="2"/>
      <c r="M2" s="160"/>
      <c r="N2" s="697"/>
      <c r="O2" s="697"/>
      <c r="P2" s="713"/>
      <c r="Q2" s="2"/>
      <c r="R2" s="697"/>
      <c r="S2" s="697"/>
      <c r="T2" s="2"/>
      <c r="U2" s="233"/>
    </row>
    <row r="3" spans="1:31" ht="54.75" customHeight="1">
      <c r="A3" s="157"/>
      <c r="B3" s="44"/>
      <c r="C3" s="349"/>
      <c r="D3" s="2"/>
      <c r="E3" s="697"/>
      <c r="F3" s="2"/>
      <c r="G3" s="2"/>
      <c r="H3" s="2"/>
      <c r="I3" s="152"/>
      <c r="J3" s="152"/>
      <c r="K3" s="2"/>
      <c r="L3" s="2"/>
      <c r="M3" s="160"/>
      <c r="N3" s="698" t="s">
        <v>0</v>
      </c>
      <c r="O3" s="699" t="s">
        <v>16</v>
      </c>
      <c r="P3" s="714" t="s">
        <v>27</v>
      </c>
      <c r="Q3" s="699" t="s">
        <v>14</v>
      </c>
      <c r="R3" s="699" t="s">
        <v>31</v>
      </c>
      <c r="S3" s="699" t="s">
        <v>203</v>
      </c>
      <c r="T3" s="155" t="s">
        <v>46</v>
      </c>
      <c r="U3" s="234" t="s">
        <v>45</v>
      </c>
      <c r="AA3" s="1024" t="s">
        <v>14</v>
      </c>
      <c r="AB3" s="1026" t="s">
        <v>3</v>
      </c>
      <c r="AC3" s="1027"/>
      <c r="AD3" s="1028"/>
      <c r="AE3" s="1009" t="s">
        <v>21</v>
      </c>
    </row>
    <row r="4" spans="1:31" ht="46.5" customHeight="1">
      <c r="A4" s="157"/>
      <c r="B4" s="44"/>
      <c r="C4" s="349"/>
      <c r="D4" s="2"/>
      <c r="E4" s="697"/>
      <c r="F4" s="2"/>
      <c r="G4" s="2"/>
      <c r="H4" s="2"/>
      <c r="I4" s="152"/>
      <c r="J4" s="152"/>
      <c r="K4" s="2"/>
      <c r="L4" s="2"/>
      <c r="M4" s="160"/>
      <c r="N4" s="32">
        <v>1</v>
      </c>
      <c r="O4" s="32" t="s">
        <v>28</v>
      </c>
      <c r="P4" s="715">
        <v>7</v>
      </c>
      <c r="Q4" s="32" t="s">
        <v>24</v>
      </c>
      <c r="R4" s="32" t="s">
        <v>32</v>
      </c>
      <c r="S4" s="32" t="s">
        <v>4</v>
      </c>
      <c r="T4" s="101"/>
      <c r="U4" s="235" t="s">
        <v>178</v>
      </c>
      <c r="AA4" s="1025"/>
      <c r="AB4" s="118" t="s">
        <v>20</v>
      </c>
      <c r="AC4" s="119" t="s">
        <v>22</v>
      </c>
      <c r="AD4" s="120" t="s">
        <v>23</v>
      </c>
      <c r="AE4" s="1010"/>
    </row>
    <row r="5" spans="1:31" ht="48.75" customHeight="1">
      <c r="A5" s="157"/>
      <c r="B5" s="44"/>
      <c r="C5" s="349"/>
      <c r="D5" s="2"/>
      <c r="E5" s="697"/>
      <c r="F5" s="697"/>
      <c r="G5" s="2"/>
      <c r="H5" s="2"/>
      <c r="I5" s="152"/>
      <c r="J5" s="152"/>
      <c r="K5" s="2"/>
      <c r="L5" s="2"/>
      <c r="M5" s="160"/>
      <c r="N5" s="61">
        <v>2</v>
      </c>
      <c r="O5" s="61" t="s">
        <v>180</v>
      </c>
      <c r="P5" s="716">
        <v>4</v>
      </c>
      <c r="Q5" s="61" t="s">
        <v>24</v>
      </c>
      <c r="R5" s="61" t="s">
        <v>32</v>
      </c>
      <c r="S5" s="61" t="s">
        <v>7</v>
      </c>
      <c r="T5" s="403"/>
      <c r="U5" s="236" t="s">
        <v>178</v>
      </c>
      <c r="AA5" s="121" t="s">
        <v>24</v>
      </c>
      <c r="AB5" s="121"/>
      <c r="AC5" s="121"/>
      <c r="AD5" s="121"/>
      <c r="AE5" s="121">
        <f>SUM(AB5:AD5)</f>
        <v>0</v>
      </c>
    </row>
    <row r="6" spans="1:31" ht="37.5" customHeight="1">
      <c r="A6" s="157"/>
      <c r="B6" s="44"/>
      <c r="C6" s="349"/>
      <c r="D6" s="2"/>
      <c r="E6" s="697"/>
      <c r="F6" s="2"/>
      <c r="G6" s="2"/>
      <c r="H6" s="2"/>
      <c r="I6" s="152"/>
      <c r="J6" s="152"/>
      <c r="K6" s="2"/>
      <c r="L6" s="2"/>
      <c r="M6" s="160"/>
      <c r="N6" s="32">
        <v>3</v>
      </c>
      <c r="O6" s="32" t="s">
        <v>217</v>
      </c>
      <c r="P6" s="715">
        <v>1</v>
      </c>
      <c r="Q6" s="32" t="s">
        <v>218</v>
      </c>
      <c r="R6" s="32" t="s">
        <v>32</v>
      </c>
      <c r="S6" s="32"/>
      <c r="T6" s="101" t="s">
        <v>29</v>
      </c>
      <c r="U6" s="235" t="s">
        <v>29</v>
      </c>
      <c r="AA6" s="124" t="s">
        <v>171</v>
      </c>
      <c r="AB6" s="61"/>
      <c r="AC6" s="124"/>
      <c r="AD6" s="61"/>
      <c r="AE6" s="61">
        <f>+AB6+AC6+AD6</f>
        <v>0</v>
      </c>
    </row>
    <row r="7" spans="1:31" ht="38.25" customHeight="1">
      <c r="A7" s="157"/>
      <c r="B7" s="44"/>
      <c r="C7" s="349"/>
      <c r="D7" s="2"/>
      <c r="E7" s="697"/>
      <c r="F7" s="2"/>
      <c r="G7" s="2"/>
      <c r="H7" s="2"/>
      <c r="I7" s="152"/>
      <c r="J7" s="152"/>
      <c r="K7" s="2"/>
      <c r="L7" s="2"/>
      <c r="M7" s="160"/>
      <c r="N7" s="61"/>
      <c r="O7" s="61"/>
      <c r="P7" s="716"/>
      <c r="Q7" s="61"/>
      <c r="R7" s="61"/>
      <c r="S7" s="61"/>
      <c r="T7" s="403"/>
      <c r="U7" s="236"/>
      <c r="AA7" s="121" t="s">
        <v>21</v>
      </c>
      <c r="AB7" s="121">
        <f>AB5+AB6</f>
        <v>0</v>
      </c>
      <c r="AC7" s="121">
        <f>AC5+AC6</f>
        <v>0</v>
      </c>
      <c r="AD7" s="121">
        <f>AD5+AD6</f>
        <v>0</v>
      </c>
      <c r="AE7" s="121">
        <f>AE5+AE6</f>
        <v>0</v>
      </c>
    </row>
    <row r="8" spans="1:31" ht="34.5" customHeight="1">
      <c r="A8" s="157"/>
      <c r="B8" s="44"/>
      <c r="C8" s="349"/>
      <c r="D8" s="2"/>
      <c r="E8" s="697"/>
      <c r="F8" s="2"/>
      <c r="G8" s="2"/>
      <c r="H8" s="2"/>
      <c r="I8" s="152"/>
      <c r="J8" s="152"/>
      <c r="K8" s="2"/>
      <c r="L8" s="2"/>
      <c r="M8" s="160"/>
      <c r="N8" s="32"/>
      <c r="O8" s="32"/>
      <c r="P8" s="715"/>
      <c r="Q8" s="32"/>
      <c r="R8" s="32"/>
      <c r="S8" s="32"/>
      <c r="T8" s="101"/>
      <c r="U8" s="235"/>
      <c r="AB8" s="138" t="e">
        <f>+AB7/$AE$7</f>
        <v>#DIV/0!</v>
      </c>
      <c r="AC8" s="138" t="e">
        <f t="shared" ref="AC8:AD8" si="0">+AC7/$AE$7</f>
        <v>#DIV/0!</v>
      </c>
      <c r="AD8" s="138" t="e">
        <f t="shared" si="0"/>
        <v>#DIV/0!</v>
      </c>
    </row>
    <row r="9" spans="1:31" ht="34.5" customHeight="1">
      <c r="A9" s="157"/>
      <c r="B9" s="44"/>
      <c r="C9" s="349"/>
      <c r="D9" s="2"/>
      <c r="E9" s="697"/>
      <c r="F9" s="2"/>
      <c r="G9" s="2"/>
      <c r="H9" s="2"/>
      <c r="I9" s="152"/>
      <c r="J9" s="152"/>
      <c r="K9" s="2"/>
      <c r="L9" s="2"/>
      <c r="M9" s="160"/>
      <c r="N9" s="697"/>
      <c r="O9" s="697"/>
      <c r="P9" s="713"/>
      <c r="Q9" s="2"/>
      <c r="R9" s="697"/>
      <c r="S9" s="697"/>
      <c r="T9" s="2"/>
      <c r="U9" s="233"/>
    </row>
    <row r="10" spans="1:31" ht="26.25" customHeight="1">
      <c r="A10" s="762"/>
      <c r="B10" s="763"/>
      <c r="C10" s="764"/>
      <c r="D10" s="763"/>
      <c r="E10" s="765"/>
      <c r="F10" s="763"/>
      <c r="G10" s="763"/>
      <c r="H10" s="763"/>
      <c r="I10" s="766"/>
      <c r="J10" s="767"/>
      <c r="K10" s="763"/>
      <c r="L10" s="763"/>
      <c r="N10" s="765"/>
      <c r="O10" s="765"/>
      <c r="P10" s="768"/>
      <c r="Q10" s="763"/>
      <c r="R10" s="765"/>
      <c r="S10" s="769"/>
      <c r="T10" s="770" t="s">
        <v>198</v>
      </c>
      <c r="U10" s="237">
        <v>23230</v>
      </c>
      <c r="V10" s="769"/>
    </row>
    <row r="11" spans="1:31" ht="30" customHeight="1">
      <c r="A11" s="1011" t="s">
        <v>0</v>
      </c>
      <c r="B11" s="1013" t="s">
        <v>1</v>
      </c>
      <c r="C11" s="1015" t="s">
        <v>13</v>
      </c>
      <c r="D11" s="1013" t="s">
        <v>14</v>
      </c>
      <c r="E11" s="1013" t="s">
        <v>37</v>
      </c>
      <c r="F11" s="365" t="s">
        <v>9</v>
      </c>
      <c r="G11" s="366"/>
      <c r="H11" s="366"/>
      <c r="I11" s="366"/>
      <c r="J11" s="366"/>
      <c r="K11" s="366"/>
      <c r="L11" s="366"/>
      <c r="M11" s="367"/>
      <c r="N11" s="1017" t="s">
        <v>5</v>
      </c>
      <c r="O11" s="155" t="s">
        <v>205</v>
      </c>
      <c r="P11" s="1032" t="s">
        <v>10</v>
      </c>
      <c r="Q11" s="1033"/>
      <c r="R11" s="1034" t="s">
        <v>203</v>
      </c>
      <c r="S11" s="1013" t="s">
        <v>2</v>
      </c>
      <c r="T11" s="1019" t="s">
        <v>35</v>
      </c>
      <c r="U11" s="761" t="s">
        <v>190</v>
      </c>
      <c r="V11" s="760" t="s">
        <v>184</v>
      </c>
      <c r="X11" s="1021" t="s">
        <v>206</v>
      </c>
    </row>
    <row r="12" spans="1:31" ht="23.25" customHeight="1">
      <c r="A12" s="1012"/>
      <c r="B12" s="1014"/>
      <c r="C12" s="1016"/>
      <c r="D12" s="1014"/>
      <c r="E12" s="1014"/>
      <c r="F12" s="151" t="s">
        <v>15</v>
      </c>
      <c r="G12" s="151" t="s">
        <v>16</v>
      </c>
      <c r="H12" s="151" t="s">
        <v>193</v>
      </c>
      <c r="I12" s="154" t="s">
        <v>195</v>
      </c>
      <c r="J12" s="268" t="s">
        <v>194</v>
      </c>
      <c r="K12" s="151" t="s">
        <v>195</v>
      </c>
      <c r="L12" s="151" t="s">
        <v>21</v>
      </c>
      <c r="M12" s="161" t="s">
        <v>34</v>
      </c>
      <c r="N12" s="1018"/>
      <c r="O12" s="158"/>
      <c r="P12" s="718" t="s">
        <v>17</v>
      </c>
      <c r="Q12" s="758" t="s">
        <v>3</v>
      </c>
      <c r="R12" s="1013"/>
      <c r="S12" s="1014"/>
      <c r="T12" s="1020"/>
      <c r="U12" s="452"/>
      <c r="V12" s="759"/>
      <c r="X12" s="1022"/>
    </row>
    <row r="13" spans="1:31" ht="15.75">
      <c r="A13" s="771">
        <v>79</v>
      </c>
      <c r="B13" s="772" t="s">
        <v>797</v>
      </c>
      <c r="C13" s="773">
        <v>44138</v>
      </c>
      <c r="D13" s="774" t="s">
        <v>24</v>
      </c>
      <c r="E13" s="775" t="s">
        <v>805</v>
      </c>
      <c r="F13" s="776" t="s">
        <v>798</v>
      </c>
      <c r="G13" s="777" t="s">
        <v>351</v>
      </c>
      <c r="H13" s="778">
        <v>18</v>
      </c>
      <c r="I13" s="779" t="s">
        <v>207</v>
      </c>
      <c r="J13" s="780">
        <v>7</v>
      </c>
      <c r="K13" s="781" t="s">
        <v>197</v>
      </c>
      <c r="L13" s="782">
        <f>H13*J13</f>
        <v>126</v>
      </c>
      <c r="M13" s="1007">
        <v>22</v>
      </c>
      <c r="N13" s="773">
        <v>44138</v>
      </c>
      <c r="O13" s="197" t="s">
        <v>219</v>
      </c>
      <c r="P13" s="783">
        <v>310537962450</v>
      </c>
      <c r="Q13" s="784" t="s">
        <v>806</v>
      </c>
      <c r="R13" s="197" t="s">
        <v>4</v>
      </c>
      <c r="S13" s="785" t="s">
        <v>178</v>
      </c>
      <c r="T13" s="785" t="s">
        <v>178</v>
      </c>
      <c r="U13" s="1042">
        <f>223.05*23230</f>
        <v>5181451.5</v>
      </c>
      <c r="V13" s="785"/>
      <c r="X13" s="239">
        <f t="shared" ref="X13:X29" si="1">L13/1000</f>
        <v>0.126</v>
      </c>
    </row>
    <row r="14" spans="1:31" ht="15.75">
      <c r="A14" s="786">
        <v>79</v>
      </c>
      <c r="B14" s="787" t="s">
        <v>797</v>
      </c>
      <c r="C14" s="788">
        <v>44138</v>
      </c>
      <c r="D14" s="789" t="s">
        <v>24</v>
      </c>
      <c r="E14" s="790" t="s">
        <v>805</v>
      </c>
      <c r="F14" s="791" t="s">
        <v>799</v>
      </c>
      <c r="G14" s="792" t="s">
        <v>637</v>
      </c>
      <c r="H14" s="793">
        <v>3</v>
      </c>
      <c r="I14" s="779" t="s">
        <v>207</v>
      </c>
      <c r="J14" s="794">
        <v>4</v>
      </c>
      <c r="K14" s="795" t="s">
        <v>197</v>
      </c>
      <c r="L14" s="796">
        <f t="shared" ref="L14:L66" si="2">H14*J14</f>
        <v>12</v>
      </c>
      <c r="M14" s="1038"/>
      <c r="N14" s="788">
        <v>44138</v>
      </c>
      <c r="O14" s="198" t="s">
        <v>219</v>
      </c>
      <c r="P14" s="797">
        <v>310537962450</v>
      </c>
      <c r="Q14" s="798" t="s">
        <v>806</v>
      </c>
      <c r="R14" s="198" t="s">
        <v>4</v>
      </c>
      <c r="S14" s="799" t="s">
        <v>178</v>
      </c>
      <c r="T14" s="799" t="s">
        <v>178</v>
      </c>
      <c r="U14" s="1047"/>
      <c r="V14" s="799"/>
      <c r="X14" s="239">
        <f t="shared" si="1"/>
        <v>1.2E-2</v>
      </c>
    </row>
    <row r="15" spans="1:31" ht="15.75">
      <c r="A15" s="786">
        <v>79</v>
      </c>
      <c r="B15" s="787" t="s">
        <v>797</v>
      </c>
      <c r="C15" s="788">
        <v>44138</v>
      </c>
      <c r="D15" s="789" t="s">
        <v>24</v>
      </c>
      <c r="E15" s="790" t="s">
        <v>805</v>
      </c>
      <c r="F15" s="791" t="s">
        <v>800</v>
      </c>
      <c r="G15" s="792" t="s">
        <v>803</v>
      </c>
      <c r="H15" s="793">
        <v>3</v>
      </c>
      <c r="I15" s="779" t="s">
        <v>207</v>
      </c>
      <c r="J15" s="794">
        <v>2</v>
      </c>
      <c r="K15" s="795" t="s">
        <v>197</v>
      </c>
      <c r="L15" s="796">
        <f t="shared" si="2"/>
        <v>6</v>
      </c>
      <c r="M15" s="1038"/>
      <c r="N15" s="788">
        <v>44138</v>
      </c>
      <c r="O15" s="198" t="s">
        <v>219</v>
      </c>
      <c r="P15" s="797">
        <v>310537962450</v>
      </c>
      <c r="Q15" s="798" t="s">
        <v>806</v>
      </c>
      <c r="R15" s="198" t="s">
        <v>4</v>
      </c>
      <c r="S15" s="799" t="s">
        <v>178</v>
      </c>
      <c r="T15" s="799" t="s">
        <v>178</v>
      </c>
      <c r="U15" s="1047"/>
      <c r="V15" s="799"/>
      <c r="X15" s="239">
        <f t="shared" si="1"/>
        <v>6.0000000000000001E-3</v>
      </c>
    </row>
    <row r="16" spans="1:31" ht="15.75">
      <c r="A16" s="786">
        <v>79</v>
      </c>
      <c r="B16" s="787" t="s">
        <v>797</v>
      </c>
      <c r="C16" s="788">
        <v>44138</v>
      </c>
      <c r="D16" s="789" t="s">
        <v>24</v>
      </c>
      <c r="E16" s="790" t="s">
        <v>805</v>
      </c>
      <c r="F16" s="791" t="s">
        <v>374</v>
      </c>
      <c r="G16" s="792" t="s">
        <v>637</v>
      </c>
      <c r="H16" s="793">
        <v>3</v>
      </c>
      <c r="I16" s="779" t="s">
        <v>207</v>
      </c>
      <c r="J16" s="794">
        <v>4</v>
      </c>
      <c r="K16" s="795" t="s">
        <v>197</v>
      </c>
      <c r="L16" s="796">
        <f t="shared" si="2"/>
        <v>12</v>
      </c>
      <c r="M16" s="1038"/>
      <c r="N16" s="788">
        <v>44138</v>
      </c>
      <c r="O16" s="198" t="s">
        <v>219</v>
      </c>
      <c r="P16" s="797">
        <v>310537962450</v>
      </c>
      <c r="Q16" s="798" t="s">
        <v>806</v>
      </c>
      <c r="R16" s="198" t="s">
        <v>4</v>
      </c>
      <c r="S16" s="799" t="s">
        <v>178</v>
      </c>
      <c r="T16" s="799" t="s">
        <v>178</v>
      </c>
      <c r="U16" s="1047"/>
      <c r="V16" s="799"/>
      <c r="X16" s="239">
        <f t="shared" si="1"/>
        <v>1.2E-2</v>
      </c>
    </row>
    <row r="17" spans="1:24" ht="15.75">
      <c r="A17" s="786">
        <v>79</v>
      </c>
      <c r="B17" s="787" t="s">
        <v>797</v>
      </c>
      <c r="C17" s="788">
        <v>44138</v>
      </c>
      <c r="D17" s="789" t="s">
        <v>24</v>
      </c>
      <c r="E17" s="790" t="s">
        <v>805</v>
      </c>
      <c r="F17" s="791" t="s">
        <v>790</v>
      </c>
      <c r="G17" s="792" t="s">
        <v>804</v>
      </c>
      <c r="H17" s="793">
        <v>6</v>
      </c>
      <c r="I17" s="779" t="s">
        <v>207</v>
      </c>
      <c r="J17" s="794">
        <v>4</v>
      </c>
      <c r="K17" s="795" t="s">
        <v>197</v>
      </c>
      <c r="L17" s="796">
        <f t="shared" si="2"/>
        <v>24</v>
      </c>
      <c r="M17" s="1038"/>
      <c r="N17" s="788">
        <v>44138</v>
      </c>
      <c r="O17" s="198" t="s">
        <v>219</v>
      </c>
      <c r="P17" s="797">
        <v>310537962450</v>
      </c>
      <c r="Q17" s="798" t="s">
        <v>806</v>
      </c>
      <c r="R17" s="198" t="s">
        <v>4</v>
      </c>
      <c r="S17" s="799" t="s">
        <v>178</v>
      </c>
      <c r="T17" s="799" t="s">
        <v>178</v>
      </c>
      <c r="U17" s="1047"/>
      <c r="V17" s="799"/>
      <c r="X17" s="239">
        <f t="shared" si="1"/>
        <v>2.4E-2</v>
      </c>
    </row>
    <row r="18" spans="1:24" ht="15.75">
      <c r="A18" s="786">
        <v>79</v>
      </c>
      <c r="B18" s="787" t="s">
        <v>797</v>
      </c>
      <c r="C18" s="788">
        <v>44138</v>
      </c>
      <c r="D18" s="789" t="s">
        <v>24</v>
      </c>
      <c r="E18" s="790" t="s">
        <v>805</v>
      </c>
      <c r="F18" s="791" t="s">
        <v>801</v>
      </c>
      <c r="G18" s="792" t="s">
        <v>179</v>
      </c>
      <c r="H18" s="793">
        <v>7</v>
      </c>
      <c r="I18" s="779" t="s">
        <v>207</v>
      </c>
      <c r="J18" s="794">
        <v>2</v>
      </c>
      <c r="K18" s="795" t="s">
        <v>197</v>
      </c>
      <c r="L18" s="796">
        <f t="shared" si="2"/>
        <v>14</v>
      </c>
      <c r="M18" s="1038"/>
      <c r="N18" s="788">
        <v>44138</v>
      </c>
      <c r="O18" s="198" t="s">
        <v>219</v>
      </c>
      <c r="P18" s="797">
        <v>310537962450</v>
      </c>
      <c r="Q18" s="798" t="s">
        <v>806</v>
      </c>
      <c r="R18" s="198" t="s">
        <v>4</v>
      </c>
      <c r="S18" s="799" t="s">
        <v>178</v>
      </c>
      <c r="T18" s="799" t="s">
        <v>178</v>
      </c>
      <c r="U18" s="1047"/>
      <c r="V18" s="799"/>
      <c r="X18" s="239">
        <f t="shared" si="1"/>
        <v>1.4E-2</v>
      </c>
    </row>
    <row r="19" spans="1:24" ht="15.75">
      <c r="A19" s="801">
        <v>79</v>
      </c>
      <c r="B19" s="802" t="s">
        <v>797</v>
      </c>
      <c r="C19" s="803">
        <v>44138</v>
      </c>
      <c r="D19" s="804" t="s">
        <v>24</v>
      </c>
      <c r="E19" s="805" t="s">
        <v>805</v>
      </c>
      <c r="F19" s="806" t="s">
        <v>802</v>
      </c>
      <c r="G19" s="807" t="s">
        <v>179</v>
      </c>
      <c r="H19" s="808">
        <v>6</v>
      </c>
      <c r="I19" s="779" t="s">
        <v>207</v>
      </c>
      <c r="J19" s="809">
        <v>2</v>
      </c>
      <c r="K19" s="810" t="s">
        <v>197</v>
      </c>
      <c r="L19" s="811">
        <f t="shared" si="2"/>
        <v>12</v>
      </c>
      <c r="M19" s="1008"/>
      <c r="N19" s="803">
        <v>44138</v>
      </c>
      <c r="O19" s="201" t="s">
        <v>219</v>
      </c>
      <c r="P19" s="812">
        <v>310537962450</v>
      </c>
      <c r="Q19" s="813" t="s">
        <v>806</v>
      </c>
      <c r="R19" s="201" t="s">
        <v>4</v>
      </c>
      <c r="S19" s="814" t="s">
        <v>178</v>
      </c>
      <c r="T19" s="814" t="s">
        <v>178</v>
      </c>
      <c r="U19" s="1043"/>
      <c r="V19" s="814"/>
      <c r="X19" s="239">
        <f t="shared" si="1"/>
        <v>1.2E-2</v>
      </c>
    </row>
    <row r="20" spans="1:24" ht="15.75">
      <c r="A20" s="771">
        <v>80</v>
      </c>
      <c r="B20" s="772" t="s">
        <v>807</v>
      </c>
      <c r="C20" s="773">
        <v>44141</v>
      </c>
      <c r="D20" s="774" t="s">
        <v>24</v>
      </c>
      <c r="E20" s="775" t="s">
        <v>808</v>
      </c>
      <c r="F20" s="776" t="s">
        <v>525</v>
      </c>
      <c r="G20" s="777" t="s">
        <v>204</v>
      </c>
      <c r="H20" s="778">
        <v>2</v>
      </c>
      <c r="I20" s="779" t="s">
        <v>207</v>
      </c>
      <c r="J20" s="780">
        <v>10</v>
      </c>
      <c r="K20" s="781" t="s">
        <v>197</v>
      </c>
      <c r="L20" s="782">
        <f t="shared" si="2"/>
        <v>20</v>
      </c>
      <c r="M20" s="1007">
        <v>20.5</v>
      </c>
      <c r="N20" s="773">
        <v>44141</v>
      </c>
      <c r="O20" s="197" t="s">
        <v>219</v>
      </c>
      <c r="P20" s="783"/>
      <c r="Q20" s="784" t="s">
        <v>806</v>
      </c>
      <c r="R20" s="197" t="s">
        <v>4</v>
      </c>
      <c r="S20" s="785" t="s">
        <v>178</v>
      </c>
      <c r="T20" s="785" t="s">
        <v>178</v>
      </c>
      <c r="U20" s="1042">
        <f>203.88*23230</f>
        <v>4736132.3999999994</v>
      </c>
      <c r="V20" s="785"/>
      <c r="X20" s="239">
        <f t="shared" si="1"/>
        <v>0.02</v>
      </c>
    </row>
    <row r="21" spans="1:24" ht="15.75">
      <c r="A21" s="801">
        <v>80</v>
      </c>
      <c r="B21" s="802" t="s">
        <v>807</v>
      </c>
      <c r="C21" s="803">
        <v>44141</v>
      </c>
      <c r="D21" s="804" t="s">
        <v>24</v>
      </c>
      <c r="E21" s="805" t="s">
        <v>808</v>
      </c>
      <c r="F21" s="806" t="s">
        <v>809</v>
      </c>
      <c r="G21" s="807" t="s">
        <v>810</v>
      </c>
      <c r="H21" s="808">
        <v>18</v>
      </c>
      <c r="I21" s="779" t="s">
        <v>207</v>
      </c>
      <c r="J21" s="809">
        <v>5</v>
      </c>
      <c r="K21" s="810" t="s">
        <v>197</v>
      </c>
      <c r="L21" s="811">
        <f t="shared" si="2"/>
        <v>90</v>
      </c>
      <c r="M21" s="1008"/>
      <c r="N21" s="803">
        <v>44142</v>
      </c>
      <c r="O21" s="201" t="s">
        <v>219</v>
      </c>
      <c r="P21" s="812"/>
      <c r="Q21" s="813" t="s">
        <v>806</v>
      </c>
      <c r="R21" s="201" t="s">
        <v>4</v>
      </c>
      <c r="S21" s="814" t="s">
        <v>178</v>
      </c>
      <c r="T21" s="814" t="s">
        <v>178</v>
      </c>
      <c r="U21" s="1043"/>
      <c r="V21" s="814"/>
      <c r="X21" s="239">
        <f t="shared" si="1"/>
        <v>0.09</v>
      </c>
    </row>
    <row r="22" spans="1:24" ht="15.75">
      <c r="A22" s="786">
        <v>81</v>
      </c>
      <c r="B22" s="787" t="s">
        <v>813</v>
      </c>
      <c r="C22" s="788">
        <v>44144</v>
      </c>
      <c r="D22" s="789" t="s">
        <v>24</v>
      </c>
      <c r="E22" s="790" t="s">
        <v>855</v>
      </c>
      <c r="F22" s="791" t="s">
        <v>811</v>
      </c>
      <c r="G22" s="815" t="s">
        <v>812</v>
      </c>
      <c r="H22" s="793">
        <v>4</v>
      </c>
      <c r="I22" s="779" t="s">
        <v>207</v>
      </c>
      <c r="J22" s="794">
        <v>9.58</v>
      </c>
      <c r="K22" s="795" t="s">
        <v>197</v>
      </c>
      <c r="L22" s="796">
        <f t="shared" si="2"/>
        <v>38.32</v>
      </c>
      <c r="M22" s="757">
        <v>8</v>
      </c>
      <c r="N22" s="788">
        <v>44144</v>
      </c>
      <c r="O22" s="198" t="s">
        <v>219</v>
      </c>
      <c r="P22" s="797"/>
      <c r="Q22" s="816"/>
      <c r="R22" s="198" t="s">
        <v>4</v>
      </c>
      <c r="S22" s="799" t="s">
        <v>178</v>
      </c>
      <c r="T22" s="799" t="s">
        <v>178</v>
      </c>
      <c r="U22" s="800">
        <f>153.9*23230</f>
        <v>3575097</v>
      </c>
      <c r="V22" s="799"/>
      <c r="X22" s="239">
        <f t="shared" si="1"/>
        <v>3.832E-2</v>
      </c>
    </row>
    <row r="23" spans="1:24" ht="15.75">
      <c r="A23" s="771">
        <v>82</v>
      </c>
      <c r="B23" s="772" t="s">
        <v>821</v>
      </c>
      <c r="C23" s="773">
        <v>44148</v>
      </c>
      <c r="D23" s="774" t="s">
        <v>24</v>
      </c>
      <c r="E23" s="775" t="s">
        <v>822</v>
      </c>
      <c r="F23" s="817" t="s">
        <v>814</v>
      </c>
      <c r="G23" s="818" t="s">
        <v>156</v>
      </c>
      <c r="H23" s="778">
        <v>1</v>
      </c>
      <c r="I23" s="779" t="s">
        <v>207</v>
      </c>
      <c r="J23" s="819">
        <v>2.5</v>
      </c>
      <c r="K23" s="781" t="s">
        <v>197</v>
      </c>
      <c r="L23" s="782">
        <f t="shared" si="2"/>
        <v>2.5</v>
      </c>
      <c r="M23" s="1007">
        <v>10.23</v>
      </c>
      <c r="N23" s="773">
        <v>44148</v>
      </c>
      <c r="O23" s="197" t="s">
        <v>219</v>
      </c>
      <c r="P23" s="783">
        <v>310542613250</v>
      </c>
      <c r="Q23" s="784" t="s">
        <v>806</v>
      </c>
      <c r="R23" s="197" t="s">
        <v>4</v>
      </c>
      <c r="S23" s="785" t="s">
        <v>178</v>
      </c>
      <c r="T23" s="785" t="s">
        <v>178</v>
      </c>
      <c r="U23" s="1042">
        <f>119.95*U10</f>
        <v>2786438.5</v>
      </c>
      <c r="V23" s="785"/>
      <c r="X23" s="239">
        <f t="shared" si="1"/>
        <v>2.5000000000000001E-3</v>
      </c>
    </row>
    <row r="24" spans="1:24" ht="15.75">
      <c r="A24" s="786">
        <v>82</v>
      </c>
      <c r="B24" s="787" t="s">
        <v>821</v>
      </c>
      <c r="C24" s="773">
        <v>44148</v>
      </c>
      <c r="D24" s="789" t="s">
        <v>24</v>
      </c>
      <c r="E24" s="790" t="s">
        <v>822</v>
      </c>
      <c r="F24" s="820" t="s">
        <v>815</v>
      </c>
      <c r="G24" s="821" t="s">
        <v>156</v>
      </c>
      <c r="H24" s="793">
        <v>1</v>
      </c>
      <c r="I24" s="779" t="s">
        <v>207</v>
      </c>
      <c r="J24" s="822">
        <v>2.5</v>
      </c>
      <c r="K24" s="795" t="s">
        <v>197</v>
      </c>
      <c r="L24" s="796">
        <f t="shared" si="2"/>
        <v>2.5</v>
      </c>
      <c r="M24" s="1038"/>
      <c r="N24" s="788">
        <v>44148</v>
      </c>
      <c r="O24" s="198" t="s">
        <v>219</v>
      </c>
      <c r="P24" s="797">
        <v>310542613250</v>
      </c>
      <c r="Q24" s="798"/>
      <c r="R24" s="198" t="s">
        <v>4</v>
      </c>
      <c r="S24" s="799" t="s">
        <v>178</v>
      </c>
      <c r="T24" s="799" t="s">
        <v>178</v>
      </c>
      <c r="U24" s="1047"/>
      <c r="V24" s="799"/>
      <c r="X24" s="239">
        <f t="shared" si="1"/>
        <v>2.5000000000000001E-3</v>
      </c>
    </row>
    <row r="25" spans="1:24" ht="15.75">
      <c r="A25" s="786">
        <v>82</v>
      </c>
      <c r="B25" s="787" t="s">
        <v>821</v>
      </c>
      <c r="C25" s="773">
        <v>44148</v>
      </c>
      <c r="D25" s="789" t="s">
        <v>24</v>
      </c>
      <c r="E25" s="790" t="s">
        <v>822</v>
      </c>
      <c r="F25" s="820" t="s">
        <v>816</v>
      </c>
      <c r="G25" s="821" t="s">
        <v>156</v>
      </c>
      <c r="H25" s="793">
        <v>2</v>
      </c>
      <c r="I25" s="779" t="s">
        <v>207</v>
      </c>
      <c r="J25" s="822">
        <v>2.5</v>
      </c>
      <c r="K25" s="795" t="s">
        <v>197</v>
      </c>
      <c r="L25" s="796">
        <f t="shared" si="2"/>
        <v>5</v>
      </c>
      <c r="M25" s="1038"/>
      <c r="N25" s="788">
        <v>44148</v>
      </c>
      <c r="O25" s="198" t="s">
        <v>219</v>
      </c>
      <c r="P25" s="797">
        <v>310542613250</v>
      </c>
      <c r="Q25" s="798"/>
      <c r="R25" s="198" t="s">
        <v>4</v>
      </c>
      <c r="S25" s="799" t="s">
        <v>178</v>
      </c>
      <c r="T25" s="799" t="s">
        <v>178</v>
      </c>
      <c r="U25" s="1047"/>
      <c r="V25" s="799"/>
      <c r="X25" s="239">
        <f t="shared" si="1"/>
        <v>5.0000000000000001E-3</v>
      </c>
    </row>
    <row r="26" spans="1:24" ht="15.75">
      <c r="A26" s="786">
        <v>82</v>
      </c>
      <c r="B26" s="787" t="s">
        <v>821</v>
      </c>
      <c r="C26" s="773">
        <v>44148</v>
      </c>
      <c r="D26" s="789" t="s">
        <v>24</v>
      </c>
      <c r="E26" s="790" t="s">
        <v>822</v>
      </c>
      <c r="F26" s="820" t="s">
        <v>817</v>
      </c>
      <c r="G26" s="821" t="s">
        <v>752</v>
      </c>
      <c r="H26" s="793">
        <v>2</v>
      </c>
      <c r="I26" s="779" t="s">
        <v>207</v>
      </c>
      <c r="J26" s="822">
        <v>13.83</v>
      </c>
      <c r="K26" s="795" t="s">
        <v>197</v>
      </c>
      <c r="L26" s="796">
        <f t="shared" si="2"/>
        <v>27.66</v>
      </c>
      <c r="M26" s="1038"/>
      <c r="N26" s="788">
        <v>44148</v>
      </c>
      <c r="O26" s="198" t="s">
        <v>219</v>
      </c>
      <c r="P26" s="797">
        <v>310542613250</v>
      </c>
      <c r="Q26" s="823"/>
      <c r="R26" s="198" t="s">
        <v>4</v>
      </c>
      <c r="S26" s="799" t="s">
        <v>178</v>
      </c>
      <c r="T26" s="799" t="s">
        <v>178</v>
      </c>
      <c r="U26" s="1047"/>
      <c r="V26" s="799"/>
      <c r="X26" s="239">
        <f t="shared" si="1"/>
        <v>2.7660000000000001E-2</v>
      </c>
    </row>
    <row r="27" spans="1:24" ht="15.75">
      <c r="A27" s="786">
        <v>82</v>
      </c>
      <c r="B27" s="787" t="s">
        <v>821</v>
      </c>
      <c r="C27" s="773">
        <v>44148</v>
      </c>
      <c r="D27" s="789" t="s">
        <v>24</v>
      </c>
      <c r="E27" s="790" t="s">
        <v>822</v>
      </c>
      <c r="F27" s="820" t="s">
        <v>756</v>
      </c>
      <c r="G27" s="821" t="s">
        <v>204</v>
      </c>
      <c r="H27" s="793">
        <v>2</v>
      </c>
      <c r="I27" s="779" t="s">
        <v>207</v>
      </c>
      <c r="J27" s="822">
        <v>9</v>
      </c>
      <c r="K27" s="795" t="s">
        <v>197</v>
      </c>
      <c r="L27" s="796">
        <f t="shared" si="2"/>
        <v>18</v>
      </c>
      <c r="M27" s="1038"/>
      <c r="N27" s="788">
        <v>44148</v>
      </c>
      <c r="O27" s="198" t="s">
        <v>219</v>
      </c>
      <c r="P27" s="797">
        <v>310542613250</v>
      </c>
      <c r="Q27" s="798"/>
      <c r="R27" s="198" t="s">
        <v>4</v>
      </c>
      <c r="S27" s="799" t="s">
        <v>178</v>
      </c>
      <c r="T27" s="799" t="s">
        <v>178</v>
      </c>
      <c r="U27" s="1047"/>
      <c r="V27" s="799"/>
      <c r="X27" s="239">
        <f t="shared" si="1"/>
        <v>1.7999999999999999E-2</v>
      </c>
    </row>
    <row r="28" spans="1:24" ht="15.75">
      <c r="A28" s="786">
        <v>82</v>
      </c>
      <c r="B28" s="787" t="s">
        <v>821</v>
      </c>
      <c r="C28" s="773">
        <v>44148</v>
      </c>
      <c r="D28" s="789" t="s">
        <v>24</v>
      </c>
      <c r="E28" s="790" t="s">
        <v>822</v>
      </c>
      <c r="F28" s="824" t="s">
        <v>818</v>
      </c>
      <c r="G28" s="825" t="s">
        <v>637</v>
      </c>
      <c r="H28" s="793">
        <v>1</v>
      </c>
      <c r="I28" s="779" t="s">
        <v>207</v>
      </c>
      <c r="J28" s="794">
        <v>4</v>
      </c>
      <c r="K28" s="795" t="s">
        <v>197</v>
      </c>
      <c r="L28" s="796">
        <f t="shared" si="2"/>
        <v>4</v>
      </c>
      <c r="M28" s="1038"/>
      <c r="N28" s="788">
        <v>44148</v>
      </c>
      <c r="O28" s="198" t="s">
        <v>219</v>
      </c>
      <c r="P28" s="797">
        <v>310542613250</v>
      </c>
      <c r="Q28" s="798"/>
      <c r="R28" s="198" t="s">
        <v>4</v>
      </c>
      <c r="S28" s="799" t="s">
        <v>178</v>
      </c>
      <c r="T28" s="799" t="s">
        <v>178</v>
      </c>
      <c r="U28" s="1047"/>
      <c r="V28" s="799"/>
      <c r="X28" s="239">
        <f t="shared" si="1"/>
        <v>4.0000000000000001E-3</v>
      </c>
    </row>
    <row r="29" spans="1:24" ht="15.75">
      <c r="A29" s="786">
        <v>82</v>
      </c>
      <c r="B29" s="787" t="s">
        <v>821</v>
      </c>
      <c r="C29" s="773">
        <v>44148</v>
      </c>
      <c r="D29" s="789" t="s">
        <v>24</v>
      </c>
      <c r="E29" s="790" t="s">
        <v>822</v>
      </c>
      <c r="F29" s="824" t="s">
        <v>819</v>
      </c>
      <c r="G29" s="825" t="s">
        <v>820</v>
      </c>
      <c r="H29" s="793">
        <v>1</v>
      </c>
      <c r="I29" s="779" t="s">
        <v>207</v>
      </c>
      <c r="J29" s="794">
        <v>3</v>
      </c>
      <c r="K29" s="795" t="s">
        <v>197</v>
      </c>
      <c r="L29" s="796">
        <f t="shared" si="2"/>
        <v>3</v>
      </c>
      <c r="M29" s="1038"/>
      <c r="N29" s="788">
        <v>44148</v>
      </c>
      <c r="O29" s="198" t="s">
        <v>219</v>
      </c>
      <c r="P29" s="797">
        <v>310542613250</v>
      </c>
      <c r="Q29" s="798"/>
      <c r="R29" s="198" t="s">
        <v>4</v>
      </c>
      <c r="S29" s="799" t="s">
        <v>178</v>
      </c>
      <c r="T29" s="799" t="s">
        <v>178</v>
      </c>
      <c r="U29" s="1043"/>
      <c r="V29" s="799"/>
      <c r="X29" s="239">
        <f t="shared" si="1"/>
        <v>3.0000000000000001E-3</v>
      </c>
    </row>
    <row r="30" spans="1:24" ht="15.75">
      <c r="A30" s="771">
        <v>83</v>
      </c>
      <c r="B30" s="772" t="s">
        <v>823</v>
      </c>
      <c r="C30" s="773">
        <v>44152</v>
      </c>
      <c r="D30" s="774" t="s">
        <v>24</v>
      </c>
      <c r="E30" s="775" t="s">
        <v>856</v>
      </c>
      <c r="F30" s="818" t="s">
        <v>318</v>
      </c>
      <c r="G30" s="817" t="s">
        <v>156</v>
      </c>
      <c r="H30" s="778">
        <v>9</v>
      </c>
      <c r="I30" s="779" t="s">
        <v>207</v>
      </c>
      <c r="J30" s="819">
        <v>2.5</v>
      </c>
      <c r="K30" s="781" t="s">
        <v>197</v>
      </c>
      <c r="L30" s="782">
        <f t="shared" si="2"/>
        <v>22.5</v>
      </c>
      <c r="M30" s="1029">
        <v>48</v>
      </c>
      <c r="N30" s="773">
        <v>44152</v>
      </c>
      <c r="O30" s="197" t="s">
        <v>219</v>
      </c>
      <c r="P30" s="783">
        <v>303591478650</v>
      </c>
      <c r="Q30" s="784" t="s">
        <v>806</v>
      </c>
      <c r="R30" s="197" t="s">
        <v>4</v>
      </c>
      <c r="S30" s="785" t="s">
        <v>178</v>
      </c>
      <c r="T30" s="785" t="s">
        <v>178</v>
      </c>
      <c r="U30" s="1044">
        <f>416.35*U10</f>
        <v>9671810.5</v>
      </c>
      <c r="V30" s="785"/>
      <c r="X30" s="239">
        <f t="shared" ref="X30" si="3">L30/1000</f>
        <v>2.2499999999999999E-2</v>
      </c>
    </row>
    <row r="31" spans="1:24" ht="15.75">
      <c r="A31" s="786">
        <v>83</v>
      </c>
      <c r="B31" s="787" t="s">
        <v>823</v>
      </c>
      <c r="C31" s="773">
        <v>44152</v>
      </c>
      <c r="D31" s="789" t="s">
        <v>24</v>
      </c>
      <c r="E31" s="790" t="s">
        <v>856</v>
      </c>
      <c r="F31" s="821" t="s">
        <v>824</v>
      </c>
      <c r="G31" s="820" t="s">
        <v>156</v>
      </c>
      <c r="H31" s="793">
        <v>9</v>
      </c>
      <c r="I31" s="779" t="s">
        <v>207</v>
      </c>
      <c r="J31" s="822">
        <v>2.5</v>
      </c>
      <c r="K31" s="795" t="s">
        <v>197</v>
      </c>
      <c r="L31" s="796">
        <f t="shared" si="2"/>
        <v>22.5</v>
      </c>
      <c r="M31" s="1030"/>
      <c r="N31" s="788">
        <v>44152</v>
      </c>
      <c r="O31" s="198" t="s">
        <v>219</v>
      </c>
      <c r="P31" s="797">
        <v>303591478650</v>
      </c>
      <c r="Q31" s="798" t="s">
        <v>806</v>
      </c>
      <c r="R31" s="198" t="s">
        <v>4</v>
      </c>
      <c r="S31" s="799" t="s">
        <v>178</v>
      </c>
      <c r="T31" s="799" t="s">
        <v>178</v>
      </c>
      <c r="U31" s="1045"/>
      <c r="V31" s="799"/>
    </row>
    <row r="32" spans="1:24" ht="15.75">
      <c r="A32" s="786">
        <v>83</v>
      </c>
      <c r="B32" s="787" t="s">
        <v>823</v>
      </c>
      <c r="C32" s="773">
        <v>44152</v>
      </c>
      <c r="D32" s="789" t="s">
        <v>24</v>
      </c>
      <c r="E32" s="790" t="s">
        <v>856</v>
      </c>
      <c r="F32" s="821" t="s">
        <v>825</v>
      </c>
      <c r="G32" s="820" t="s">
        <v>156</v>
      </c>
      <c r="H32" s="793">
        <v>9</v>
      </c>
      <c r="I32" s="779" t="s">
        <v>207</v>
      </c>
      <c r="J32" s="822">
        <v>2.5</v>
      </c>
      <c r="K32" s="795" t="s">
        <v>197</v>
      </c>
      <c r="L32" s="796">
        <f t="shared" si="2"/>
        <v>22.5</v>
      </c>
      <c r="M32" s="1030"/>
      <c r="N32" s="788">
        <v>44152</v>
      </c>
      <c r="O32" s="198" t="s">
        <v>219</v>
      </c>
      <c r="P32" s="797">
        <v>303591478650</v>
      </c>
      <c r="Q32" s="798" t="s">
        <v>806</v>
      </c>
      <c r="R32" s="198" t="s">
        <v>4</v>
      </c>
      <c r="S32" s="799" t="s">
        <v>178</v>
      </c>
      <c r="T32" s="799" t="s">
        <v>178</v>
      </c>
      <c r="U32" s="1045"/>
      <c r="V32" s="799"/>
    </row>
    <row r="33" spans="1:22" ht="15.75">
      <c r="A33" s="786">
        <v>83</v>
      </c>
      <c r="B33" s="787" t="s">
        <v>823</v>
      </c>
      <c r="C33" s="773">
        <v>44152</v>
      </c>
      <c r="D33" s="789" t="s">
        <v>24</v>
      </c>
      <c r="E33" s="790" t="s">
        <v>856</v>
      </c>
      <c r="F33" s="821" t="s">
        <v>626</v>
      </c>
      <c r="G33" s="820" t="s">
        <v>416</v>
      </c>
      <c r="H33" s="793">
        <v>1</v>
      </c>
      <c r="I33" s="779" t="s">
        <v>207</v>
      </c>
      <c r="J33" s="822">
        <v>15</v>
      </c>
      <c r="K33" s="795" t="s">
        <v>197</v>
      </c>
      <c r="L33" s="796">
        <f t="shared" si="2"/>
        <v>15</v>
      </c>
      <c r="M33" s="1030"/>
      <c r="N33" s="788">
        <v>44152</v>
      </c>
      <c r="O33" s="198" t="s">
        <v>219</v>
      </c>
      <c r="P33" s="797">
        <v>303591478650</v>
      </c>
      <c r="Q33" s="798" t="s">
        <v>806</v>
      </c>
      <c r="R33" s="198" t="s">
        <v>4</v>
      </c>
      <c r="S33" s="799" t="s">
        <v>178</v>
      </c>
      <c r="T33" s="799" t="s">
        <v>178</v>
      </c>
      <c r="U33" s="1045"/>
      <c r="V33" s="799"/>
    </row>
    <row r="34" spans="1:22" ht="15.75">
      <c r="A34" s="786">
        <v>83</v>
      </c>
      <c r="B34" s="787" t="s">
        <v>823</v>
      </c>
      <c r="C34" s="773">
        <v>44152</v>
      </c>
      <c r="D34" s="789" t="s">
        <v>24</v>
      </c>
      <c r="E34" s="790" t="s">
        <v>856</v>
      </c>
      <c r="F34" s="821" t="s">
        <v>626</v>
      </c>
      <c r="G34" s="820" t="s">
        <v>416</v>
      </c>
      <c r="H34" s="793">
        <v>3</v>
      </c>
      <c r="I34" s="779" t="s">
        <v>207</v>
      </c>
      <c r="J34" s="822">
        <v>15</v>
      </c>
      <c r="K34" s="795" t="s">
        <v>197</v>
      </c>
      <c r="L34" s="796">
        <f t="shared" si="2"/>
        <v>45</v>
      </c>
      <c r="M34" s="1030"/>
      <c r="N34" s="788">
        <v>44152</v>
      </c>
      <c r="O34" s="198" t="s">
        <v>219</v>
      </c>
      <c r="P34" s="797">
        <v>303591478650</v>
      </c>
      <c r="Q34" s="798" t="s">
        <v>806</v>
      </c>
      <c r="R34" s="198" t="s">
        <v>4</v>
      </c>
      <c r="S34" s="799" t="s">
        <v>178</v>
      </c>
      <c r="T34" s="799" t="s">
        <v>178</v>
      </c>
      <c r="U34" s="1045"/>
      <c r="V34" s="799"/>
    </row>
    <row r="35" spans="1:22" ht="15.75">
      <c r="A35" s="786">
        <v>83</v>
      </c>
      <c r="B35" s="787" t="s">
        <v>823</v>
      </c>
      <c r="C35" s="773">
        <v>44152</v>
      </c>
      <c r="D35" s="789" t="s">
        <v>24</v>
      </c>
      <c r="E35" s="790" t="s">
        <v>856</v>
      </c>
      <c r="F35" s="825" t="s">
        <v>626</v>
      </c>
      <c r="G35" s="824" t="s">
        <v>416</v>
      </c>
      <c r="H35" s="793">
        <v>3</v>
      </c>
      <c r="I35" s="779" t="s">
        <v>207</v>
      </c>
      <c r="J35" s="794">
        <v>15</v>
      </c>
      <c r="K35" s="795" t="s">
        <v>197</v>
      </c>
      <c r="L35" s="796">
        <f t="shared" si="2"/>
        <v>45</v>
      </c>
      <c r="M35" s="1030"/>
      <c r="N35" s="788">
        <v>44152</v>
      </c>
      <c r="O35" s="198" t="s">
        <v>219</v>
      </c>
      <c r="P35" s="797">
        <v>303591478650</v>
      </c>
      <c r="Q35" s="798" t="s">
        <v>806</v>
      </c>
      <c r="R35" s="198" t="s">
        <v>4</v>
      </c>
      <c r="S35" s="799" t="s">
        <v>178</v>
      </c>
      <c r="T35" s="799" t="s">
        <v>178</v>
      </c>
      <c r="U35" s="1045"/>
      <c r="V35" s="799"/>
    </row>
    <row r="36" spans="1:22" ht="15.75">
      <c r="A36" s="786">
        <v>83</v>
      </c>
      <c r="B36" s="787" t="s">
        <v>823</v>
      </c>
      <c r="C36" s="773">
        <v>44152</v>
      </c>
      <c r="D36" s="789" t="s">
        <v>24</v>
      </c>
      <c r="E36" s="790" t="s">
        <v>856</v>
      </c>
      <c r="F36" s="825" t="s">
        <v>626</v>
      </c>
      <c r="G36" s="824" t="s">
        <v>416</v>
      </c>
      <c r="H36" s="793">
        <v>3</v>
      </c>
      <c r="I36" s="779" t="s">
        <v>207</v>
      </c>
      <c r="J36" s="794">
        <v>15</v>
      </c>
      <c r="K36" s="795" t="s">
        <v>197</v>
      </c>
      <c r="L36" s="796">
        <f t="shared" si="2"/>
        <v>45</v>
      </c>
      <c r="M36" s="1030"/>
      <c r="N36" s="788">
        <v>44152</v>
      </c>
      <c r="O36" s="198" t="s">
        <v>219</v>
      </c>
      <c r="P36" s="797">
        <v>303591478650</v>
      </c>
      <c r="Q36" s="798" t="s">
        <v>806</v>
      </c>
      <c r="R36" s="198" t="s">
        <v>4</v>
      </c>
      <c r="S36" s="799" t="s">
        <v>178</v>
      </c>
      <c r="T36" s="799" t="s">
        <v>178</v>
      </c>
      <c r="U36" s="1045"/>
      <c r="V36" s="799"/>
    </row>
    <row r="37" spans="1:22" ht="15.75">
      <c r="A37" s="801">
        <v>83</v>
      </c>
      <c r="B37" s="802" t="s">
        <v>823</v>
      </c>
      <c r="C37" s="773">
        <v>44152</v>
      </c>
      <c r="D37" s="804" t="s">
        <v>24</v>
      </c>
      <c r="E37" s="805" t="s">
        <v>856</v>
      </c>
      <c r="F37" s="826" t="s">
        <v>826</v>
      </c>
      <c r="G37" s="827" t="s">
        <v>827</v>
      </c>
      <c r="H37" s="808">
        <v>1</v>
      </c>
      <c r="I37" s="779" t="s">
        <v>207</v>
      </c>
      <c r="J37" s="809">
        <v>3</v>
      </c>
      <c r="K37" s="810" t="s">
        <v>197</v>
      </c>
      <c r="L37" s="811">
        <f t="shared" si="2"/>
        <v>3</v>
      </c>
      <c r="M37" s="1031"/>
      <c r="N37" s="803">
        <v>44152</v>
      </c>
      <c r="O37" s="201" t="s">
        <v>219</v>
      </c>
      <c r="P37" s="812">
        <v>303591478650</v>
      </c>
      <c r="Q37" s="813" t="s">
        <v>806</v>
      </c>
      <c r="R37" s="201" t="s">
        <v>4</v>
      </c>
      <c r="S37" s="814" t="s">
        <v>178</v>
      </c>
      <c r="T37" s="814" t="s">
        <v>178</v>
      </c>
      <c r="U37" s="1046"/>
      <c r="V37" s="814"/>
    </row>
    <row r="38" spans="1:22" ht="15.75">
      <c r="A38" s="786">
        <v>84</v>
      </c>
      <c r="B38" s="787" t="s">
        <v>828</v>
      </c>
      <c r="C38" s="788">
        <v>44159</v>
      </c>
      <c r="D38" s="789" t="s">
        <v>24</v>
      </c>
      <c r="E38" s="790" t="s">
        <v>840</v>
      </c>
      <c r="F38" s="821" t="s">
        <v>818</v>
      </c>
      <c r="G38" s="820" t="s">
        <v>637</v>
      </c>
      <c r="H38" s="793">
        <v>1</v>
      </c>
      <c r="I38" s="779" t="s">
        <v>207</v>
      </c>
      <c r="J38" s="822">
        <v>4</v>
      </c>
      <c r="K38" s="795" t="s">
        <v>197</v>
      </c>
      <c r="L38" s="796">
        <f t="shared" si="2"/>
        <v>4</v>
      </c>
      <c r="M38" s="1030">
        <v>127</v>
      </c>
      <c r="N38" s="828">
        <v>44159</v>
      </c>
      <c r="O38" s="198" t="s">
        <v>219</v>
      </c>
      <c r="P38" s="797">
        <v>303606198360</v>
      </c>
      <c r="Q38" s="798" t="s">
        <v>841</v>
      </c>
      <c r="R38" s="198" t="s">
        <v>4</v>
      </c>
      <c r="S38" s="799" t="s">
        <v>178</v>
      </c>
      <c r="T38" s="799" t="s">
        <v>178</v>
      </c>
      <c r="U38" s="1042">
        <f>895.36*U10</f>
        <v>20799212.800000001</v>
      </c>
      <c r="V38" s="799"/>
    </row>
    <row r="39" spans="1:22" ht="15.75">
      <c r="A39" s="786">
        <v>84</v>
      </c>
      <c r="B39" s="787" t="s">
        <v>828</v>
      </c>
      <c r="C39" s="788">
        <v>44159</v>
      </c>
      <c r="D39" s="789" t="s">
        <v>24</v>
      </c>
      <c r="E39" s="790" t="s">
        <v>840</v>
      </c>
      <c r="F39" s="821" t="s">
        <v>819</v>
      </c>
      <c r="G39" s="820" t="s">
        <v>820</v>
      </c>
      <c r="H39" s="793">
        <v>1</v>
      </c>
      <c r="I39" s="779" t="s">
        <v>207</v>
      </c>
      <c r="J39" s="822">
        <v>3</v>
      </c>
      <c r="K39" s="795" t="s">
        <v>197</v>
      </c>
      <c r="L39" s="796">
        <f t="shared" si="2"/>
        <v>3</v>
      </c>
      <c r="M39" s="1030"/>
      <c r="N39" s="828">
        <v>44159</v>
      </c>
      <c r="O39" s="198" t="s">
        <v>219</v>
      </c>
      <c r="P39" s="797">
        <v>303606198360</v>
      </c>
      <c r="Q39" s="798" t="s">
        <v>841</v>
      </c>
      <c r="R39" s="198" t="s">
        <v>4</v>
      </c>
      <c r="S39" s="799" t="s">
        <v>178</v>
      </c>
      <c r="T39" s="799" t="s">
        <v>178</v>
      </c>
      <c r="U39" s="1047"/>
      <c r="V39" s="799"/>
    </row>
    <row r="40" spans="1:22" ht="15.75">
      <c r="A40" s="786">
        <v>84</v>
      </c>
      <c r="B40" s="787" t="s">
        <v>828</v>
      </c>
      <c r="C40" s="788">
        <v>44159</v>
      </c>
      <c r="D40" s="789" t="s">
        <v>24</v>
      </c>
      <c r="E40" s="790" t="s">
        <v>840</v>
      </c>
      <c r="F40" s="821" t="s">
        <v>756</v>
      </c>
      <c r="G40" s="820" t="s">
        <v>204</v>
      </c>
      <c r="H40" s="793">
        <v>1</v>
      </c>
      <c r="I40" s="779" t="s">
        <v>207</v>
      </c>
      <c r="J40" s="822">
        <v>9</v>
      </c>
      <c r="K40" s="795" t="s">
        <v>197</v>
      </c>
      <c r="L40" s="796">
        <f t="shared" si="2"/>
        <v>9</v>
      </c>
      <c r="M40" s="1030"/>
      <c r="N40" s="828">
        <v>44159</v>
      </c>
      <c r="O40" s="198" t="s">
        <v>219</v>
      </c>
      <c r="P40" s="797">
        <v>303606198360</v>
      </c>
      <c r="Q40" s="798" t="s">
        <v>841</v>
      </c>
      <c r="R40" s="198" t="s">
        <v>4</v>
      </c>
      <c r="S40" s="799" t="s">
        <v>178</v>
      </c>
      <c r="T40" s="799" t="s">
        <v>178</v>
      </c>
      <c r="U40" s="1047"/>
      <c r="V40" s="799"/>
    </row>
    <row r="41" spans="1:22" ht="15.75">
      <c r="A41" s="786">
        <v>84</v>
      </c>
      <c r="B41" s="787" t="s">
        <v>828</v>
      </c>
      <c r="C41" s="788">
        <v>44159</v>
      </c>
      <c r="D41" s="789" t="s">
        <v>24</v>
      </c>
      <c r="E41" s="790" t="s">
        <v>840</v>
      </c>
      <c r="F41" s="821" t="s">
        <v>274</v>
      </c>
      <c r="G41" s="820" t="s">
        <v>213</v>
      </c>
      <c r="H41" s="793">
        <v>12</v>
      </c>
      <c r="I41" s="779" t="s">
        <v>207</v>
      </c>
      <c r="J41" s="822">
        <v>11</v>
      </c>
      <c r="K41" s="795" t="s">
        <v>197</v>
      </c>
      <c r="L41" s="796">
        <f t="shared" si="2"/>
        <v>132</v>
      </c>
      <c r="M41" s="1030"/>
      <c r="N41" s="828">
        <v>44159</v>
      </c>
      <c r="O41" s="198" t="s">
        <v>219</v>
      </c>
      <c r="P41" s="797">
        <v>303606198360</v>
      </c>
      <c r="Q41" s="798" t="s">
        <v>841</v>
      </c>
      <c r="R41" s="198" t="s">
        <v>4</v>
      </c>
      <c r="S41" s="799" t="s">
        <v>178</v>
      </c>
      <c r="T41" s="799" t="s">
        <v>178</v>
      </c>
      <c r="U41" s="1047"/>
      <c r="V41" s="799"/>
    </row>
    <row r="42" spans="1:22" ht="15.75">
      <c r="A42" s="786">
        <v>84</v>
      </c>
      <c r="B42" s="787" t="s">
        <v>828</v>
      </c>
      <c r="C42" s="788">
        <v>44159</v>
      </c>
      <c r="D42" s="789" t="s">
        <v>24</v>
      </c>
      <c r="E42" s="790" t="s">
        <v>840</v>
      </c>
      <c r="F42" s="821" t="s">
        <v>273</v>
      </c>
      <c r="G42" s="820" t="s">
        <v>213</v>
      </c>
      <c r="H42" s="793">
        <v>14</v>
      </c>
      <c r="I42" s="779" t="s">
        <v>207</v>
      </c>
      <c r="J42" s="822">
        <v>11</v>
      </c>
      <c r="K42" s="795" t="s">
        <v>197</v>
      </c>
      <c r="L42" s="796">
        <f t="shared" si="2"/>
        <v>154</v>
      </c>
      <c r="M42" s="1030"/>
      <c r="N42" s="828">
        <v>44159</v>
      </c>
      <c r="O42" s="198" t="s">
        <v>219</v>
      </c>
      <c r="P42" s="797">
        <v>303606198360</v>
      </c>
      <c r="Q42" s="798" t="s">
        <v>841</v>
      </c>
      <c r="R42" s="198" t="s">
        <v>4</v>
      </c>
      <c r="S42" s="799" t="s">
        <v>178</v>
      </c>
      <c r="T42" s="799" t="s">
        <v>178</v>
      </c>
      <c r="U42" s="1047"/>
      <c r="V42" s="799"/>
    </row>
    <row r="43" spans="1:22" ht="15.75">
      <c r="A43" s="786">
        <v>84</v>
      </c>
      <c r="B43" s="787" t="s">
        <v>828</v>
      </c>
      <c r="C43" s="788">
        <v>44159</v>
      </c>
      <c r="D43" s="789" t="s">
        <v>24</v>
      </c>
      <c r="E43" s="790" t="s">
        <v>840</v>
      </c>
      <c r="F43" s="821" t="s">
        <v>817</v>
      </c>
      <c r="G43" s="820" t="s">
        <v>752</v>
      </c>
      <c r="H43" s="793">
        <v>2</v>
      </c>
      <c r="I43" s="779" t="s">
        <v>207</v>
      </c>
      <c r="J43" s="822">
        <v>13.83</v>
      </c>
      <c r="K43" s="795" t="s">
        <v>197</v>
      </c>
      <c r="L43" s="796">
        <f t="shared" si="2"/>
        <v>27.66</v>
      </c>
      <c r="M43" s="1030"/>
      <c r="N43" s="828">
        <v>44159</v>
      </c>
      <c r="O43" s="198" t="s">
        <v>219</v>
      </c>
      <c r="P43" s="797">
        <v>303606198360</v>
      </c>
      <c r="Q43" s="798" t="s">
        <v>841</v>
      </c>
      <c r="R43" s="198" t="s">
        <v>4</v>
      </c>
      <c r="S43" s="799" t="s">
        <v>178</v>
      </c>
      <c r="T43" s="799" t="s">
        <v>178</v>
      </c>
      <c r="U43" s="1047"/>
      <c r="V43" s="799"/>
    </row>
    <row r="44" spans="1:22" ht="15.75">
      <c r="A44" s="786">
        <v>84</v>
      </c>
      <c r="B44" s="787" t="s">
        <v>828</v>
      </c>
      <c r="C44" s="788">
        <v>44159</v>
      </c>
      <c r="D44" s="789" t="s">
        <v>24</v>
      </c>
      <c r="E44" s="790" t="s">
        <v>840</v>
      </c>
      <c r="F44" s="821" t="s">
        <v>829</v>
      </c>
      <c r="G44" s="820" t="s">
        <v>838</v>
      </c>
      <c r="H44" s="793">
        <v>2</v>
      </c>
      <c r="I44" s="779" t="s">
        <v>207</v>
      </c>
      <c r="J44" s="822">
        <v>3</v>
      </c>
      <c r="K44" s="795" t="s">
        <v>197</v>
      </c>
      <c r="L44" s="796">
        <f t="shared" si="2"/>
        <v>6</v>
      </c>
      <c r="M44" s="1030"/>
      <c r="N44" s="828">
        <v>44159</v>
      </c>
      <c r="O44" s="198" t="s">
        <v>219</v>
      </c>
      <c r="P44" s="797">
        <v>303606198360</v>
      </c>
      <c r="Q44" s="798" t="s">
        <v>841</v>
      </c>
      <c r="R44" s="198" t="s">
        <v>4</v>
      </c>
      <c r="S44" s="799" t="s">
        <v>178</v>
      </c>
      <c r="T44" s="799" t="s">
        <v>178</v>
      </c>
      <c r="U44" s="1047"/>
      <c r="V44" s="799"/>
    </row>
    <row r="45" spans="1:22" ht="15.75">
      <c r="A45" s="786">
        <v>84</v>
      </c>
      <c r="B45" s="787" t="s">
        <v>828</v>
      </c>
      <c r="C45" s="788">
        <v>44159</v>
      </c>
      <c r="D45" s="789" t="s">
        <v>24</v>
      </c>
      <c r="E45" s="790" t="s">
        <v>840</v>
      </c>
      <c r="F45" s="821" t="s">
        <v>830</v>
      </c>
      <c r="G45" s="820" t="s">
        <v>213</v>
      </c>
      <c r="H45" s="793">
        <v>16</v>
      </c>
      <c r="I45" s="779" t="s">
        <v>207</v>
      </c>
      <c r="J45" s="822">
        <v>11</v>
      </c>
      <c r="K45" s="795" t="s">
        <v>197</v>
      </c>
      <c r="L45" s="796">
        <f t="shared" si="2"/>
        <v>176</v>
      </c>
      <c r="M45" s="1030"/>
      <c r="N45" s="828">
        <v>44159</v>
      </c>
      <c r="O45" s="198" t="s">
        <v>219</v>
      </c>
      <c r="P45" s="797">
        <v>303606198360</v>
      </c>
      <c r="Q45" s="798" t="s">
        <v>841</v>
      </c>
      <c r="R45" s="198" t="s">
        <v>4</v>
      </c>
      <c r="S45" s="799" t="s">
        <v>178</v>
      </c>
      <c r="T45" s="799" t="s">
        <v>178</v>
      </c>
      <c r="U45" s="1047"/>
      <c r="V45" s="799"/>
    </row>
    <row r="46" spans="1:22" ht="15.75">
      <c r="A46" s="786">
        <v>84</v>
      </c>
      <c r="B46" s="787" t="s">
        <v>828</v>
      </c>
      <c r="C46" s="788">
        <v>44159</v>
      </c>
      <c r="D46" s="789" t="s">
        <v>24</v>
      </c>
      <c r="E46" s="790" t="s">
        <v>840</v>
      </c>
      <c r="F46" s="821" t="s">
        <v>831</v>
      </c>
      <c r="G46" s="820" t="s">
        <v>213</v>
      </c>
      <c r="H46" s="793">
        <v>16</v>
      </c>
      <c r="I46" s="779" t="s">
        <v>207</v>
      </c>
      <c r="J46" s="822">
        <v>15</v>
      </c>
      <c r="K46" s="795" t="s">
        <v>197</v>
      </c>
      <c r="L46" s="796">
        <f t="shared" si="2"/>
        <v>240</v>
      </c>
      <c r="M46" s="1030"/>
      <c r="N46" s="828">
        <v>44159</v>
      </c>
      <c r="O46" s="198" t="s">
        <v>219</v>
      </c>
      <c r="P46" s="797">
        <v>303606198360</v>
      </c>
      <c r="Q46" s="798" t="s">
        <v>841</v>
      </c>
      <c r="R46" s="198" t="s">
        <v>4</v>
      </c>
      <c r="S46" s="799" t="s">
        <v>178</v>
      </c>
      <c r="T46" s="799" t="s">
        <v>178</v>
      </c>
      <c r="U46" s="1047"/>
      <c r="V46" s="799"/>
    </row>
    <row r="47" spans="1:22" ht="15.75">
      <c r="A47" s="786">
        <v>84</v>
      </c>
      <c r="B47" s="787" t="s">
        <v>828</v>
      </c>
      <c r="C47" s="788">
        <v>44159</v>
      </c>
      <c r="D47" s="789" t="s">
        <v>24</v>
      </c>
      <c r="E47" s="790" t="s">
        <v>840</v>
      </c>
      <c r="F47" s="821" t="s">
        <v>832</v>
      </c>
      <c r="G47" s="820" t="s">
        <v>213</v>
      </c>
      <c r="H47" s="793">
        <v>18</v>
      </c>
      <c r="I47" s="779" t="s">
        <v>207</v>
      </c>
      <c r="J47" s="822">
        <v>15</v>
      </c>
      <c r="K47" s="795" t="s">
        <v>197</v>
      </c>
      <c r="L47" s="796">
        <f t="shared" si="2"/>
        <v>270</v>
      </c>
      <c r="M47" s="1030"/>
      <c r="N47" s="828">
        <v>44159</v>
      </c>
      <c r="O47" s="198" t="s">
        <v>219</v>
      </c>
      <c r="P47" s="797">
        <v>303606198360</v>
      </c>
      <c r="Q47" s="798" t="s">
        <v>841</v>
      </c>
      <c r="R47" s="198" t="s">
        <v>4</v>
      </c>
      <c r="S47" s="799" t="s">
        <v>178</v>
      </c>
      <c r="T47" s="799" t="s">
        <v>178</v>
      </c>
      <c r="U47" s="1047"/>
      <c r="V47" s="799"/>
    </row>
    <row r="48" spans="1:22" ht="15.75">
      <c r="A48" s="786">
        <v>84</v>
      </c>
      <c r="B48" s="787" t="s">
        <v>828</v>
      </c>
      <c r="C48" s="788">
        <v>44159</v>
      </c>
      <c r="D48" s="789" t="s">
        <v>24</v>
      </c>
      <c r="E48" s="790" t="s">
        <v>840</v>
      </c>
      <c r="F48" s="821" t="s">
        <v>833</v>
      </c>
      <c r="G48" s="820" t="s">
        <v>213</v>
      </c>
      <c r="H48" s="793">
        <v>18</v>
      </c>
      <c r="I48" s="779" t="s">
        <v>207</v>
      </c>
      <c r="J48" s="822">
        <v>11</v>
      </c>
      <c r="K48" s="795" t="s">
        <v>197</v>
      </c>
      <c r="L48" s="796">
        <f t="shared" si="2"/>
        <v>198</v>
      </c>
      <c r="M48" s="1030"/>
      <c r="N48" s="828">
        <v>44159</v>
      </c>
      <c r="O48" s="198" t="s">
        <v>219</v>
      </c>
      <c r="P48" s="797">
        <v>303606198360</v>
      </c>
      <c r="Q48" s="798" t="s">
        <v>841</v>
      </c>
      <c r="R48" s="198" t="s">
        <v>4</v>
      </c>
      <c r="S48" s="799" t="s">
        <v>178</v>
      </c>
      <c r="T48" s="799" t="s">
        <v>178</v>
      </c>
      <c r="U48" s="1047"/>
      <c r="V48" s="799"/>
    </row>
    <row r="49" spans="1:22" ht="15.75">
      <c r="A49" s="786">
        <v>84</v>
      </c>
      <c r="B49" s="787" t="s">
        <v>828</v>
      </c>
      <c r="C49" s="788">
        <v>44159</v>
      </c>
      <c r="D49" s="789" t="s">
        <v>24</v>
      </c>
      <c r="E49" s="790" t="s">
        <v>840</v>
      </c>
      <c r="F49" s="821" t="s">
        <v>833</v>
      </c>
      <c r="G49" s="820" t="s">
        <v>351</v>
      </c>
      <c r="H49" s="793">
        <v>1</v>
      </c>
      <c r="I49" s="779" t="s">
        <v>207</v>
      </c>
      <c r="J49" s="822">
        <v>11</v>
      </c>
      <c r="K49" s="795" t="s">
        <v>197</v>
      </c>
      <c r="L49" s="796">
        <f t="shared" si="2"/>
        <v>11</v>
      </c>
      <c r="M49" s="1030"/>
      <c r="N49" s="828">
        <v>44159</v>
      </c>
      <c r="O49" s="198" t="s">
        <v>219</v>
      </c>
      <c r="P49" s="797">
        <v>303606198360</v>
      </c>
      <c r="Q49" s="798" t="s">
        <v>841</v>
      </c>
      <c r="R49" s="198" t="s">
        <v>4</v>
      </c>
      <c r="S49" s="799" t="s">
        <v>178</v>
      </c>
      <c r="T49" s="799" t="s">
        <v>178</v>
      </c>
      <c r="U49" s="1047"/>
      <c r="V49" s="799"/>
    </row>
    <row r="50" spans="1:22" ht="15.75">
      <c r="A50" s="786">
        <v>84</v>
      </c>
      <c r="B50" s="787" t="s">
        <v>828</v>
      </c>
      <c r="C50" s="788">
        <v>44159</v>
      </c>
      <c r="D50" s="789" t="s">
        <v>24</v>
      </c>
      <c r="E50" s="790" t="s">
        <v>840</v>
      </c>
      <c r="F50" s="821" t="s">
        <v>274</v>
      </c>
      <c r="G50" s="820" t="s">
        <v>351</v>
      </c>
      <c r="H50" s="793">
        <v>16</v>
      </c>
      <c r="I50" s="779" t="s">
        <v>207</v>
      </c>
      <c r="J50" s="822">
        <v>15</v>
      </c>
      <c r="K50" s="795" t="s">
        <v>197</v>
      </c>
      <c r="L50" s="796">
        <f t="shared" si="2"/>
        <v>240</v>
      </c>
      <c r="M50" s="1030"/>
      <c r="N50" s="828">
        <v>44159</v>
      </c>
      <c r="O50" s="198" t="s">
        <v>219</v>
      </c>
      <c r="P50" s="797">
        <v>303606198360</v>
      </c>
      <c r="Q50" s="798" t="s">
        <v>841</v>
      </c>
      <c r="R50" s="198" t="s">
        <v>4</v>
      </c>
      <c r="S50" s="799" t="s">
        <v>178</v>
      </c>
      <c r="T50" s="799" t="s">
        <v>178</v>
      </c>
      <c r="U50" s="1047"/>
      <c r="V50" s="799"/>
    </row>
    <row r="51" spans="1:22" ht="15.75">
      <c r="A51" s="786">
        <v>84</v>
      </c>
      <c r="B51" s="787" t="s">
        <v>828</v>
      </c>
      <c r="C51" s="788">
        <v>44159</v>
      </c>
      <c r="D51" s="789" t="s">
        <v>24</v>
      </c>
      <c r="E51" s="790" t="s">
        <v>840</v>
      </c>
      <c r="F51" s="821" t="s">
        <v>454</v>
      </c>
      <c r="G51" s="820" t="s">
        <v>351</v>
      </c>
      <c r="H51" s="793">
        <v>14</v>
      </c>
      <c r="I51" s="779" t="s">
        <v>207</v>
      </c>
      <c r="J51" s="822">
        <v>15</v>
      </c>
      <c r="K51" s="795" t="s">
        <v>197</v>
      </c>
      <c r="L51" s="796">
        <f t="shared" si="2"/>
        <v>210</v>
      </c>
      <c r="M51" s="1030"/>
      <c r="N51" s="828">
        <v>44159</v>
      </c>
      <c r="O51" s="198" t="s">
        <v>219</v>
      </c>
      <c r="P51" s="797">
        <v>303606198360</v>
      </c>
      <c r="Q51" s="798" t="s">
        <v>841</v>
      </c>
      <c r="R51" s="198" t="s">
        <v>4</v>
      </c>
      <c r="S51" s="799" t="s">
        <v>178</v>
      </c>
      <c r="T51" s="799" t="s">
        <v>178</v>
      </c>
      <c r="U51" s="1047"/>
      <c r="V51" s="799"/>
    </row>
    <row r="52" spans="1:22" ht="15.75">
      <c r="A52" s="786">
        <v>84</v>
      </c>
      <c r="B52" s="787" t="s">
        <v>828</v>
      </c>
      <c r="C52" s="788">
        <v>44159</v>
      </c>
      <c r="D52" s="789" t="s">
        <v>24</v>
      </c>
      <c r="E52" s="790" t="s">
        <v>840</v>
      </c>
      <c r="F52" s="821" t="s">
        <v>834</v>
      </c>
      <c r="G52" s="820" t="s">
        <v>351</v>
      </c>
      <c r="H52" s="793">
        <v>18</v>
      </c>
      <c r="I52" s="779" t="s">
        <v>207</v>
      </c>
      <c r="J52" s="822">
        <v>7</v>
      </c>
      <c r="K52" s="795" t="s">
        <v>197</v>
      </c>
      <c r="L52" s="796">
        <f t="shared" si="2"/>
        <v>126</v>
      </c>
      <c r="M52" s="1030"/>
      <c r="N52" s="828">
        <v>44159</v>
      </c>
      <c r="O52" s="198" t="s">
        <v>219</v>
      </c>
      <c r="P52" s="797">
        <v>303606198360</v>
      </c>
      <c r="Q52" s="798" t="s">
        <v>841</v>
      </c>
      <c r="R52" s="198" t="s">
        <v>4</v>
      </c>
      <c r="S52" s="799" t="s">
        <v>178</v>
      </c>
      <c r="T52" s="799" t="s">
        <v>178</v>
      </c>
      <c r="U52" s="1047"/>
      <c r="V52" s="799"/>
    </row>
    <row r="53" spans="1:22" ht="15.75">
      <c r="A53" s="786">
        <v>84</v>
      </c>
      <c r="B53" s="787" t="s">
        <v>828</v>
      </c>
      <c r="C53" s="788">
        <v>44159</v>
      </c>
      <c r="D53" s="789" t="s">
        <v>24</v>
      </c>
      <c r="E53" s="790" t="s">
        <v>840</v>
      </c>
      <c r="F53" s="825" t="s">
        <v>835</v>
      </c>
      <c r="G53" s="824" t="s">
        <v>179</v>
      </c>
      <c r="H53" s="793">
        <v>1</v>
      </c>
      <c r="I53" s="779" t="s">
        <v>207</v>
      </c>
      <c r="J53" s="794">
        <v>6</v>
      </c>
      <c r="K53" s="795" t="s">
        <v>197</v>
      </c>
      <c r="L53" s="796">
        <f t="shared" si="2"/>
        <v>6</v>
      </c>
      <c r="M53" s="1030"/>
      <c r="N53" s="828">
        <v>44159</v>
      </c>
      <c r="O53" s="198" t="s">
        <v>219</v>
      </c>
      <c r="P53" s="797">
        <v>303606198360</v>
      </c>
      <c r="Q53" s="798" t="s">
        <v>841</v>
      </c>
      <c r="R53" s="198" t="s">
        <v>4</v>
      </c>
      <c r="S53" s="799" t="s">
        <v>178</v>
      </c>
      <c r="T53" s="799" t="s">
        <v>178</v>
      </c>
      <c r="U53" s="1047"/>
      <c r="V53" s="799"/>
    </row>
    <row r="54" spans="1:22" ht="15.75">
      <c r="A54" s="786">
        <v>84</v>
      </c>
      <c r="B54" s="787" t="s">
        <v>828</v>
      </c>
      <c r="C54" s="788">
        <v>44159</v>
      </c>
      <c r="D54" s="789" t="s">
        <v>24</v>
      </c>
      <c r="E54" s="790" t="s">
        <v>840</v>
      </c>
      <c r="F54" s="825" t="s">
        <v>836</v>
      </c>
      <c r="G54" s="824" t="s">
        <v>548</v>
      </c>
      <c r="H54" s="793">
        <v>1</v>
      </c>
      <c r="I54" s="779" t="s">
        <v>207</v>
      </c>
      <c r="J54" s="794">
        <v>2</v>
      </c>
      <c r="K54" s="795" t="s">
        <v>197</v>
      </c>
      <c r="L54" s="796">
        <f t="shared" si="2"/>
        <v>2</v>
      </c>
      <c r="M54" s="1030"/>
      <c r="N54" s="828">
        <v>44159</v>
      </c>
      <c r="O54" s="198" t="s">
        <v>219</v>
      </c>
      <c r="P54" s="797">
        <v>303606198360</v>
      </c>
      <c r="Q54" s="798" t="s">
        <v>841</v>
      </c>
      <c r="R54" s="198" t="s">
        <v>4</v>
      </c>
      <c r="S54" s="799" t="s">
        <v>178</v>
      </c>
      <c r="T54" s="799" t="s">
        <v>178</v>
      </c>
      <c r="U54" s="1047"/>
      <c r="V54" s="799"/>
    </row>
    <row r="55" spans="1:22" ht="15.75">
      <c r="A55" s="786">
        <v>84</v>
      </c>
      <c r="B55" s="787" t="s">
        <v>828</v>
      </c>
      <c r="C55" s="788">
        <v>44159</v>
      </c>
      <c r="D55" s="789" t="s">
        <v>24</v>
      </c>
      <c r="E55" s="790" t="s">
        <v>840</v>
      </c>
      <c r="F55" s="825" t="s">
        <v>837</v>
      </c>
      <c r="G55" s="824" t="s">
        <v>839</v>
      </c>
      <c r="H55" s="793">
        <v>1</v>
      </c>
      <c r="I55" s="779" t="s">
        <v>207</v>
      </c>
      <c r="J55" s="794">
        <v>0.5</v>
      </c>
      <c r="K55" s="795" t="s">
        <v>197</v>
      </c>
      <c r="L55" s="796">
        <f t="shared" si="2"/>
        <v>0.5</v>
      </c>
      <c r="M55" s="1030"/>
      <c r="N55" s="828">
        <v>44159</v>
      </c>
      <c r="O55" s="198" t="s">
        <v>219</v>
      </c>
      <c r="P55" s="797">
        <v>303606198360</v>
      </c>
      <c r="Q55" s="798" t="s">
        <v>841</v>
      </c>
      <c r="R55" s="198" t="s">
        <v>4</v>
      </c>
      <c r="S55" s="799" t="s">
        <v>178</v>
      </c>
      <c r="T55" s="799" t="s">
        <v>178</v>
      </c>
      <c r="U55" s="1043"/>
      <c r="V55" s="799"/>
    </row>
    <row r="56" spans="1:22" ht="15.75">
      <c r="A56" s="771">
        <v>85</v>
      </c>
      <c r="B56" s="772" t="s">
        <v>842</v>
      </c>
      <c r="C56" s="773">
        <v>44161</v>
      </c>
      <c r="D56" s="774" t="s">
        <v>24</v>
      </c>
      <c r="E56" s="775" t="s">
        <v>844</v>
      </c>
      <c r="F56" s="829"/>
      <c r="G56" s="818" t="s">
        <v>212</v>
      </c>
      <c r="H56" s="778">
        <v>16</v>
      </c>
      <c r="I56" s="779" t="s">
        <v>207</v>
      </c>
      <c r="J56" s="819">
        <v>1</v>
      </c>
      <c r="K56" s="781" t="s">
        <v>197</v>
      </c>
      <c r="L56" s="782">
        <f t="shared" si="2"/>
        <v>16</v>
      </c>
      <c r="M56" s="1007">
        <v>1.5</v>
      </c>
      <c r="N56" s="830">
        <v>44162</v>
      </c>
      <c r="O56" s="197" t="s">
        <v>219</v>
      </c>
      <c r="P56" s="783">
        <v>310548723220</v>
      </c>
      <c r="Q56" s="784" t="s">
        <v>841</v>
      </c>
      <c r="R56" s="830" t="s">
        <v>845</v>
      </c>
      <c r="S56" s="785" t="s">
        <v>178</v>
      </c>
      <c r="T56" s="785" t="s">
        <v>178</v>
      </c>
      <c r="U56" s="1042">
        <f>35.99*U10</f>
        <v>836047.70000000007</v>
      </c>
      <c r="V56" s="785"/>
    </row>
    <row r="57" spans="1:22" ht="15.75">
      <c r="A57" s="801">
        <v>85</v>
      </c>
      <c r="B57" s="802" t="s">
        <v>842</v>
      </c>
      <c r="C57" s="803">
        <v>44161</v>
      </c>
      <c r="D57" s="804" t="s">
        <v>24</v>
      </c>
      <c r="E57" s="805" t="s">
        <v>844</v>
      </c>
      <c r="F57" s="831"/>
      <c r="G57" s="832" t="s">
        <v>843</v>
      </c>
      <c r="H57" s="833">
        <v>12</v>
      </c>
      <c r="I57" s="779" t="s">
        <v>207</v>
      </c>
      <c r="J57" s="834">
        <v>1</v>
      </c>
      <c r="K57" s="810" t="s">
        <v>197</v>
      </c>
      <c r="L57" s="811">
        <f t="shared" si="2"/>
        <v>12</v>
      </c>
      <c r="M57" s="1008"/>
      <c r="N57" s="835">
        <v>44162</v>
      </c>
      <c r="O57" s="201" t="s">
        <v>219</v>
      </c>
      <c r="P57" s="812">
        <v>310548723220</v>
      </c>
      <c r="Q57" s="813" t="s">
        <v>841</v>
      </c>
      <c r="R57" s="835" t="s">
        <v>845</v>
      </c>
      <c r="S57" s="814" t="s">
        <v>178</v>
      </c>
      <c r="T57" s="814" t="s">
        <v>178</v>
      </c>
      <c r="U57" s="1043"/>
      <c r="V57" s="814"/>
    </row>
    <row r="58" spans="1:22" ht="15.75">
      <c r="A58" s="786">
        <v>86</v>
      </c>
      <c r="B58" s="787" t="s">
        <v>853</v>
      </c>
      <c r="C58" s="788">
        <v>44161</v>
      </c>
      <c r="D58" s="789" t="s">
        <v>24</v>
      </c>
      <c r="E58" s="790" t="s">
        <v>854</v>
      </c>
      <c r="F58" s="821" t="s">
        <v>758</v>
      </c>
      <c r="G58" s="820" t="s">
        <v>416</v>
      </c>
      <c r="H58" s="793">
        <v>1</v>
      </c>
      <c r="I58" s="779" t="s">
        <v>207</v>
      </c>
      <c r="J58" s="836">
        <v>7</v>
      </c>
      <c r="K58" s="795" t="s">
        <v>197</v>
      </c>
      <c r="L58" s="796">
        <f t="shared" si="2"/>
        <v>7</v>
      </c>
      <c r="M58" s="1038">
        <v>38.4</v>
      </c>
      <c r="N58" s="828">
        <v>44162</v>
      </c>
      <c r="O58" s="198" t="s">
        <v>219</v>
      </c>
      <c r="P58" s="797">
        <v>303615724810</v>
      </c>
      <c r="Q58" s="798" t="s">
        <v>841</v>
      </c>
      <c r="R58" s="198" t="s">
        <v>4</v>
      </c>
      <c r="S58" s="799" t="s">
        <v>178</v>
      </c>
      <c r="T58" s="799" t="s">
        <v>178</v>
      </c>
      <c r="U58" s="1044">
        <f>376.1*U10</f>
        <v>8736803</v>
      </c>
      <c r="V58" s="799"/>
    </row>
    <row r="59" spans="1:22" ht="15.75">
      <c r="A59" s="786">
        <v>86</v>
      </c>
      <c r="B59" s="787" t="s">
        <v>853</v>
      </c>
      <c r="C59" s="788">
        <v>44161</v>
      </c>
      <c r="D59" s="789" t="s">
        <v>24</v>
      </c>
      <c r="E59" s="790" t="s">
        <v>854</v>
      </c>
      <c r="F59" s="821" t="s">
        <v>846</v>
      </c>
      <c r="G59" s="820" t="s">
        <v>416</v>
      </c>
      <c r="H59" s="793">
        <v>2</v>
      </c>
      <c r="I59" s="779" t="s">
        <v>207</v>
      </c>
      <c r="J59" s="836">
        <v>4</v>
      </c>
      <c r="K59" s="795" t="s">
        <v>197</v>
      </c>
      <c r="L59" s="796">
        <f t="shared" si="2"/>
        <v>8</v>
      </c>
      <c r="M59" s="1038"/>
      <c r="N59" s="828">
        <v>44162</v>
      </c>
      <c r="O59" s="198" t="s">
        <v>219</v>
      </c>
      <c r="P59" s="797">
        <v>303615724810</v>
      </c>
      <c r="Q59" s="798" t="s">
        <v>841</v>
      </c>
      <c r="R59" s="198" t="s">
        <v>4</v>
      </c>
      <c r="S59" s="799" t="s">
        <v>178</v>
      </c>
      <c r="T59" s="799" t="s">
        <v>178</v>
      </c>
      <c r="U59" s="1045"/>
      <c r="V59" s="799"/>
    </row>
    <row r="60" spans="1:22" ht="15.75">
      <c r="A60" s="786">
        <v>86</v>
      </c>
      <c r="B60" s="787" t="s">
        <v>853</v>
      </c>
      <c r="C60" s="788">
        <v>44161</v>
      </c>
      <c r="D60" s="789" t="s">
        <v>24</v>
      </c>
      <c r="E60" s="790" t="s">
        <v>854</v>
      </c>
      <c r="F60" s="821" t="s">
        <v>847</v>
      </c>
      <c r="G60" s="820" t="s">
        <v>820</v>
      </c>
      <c r="H60" s="793">
        <v>2</v>
      </c>
      <c r="I60" s="779" t="s">
        <v>207</v>
      </c>
      <c r="J60" s="837">
        <v>5</v>
      </c>
      <c r="K60" s="795" t="s">
        <v>197</v>
      </c>
      <c r="L60" s="796">
        <f t="shared" si="2"/>
        <v>10</v>
      </c>
      <c r="M60" s="1038"/>
      <c r="N60" s="828">
        <v>44162</v>
      </c>
      <c r="O60" s="198" t="s">
        <v>219</v>
      </c>
      <c r="P60" s="797">
        <v>303615724810</v>
      </c>
      <c r="Q60" s="798" t="s">
        <v>841</v>
      </c>
      <c r="R60" s="198" t="s">
        <v>4</v>
      </c>
      <c r="S60" s="799" t="s">
        <v>178</v>
      </c>
      <c r="T60" s="799" t="s">
        <v>178</v>
      </c>
      <c r="U60" s="1045"/>
      <c r="V60" s="799"/>
    </row>
    <row r="61" spans="1:22" ht="15.75">
      <c r="A61" s="786">
        <v>86</v>
      </c>
      <c r="B61" s="787" t="s">
        <v>853</v>
      </c>
      <c r="C61" s="788">
        <v>44161</v>
      </c>
      <c r="D61" s="789" t="s">
        <v>24</v>
      </c>
      <c r="E61" s="790" t="s">
        <v>854</v>
      </c>
      <c r="F61" s="821" t="s">
        <v>848</v>
      </c>
      <c r="G61" s="820" t="s">
        <v>351</v>
      </c>
      <c r="H61" s="793">
        <v>1</v>
      </c>
      <c r="I61" s="779" t="s">
        <v>207</v>
      </c>
      <c r="J61" s="837">
        <v>9</v>
      </c>
      <c r="K61" s="795" t="s">
        <v>197</v>
      </c>
      <c r="L61" s="796">
        <f t="shared" si="2"/>
        <v>9</v>
      </c>
      <c r="M61" s="1038"/>
      <c r="N61" s="828">
        <v>44162</v>
      </c>
      <c r="O61" s="198" t="s">
        <v>219</v>
      </c>
      <c r="P61" s="797">
        <v>303615724810</v>
      </c>
      <c r="Q61" s="798" t="s">
        <v>841</v>
      </c>
      <c r="R61" s="198" t="s">
        <v>4</v>
      </c>
      <c r="S61" s="799" t="s">
        <v>178</v>
      </c>
      <c r="T61" s="799" t="s">
        <v>178</v>
      </c>
      <c r="U61" s="1045"/>
      <c r="V61" s="799"/>
    </row>
    <row r="62" spans="1:22" ht="15.75">
      <c r="A62" s="786">
        <v>86</v>
      </c>
      <c r="B62" s="787" t="s">
        <v>853</v>
      </c>
      <c r="C62" s="788">
        <v>44161</v>
      </c>
      <c r="D62" s="789" t="s">
        <v>24</v>
      </c>
      <c r="E62" s="790" t="s">
        <v>854</v>
      </c>
      <c r="F62" s="821" t="s">
        <v>849</v>
      </c>
      <c r="G62" s="820" t="s">
        <v>851</v>
      </c>
      <c r="H62" s="793">
        <v>3</v>
      </c>
      <c r="I62" s="779" t="s">
        <v>207</v>
      </c>
      <c r="J62" s="836">
        <v>4.3899999999999997</v>
      </c>
      <c r="K62" s="795" t="s">
        <v>197</v>
      </c>
      <c r="L62" s="796">
        <f t="shared" si="2"/>
        <v>13.169999999999998</v>
      </c>
      <c r="M62" s="1038"/>
      <c r="N62" s="828">
        <v>44162</v>
      </c>
      <c r="O62" s="198" t="s">
        <v>219</v>
      </c>
      <c r="P62" s="797">
        <v>303615724810</v>
      </c>
      <c r="Q62" s="798" t="s">
        <v>841</v>
      </c>
      <c r="R62" s="198" t="s">
        <v>4</v>
      </c>
      <c r="S62" s="799" t="s">
        <v>178</v>
      </c>
      <c r="T62" s="799" t="s">
        <v>178</v>
      </c>
      <c r="U62" s="1045"/>
      <c r="V62" s="799"/>
    </row>
    <row r="63" spans="1:22" ht="15.75">
      <c r="A63" s="786">
        <v>86</v>
      </c>
      <c r="B63" s="787" t="s">
        <v>853</v>
      </c>
      <c r="C63" s="788">
        <v>44161</v>
      </c>
      <c r="D63" s="789" t="s">
        <v>24</v>
      </c>
      <c r="E63" s="790" t="s">
        <v>854</v>
      </c>
      <c r="F63" s="821" t="s">
        <v>724</v>
      </c>
      <c r="G63" s="820" t="s">
        <v>725</v>
      </c>
      <c r="H63" s="793">
        <v>2</v>
      </c>
      <c r="I63" s="779" t="s">
        <v>207</v>
      </c>
      <c r="J63" s="836">
        <v>10.54</v>
      </c>
      <c r="K63" s="795" t="s">
        <v>197</v>
      </c>
      <c r="L63" s="796">
        <f t="shared" si="2"/>
        <v>21.08</v>
      </c>
      <c r="M63" s="1038"/>
      <c r="N63" s="828">
        <v>44162</v>
      </c>
      <c r="O63" s="198" t="s">
        <v>219</v>
      </c>
      <c r="P63" s="797">
        <v>303615724810</v>
      </c>
      <c r="Q63" s="798" t="s">
        <v>841</v>
      </c>
      <c r="R63" s="198" t="s">
        <v>4</v>
      </c>
      <c r="S63" s="799" t="s">
        <v>178</v>
      </c>
      <c r="T63" s="799" t="s">
        <v>178</v>
      </c>
      <c r="U63" s="1045"/>
      <c r="V63" s="799"/>
    </row>
    <row r="64" spans="1:22" ht="15.75">
      <c r="A64" s="786">
        <v>86</v>
      </c>
      <c r="B64" s="787" t="s">
        <v>853</v>
      </c>
      <c r="C64" s="788">
        <v>44161</v>
      </c>
      <c r="D64" s="789" t="s">
        <v>24</v>
      </c>
      <c r="E64" s="790" t="s">
        <v>854</v>
      </c>
      <c r="F64" s="821" t="s">
        <v>775</v>
      </c>
      <c r="G64" s="820" t="s">
        <v>271</v>
      </c>
      <c r="H64" s="793">
        <v>2</v>
      </c>
      <c r="I64" s="779" t="s">
        <v>207</v>
      </c>
      <c r="J64" s="837">
        <v>10</v>
      </c>
      <c r="K64" s="795" t="s">
        <v>197</v>
      </c>
      <c r="L64" s="796">
        <f t="shared" si="2"/>
        <v>20</v>
      </c>
      <c r="M64" s="1038"/>
      <c r="N64" s="828">
        <v>44162</v>
      </c>
      <c r="O64" s="198" t="s">
        <v>219</v>
      </c>
      <c r="P64" s="797">
        <v>303615724810</v>
      </c>
      <c r="Q64" s="798" t="s">
        <v>841</v>
      </c>
      <c r="R64" s="198" t="s">
        <v>4</v>
      </c>
      <c r="S64" s="799" t="s">
        <v>178</v>
      </c>
      <c r="T64" s="799" t="s">
        <v>178</v>
      </c>
      <c r="U64" s="1045"/>
      <c r="V64" s="799"/>
    </row>
    <row r="65" spans="1:22" ht="15.75">
      <c r="A65" s="786">
        <v>86</v>
      </c>
      <c r="B65" s="787" t="s">
        <v>853</v>
      </c>
      <c r="C65" s="788">
        <v>44161</v>
      </c>
      <c r="D65" s="789" t="s">
        <v>24</v>
      </c>
      <c r="E65" s="790" t="s">
        <v>854</v>
      </c>
      <c r="F65" s="821" t="s">
        <v>850</v>
      </c>
      <c r="G65" s="820" t="s">
        <v>852</v>
      </c>
      <c r="H65" s="793">
        <v>4</v>
      </c>
      <c r="I65" s="779" t="s">
        <v>207</v>
      </c>
      <c r="J65" s="837">
        <v>5</v>
      </c>
      <c r="K65" s="795" t="s">
        <v>197</v>
      </c>
      <c r="L65" s="796">
        <f t="shared" si="2"/>
        <v>20</v>
      </c>
      <c r="M65" s="1038"/>
      <c r="N65" s="828">
        <v>44162</v>
      </c>
      <c r="O65" s="198" t="s">
        <v>219</v>
      </c>
      <c r="P65" s="797">
        <v>303615724810</v>
      </c>
      <c r="Q65" s="798" t="s">
        <v>841</v>
      </c>
      <c r="R65" s="198" t="s">
        <v>4</v>
      </c>
      <c r="S65" s="799" t="s">
        <v>178</v>
      </c>
      <c r="T65" s="799" t="s">
        <v>178</v>
      </c>
      <c r="U65" s="1045"/>
      <c r="V65" s="799"/>
    </row>
    <row r="66" spans="1:22" ht="15.75">
      <c r="A66" s="786">
        <v>86</v>
      </c>
      <c r="B66" s="787" t="s">
        <v>853</v>
      </c>
      <c r="C66" s="788">
        <v>44161</v>
      </c>
      <c r="D66" s="789" t="s">
        <v>24</v>
      </c>
      <c r="E66" s="790" t="s">
        <v>854</v>
      </c>
      <c r="F66" s="821" t="s">
        <v>850</v>
      </c>
      <c r="G66" s="820" t="s">
        <v>210</v>
      </c>
      <c r="H66" s="793">
        <v>4</v>
      </c>
      <c r="I66" s="779" t="s">
        <v>207</v>
      </c>
      <c r="J66" s="837">
        <v>15</v>
      </c>
      <c r="K66" s="795" t="s">
        <v>197</v>
      </c>
      <c r="L66" s="796">
        <f t="shared" si="2"/>
        <v>60</v>
      </c>
      <c r="M66" s="1038"/>
      <c r="N66" s="828">
        <v>44162</v>
      </c>
      <c r="O66" s="198" t="s">
        <v>219</v>
      </c>
      <c r="P66" s="797">
        <v>303615724810</v>
      </c>
      <c r="Q66" s="798" t="s">
        <v>841</v>
      </c>
      <c r="R66" s="198" t="s">
        <v>4</v>
      </c>
      <c r="S66" s="799" t="s">
        <v>178</v>
      </c>
      <c r="T66" s="799" t="s">
        <v>178</v>
      </c>
      <c r="U66" s="1046"/>
      <c r="V66" s="814"/>
    </row>
    <row r="67" spans="1:22" ht="15.75">
      <c r="A67" s="876"/>
      <c r="B67" s="877"/>
      <c r="C67" s="878"/>
      <c r="D67" s="879"/>
      <c r="E67" s="880"/>
      <c r="F67" s="881"/>
      <c r="G67" s="881"/>
      <c r="H67" s="882"/>
      <c r="I67" s="883"/>
      <c r="J67" s="884"/>
      <c r="K67" s="885"/>
      <c r="L67" s="886"/>
      <c r="M67" s="1039"/>
      <c r="N67" s="887"/>
      <c r="O67" s="888"/>
      <c r="P67" s="889"/>
      <c r="Q67" s="890"/>
      <c r="R67" s="888"/>
      <c r="S67" s="891"/>
      <c r="T67" s="891"/>
      <c r="U67" s="892"/>
      <c r="V67" s="785"/>
    </row>
    <row r="68" spans="1:22" ht="15.75">
      <c r="A68" s="893"/>
      <c r="B68" s="894"/>
      <c r="C68" s="895"/>
      <c r="D68" s="896"/>
      <c r="E68" s="897"/>
      <c r="F68" s="898"/>
      <c r="G68" s="898"/>
      <c r="H68" s="899"/>
      <c r="I68" s="900"/>
      <c r="J68" s="901"/>
      <c r="K68" s="902"/>
      <c r="L68" s="903"/>
      <c r="M68" s="1040"/>
      <c r="N68" s="904"/>
      <c r="O68" s="905"/>
      <c r="P68" s="906"/>
      <c r="Q68" s="907"/>
      <c r="R68" s="905"/>
      <c r="S68" s="908"/>
      <c r="T68" s="908"/>
      <c r="U68" s="909"/>
      <c r="V68" s="799"/>
    </row>
    <row r="69" spans="1:22" ht="15.75">
      <c r="A69" s="893"/>
      <c r="B69" s="894"/>
      <c r="C69" s="895"/>
      <c r="D69" s="896"/>
      <c r="E69" s="897"/>
      <c r="F69" s="898"/>
      <c r="G69" s="898"/>
      <c r="H69" s="899"/>
      <c r="I69" s="900"/>
      <c r="J69" s="901"/>
      <c r="K69" s="902"/>
      <c r="L69" s="903"/>
      <c r="M69" s="1040"/>
      <c r="N69" s="904"/>
      <c r="O69" s="905"/>
      <c r="P69" s="906"/>
      <c r="Q69" s="907"/>
      <c r="R69" s="905"/>
      <c r="S69" s="908"/>
      <c r="T69" s="908"/>
      <c r="U69" s="909"/>
      <c r="V69" s="799"/>
    </row>
    <row r="70" spans="1:22" ht="15.75">
      <c r="A70" s="893"/>
      <c r="B70" s="894"/>
      <c r="C70" s="895"/>
      <c r="D70" s="896"/>
      <c r="E70" s="897"/>
      <c r="F70" s="898"/>
      <c r="G70" s="898"/>
      <c r="H70" s="899"/>
      <c r="I70" s="900"/>
      <c r="J70" s="901"/>
      <c r="K70" s="902"/>
      <c r="L70" s="903"/>
      <c r="M70" s="1040"/>
      <c r="N70" s="904"/>
      <c r="O70" s="905"/>
      <c r="P70" s="906"/>
      <c r="Q70" s="907"/>
      <c r="R70" s="905"/>
      <c r="S70" s="908"/>
      <c r="T70" s="908"/>
      <c r="U70" s="909"/>
      <c r="V70" s="799"/>
    </row>
    <row r="71" spans="1:22" ht="15.75">
      <c r="A71" s="893"/>
      <c r="B71" s="894"/>
      <c r="C71" s="895"/>
      <c r="D71" s="896"/>
      <c r="E71" s="897"/>
      <c r="F71" s="898"/>
      <c r="G71" s="898"/>
      <c r="H71" s="899"/>
      <c r="I71" s="900"/>
      <c r="J71" s="901"/>
      <c r="K71" s="902"/>
      <c r="L71" s="903"/>
      <c r="M71" s="1040"/>
      <c r="N71" s="904"/>
      <c r="O71" s="905"/>
      <c r="P71" s="906"/>
      <c r="Q71" s="907"/>
      <c r="R71" s="905"/>
      <c r="S71" s="908"/>
      <c r="T71" s="908"/>
      <c r="U71" s="909"/>
      <c r="V71" s="799"/>
    </row>
    <row r="72" spans="1:22" ht="15.75">
      <c r="A72" s="893"/>
      <c r="B72" s="894"/>
      <c r="C72" s="895"/>
      <c r="D72" s="896"/>
      <c r="E72" s="897"/>
      <c r="F72" s="898"/>
      <c r="G72" s="898"/>
      <c r="H72" s="899"/>
      <c r="I72" s="900"/>
      <c r="J72" s="901"/>
      <c r="K72" s="902"/>
      <c r="L72" s="903"/>
      <c r="M72" s="1040"/>
      <c r="N72" s="904"/>
      <c r="O72" s="905"/>
      <c r="P72" s="906"/>
      <c r="Q72" s="907"/>
      <c r="R72" s="905"/>
      <c r="S72" s="908"/>
      <c r="T72" s="908"/>
      <c r="U72" s="909"/>
      <c r="V72" s="799"/>
    </row>
    <row r="73" spans="1:22" ht="15.75">
      <c r="A73" s="893"/>
      <c r="B73" s="894"/>
      <c r="C73" s="895"/>
      <c r="D73" s="896"/>
      <c r="E73" s="897"/>
      <c r="F73" s="898"/>
      <c r="G73" s="898"/>
      <c r="H73" s="899"/>
      <c r="I73" s="900"/>
      <c r="J73" s="901"/>
      <c r="K73" s="902"/>
      <c r="L73" s="903"/>
      <c r="M73" s="1040"/>
      <c r="N73" s="904"/>
      <c r="O73" s="905"/>
      <c r="P73" s="906"/>
      <c r="Q73" s="907"/>
      <c r="R73" s="905"/>
      <c r="S73" s="908"/>
      <c r="T73" s="908"/>
      <c r="U73" s="909"/>
      <c r="V73" s="799"/>
    </row>
    <row r="74" spans="1:22" ht="15.75">
      <c r="A74" s="893"/>
      <c r="B74" s="894"/>
      <c r="C74" s="895"/>
      <c r="D74" s="896"/>
      <c r="E74" s="897"/>
      <c r="F74" s="898"/>
      <c r="G74" s="898"/>
      <c r="H74" s="899"/>
      <c r="I74" s="900"/>
      <c r="J74" s="901"/>
      <c r="K74" s="902"/>
      <c r="L74" s="903"/>
      <c r="M74" s="1040"/>
      <c r="N74" s="904"/>
      <c r="O74" s="905"/>
      <c r="P74" s="906"/>
      <c r="Q74" s="907"/>
      <c r="R74" s="905"/>
      <c r="S74" s="908"/>
      <c r="T74" s="908"/>
      <c r="U74" s="909"/>
      <c r="V74" s="799"/>
    </row>
    <row r="75" spans="1:22" ht="15.75">
      <c r="A75" s="893"/>
      <c r="B75" s="894"/>
      <c r="C75" s="895"/>
      <c r="D75" s="896"/>
      <c r="E75" s="897"/>
      <c r="F75" s="898"/>
      <c r="G75" s="898"/>
      <c r="H75" s="899"/>
      <c r="I75" s="900"/>
      <c r="J75" s="901"/>
      <c r="K75" s="902"/>
      <c r="L75" s="903"/>
      <c r="M75" s="1040"/>
      <c r="N75" s="904"/>
      <c r="O75" s="905"/>
      <c r="P75" s="906"/>
      <c r="Q75" s="907"/>
      <c r="R75" s="905"/>
      <c r="S75" s="908"/>
      <c r="T75" s="908"/>
      <c r="U75" s="909"/>
      <c r="V75" s="799"/>
    </row>
    <row r="76" spans="1:22" ht="15.75">
      <c r="A76" s="893"/>
      <c r="B76" s="894"/>
      <c r="C76" s="895"/>
      <c r="D76" s="896"/>
      <c r="E76" s="897"/>
      <c r="F76" s="898"/>
      <c r="G76" s="898"/>
      <c r="H76" s="899"/>
      <c r="I76" s="900"/>
      <c r="J76" s="901"/>
      <c r="K76" s="902"/>
      <c r="L76" s="903"/>
      <c r="M76" s="1040"/>
      <c r="N76" s="904"/>
      <c r="O76" s="905"/>
      <c r="P76" s="906"/>
      <c r="Q76" s="907"/>
      <c r="R76" s="905"/>
      <c r="S76" s="908"/>
      <c r="T76" s="908"/>
      <c r="U76" s="909"/>
      <c r="V76" s="799"/>
    </row>
    <row r="77" spans="1:22" ht="15.75">
      <c r="A77" s="893"/>
      <c r="B77" s="894"/>
      <c r="C77" s="895"/>
      <c r="D77" s="896"/>
      <c r="E77" s="897"/>
      <c r="F77" s="898"/>
      <c r="G77" s="898"/>
      <c r="H77" s="899"/>
      <c r="I77" s="900"/>
      <c r="J77" s="901"/>
      <c r="K77" s="902"/>
      <c r="L77" s="903"/>
      <c r="M77" s="1040"/>
      <c r="N77" s="904"/>
      <c r="O77" s="905"/>
      <c r="P77" s="906"/>
      <c r="Q77" s="907"/>
      <c r="R77" s="905"/>
      <c r="S77" s="908"/>
      <c r="T77" s="908"/>
      <c r="U77" s="909"/>
      <c r="V77" s="799"/>
    </row>
    <row r="78" spans="1:22" ht="15.75">
      <c r="A78" s="893"/>
      <c r="B78" s="894"/>
      <c r="C78" s="895"/>
      <c r="D78" s="896"/>
      <c r="E78" s="897"/>
      <c r="F78" s="898"/>
      <c r="G78" s="898"/>
      <c r="H78" s="899"/>
      <c r="I78" s="900"/>
      <c r="J78" s="901"/>
      <c r="K78" s="902"/>
      <c r="L78" s="903"/>
      <c r="M78" s="1040"/>
      <c r="N78" s="904"/>
      <c r="O78" s="905"/>
      <c r="P78" s="906"/>
      <c r="Q78" s="907"/>
      <c r="R78" s="905"/>
      <c r="S78" s="908"/>
      <c r="T78" s="908"/>
      <c r="U78" s="909"/>
      <c r="V78" s="799"/>
    </row>
    <row r="79" spans="1:22" ht="15.75">
      <c r="A79" s="893"/>
      <c r="B79" s="894"/>
      <c r="C79" s="895"/>
      <c r="D79" s="896"/>
      <c r="E79" s="897"/>
      <c r="F79" s="898"/>
      <c r="G79" s="898"/>
      <c r="H79" s="899"/>
      <c r="I79" s="900"/>
      <c r="J79" s="901"/>
      <c r="K79" s="902"/>
      <c r="L79" s="903"/>
      <c r="M79" s="1040"/>
      <c r="N79" s="904"/>
      <c r="O79" s="905"/>
      <c r="P79" s="906"/>
      <c r="Q79" s="907"/>
      <c r="R79" s="905"/>
      <c r="S79" s="908"/>
      <c r="T79" s="908"/>
      <c r="U79" s="909"/>
      <c r="V79" s="799"/>
    </row>
    <row r="80" spans="1:22" ht="15.75">
      <c r="A80" s="893"/>
      <c r="B80" s="894"/>
      <c r="C80" s="895"/>
      <c r="D80" s="896"/>
      <c r="E80" s="897"/>
      <c r="F80" s="898"/>
      <c r="G80" s="898"/>
      <c r="H80" s="899"/>
      <c r="I80" s="900"/>
      <c r="J80" s="901"/>
      <c r="K80" s="902"/>
      <c r="L80" s="903"/>
      <c r="M80" s="1040"/>
      <c r="N80" s="904"/>
      <c r="O80" s="905"/>
      <c r="P80" s="906"/>
      <c r="Q80" s="907"/>
      <c r="R80" s="905"/>
      <c r="S80" s="908"/>
      <c r="T80" s="908"/>
      <c r="U80" s="909"/>
      <c r="V80" s="799"/>
    </row>
    <row r="81" spans="1:22" ht="15.75">
      <c r="A81" s="893"/>
      <c r="B81" s="894"/>
      <c r="C81" s="895"/>
      <c r="D81" s="896"/>
      <c r="E81" s="897"/>
      <c r="F81" s="898"/>
      <c r="G81" s="898"/>
      <c r="H81" s="899"/>
      <c r="I81" s="900"/>
      <c r="J81" s="901"/>
      <c r="K81" s="902"/>
      <c r="L81" s="903"/>
      <c r="M81" s="1040"/>
      <c r="N81" s="904"/>
      <c r="O81" s="905"/>
      <c r="P81" s="906"/>
      <c r="Q81" s="907"/>
      <c r="R81" s="905"/>
      <c r="S81" s="908"/>
      <c r="T81" s="908"/>
      <c r="U81" s="909"/>
      <c r="V81" s="799"/>
    </row>
    <row r="82" spans="1:22" ht="15.75">
      <c r="A82" s="893"/>
      <c r="B82" s="894"/>
      <c r="C82" s="895"/>
      <c r="D82" s="896"/>
      <c r="E82" s="897"/>
      <c r="F82" s="898"/>
      <c r="G82" s="898"/>
      <c r="H82" s="899"/>
      <c r="I82" s="900"/>
      <c r="J82" s="901"/>
      <c r="K82" s="902"/>
      <c r="L82" s="903"/>
      <c r="M82" s="1040"/>
      <c r="N82" s="904"/>
      <c r="O82" s="905"/>
      <c r="P82" s="906"/>
      <c r="Q82" s="907"/>
      <c r="R82" s="905"/>
      <c r="S82" s="908"/>
      <c r="T82" s="908"/>
      <c r="U82" s="909"/>
      <c r="V82" s="799"/>
    </row>
    <row r="83" spans="1:22" ht="15.75">
      <c r="A83" s="893"/>
      <c r="B83" s="894"/>
      <c r="C83" s="895"/>
      <c r="D83" s="896"/>
      <c r="E83" s="897"/>
      <c r="F83" s="898"/>
      <c r="G83" s="898"/>
      <c r="H83" s="899"/>
      <c r="I83" s="900"/>
      <c r="J83" s="901"/>
      <c r="K83" s="902"/>
      <c r="L83" s="903"/>
      <c r="M83" s="1040"/>
      <c r="N83" s="904"/>
      <c r="O83" s="905"/>
      <c r="P83" s="906"/>
      <c r="Q83" s="907"/>
      <c r="R83" s="905"/>
      <c r="S83" s="908"/>
      <c r="T83" s="908"/>
      <c r="U83" s="909"/>
      <c r="V83" s="799"/>
    </row>
    <row r="84" spans="1:22" ht="15.75">
      <c r="A84" s="893"/>
      <c r="B84" s="894"/>
      <c r="C84" s="895"/>
      <c r="D84" s="896"/>
      <c r="E84" s="897"/>
      <c r="F84" s="898"/>
      <c r="G84" s="898"/>
      <c r="H84" s="899"/>
      <c r="I84" s="900"/>
      <c r="J84" s="901"/>
      <c r="K84" s="902"/>
      <c r="L84" s="903"/>
      <c r="M84" s="1040"/>
      <c r="N84" s="904"/>
      <c r="O84" s="905"/>
      <c r="P84" s="906"/>
      <c r="Q84" s="907"/>
      <c r="R84" s="905"/>
      <c r="S84" s="908"/>
      <c r="T84" s="908"/>
      <c r="U84" s="909"/>
      <c r="V84" s="799"/>
    </row>
    <row r="85" spans="1:22" ht="15.75">
      <c r="A85" s="893"/>
      <c r="B85" s="894"/>
      <c r="C85" s="895"/>
      <c r="D85" s="896"/>
      <c r="E85" s="897"/>
      <c r="F85" s="898"/>
      <c r="G85" s="898"/>
      <c r="H85" s="899"/>
      <c r="I85" s="900"/>
      <c r="J85" s="901"/>
      <c r="K85" s="902"/>
      <c r="L85" s="903"/>
      <c r="M85" s="1040"/>
      <c r="N85" s="904"/>
      <c r="O85" s="905"/>
      <c r="P85" s="906"/>
      <c r="Q85" s="907"/>
      <c r="R85" s="905"/>
      <c r="S85" s="908"/>
      <c r="T85" s="908"/>
      <c r="U85" s="909"/>
      <c r="V85" s="799"/>
    </row>
    <row r="86" spans="1:22" ht="15.75">
      <c r="A86" s="893"/>
      <c r="B86" s="894"/>
      <c r="C86" s="895"/>
      <c r="D86" s="896"/>
      <c r="E86" s="897"/>
      <c r="F86" s="898"/>
      <c r="G86" s="898"/>
      <c r="H86" s="899"/>
      <c r="I86" s="900"/>
      <c r="J86" s="901"/>
      <c r="K86" s="902"/>
      <c r="L86" s="903"/>
      <c r="M86" s="1040"/>
      <c r="N86" s="904"/>
      <c r="O86" s="905"/>
      <c r="P86" s="906"/>
      <c r="Q86" s="907"/>
      <c r="R86" s="905"/>
      <c r="S86" s="908"/>
      <c r="T86" s="908"/>
      <c r="U86" s="909"/>
      <c r="V86" s="799"/>
    </row>
    <row r="87" spans="1:22" ht="15.75">
      <c r="A87" s="910"/>
      <c r="B87" s="911"/>
      <c r="C87" s="912"/>
      <c r="D87" s="913"/>
      <c r="E87" s="914"/>
      <c r="F87" s="915"/>
      <c r="G87" s="915"/>
      <c r="H87" s="916"/>
      <c r="I87" s="917"/>
      <c r="J87" s="918"/>
      <c r="K87" s="919"/>
      <c r="L87" s="920"/>
      <c r="M87" s="1041"/>
      <c r="N87" s="921"/>
      <c r="O87" s="922"/>
      <c r="P87" s="923"/>
      <c r="Q87" s="924"/>
      <c r="R87" s="922"/>
      <c r="S87" s="925"/>
      <c r="T87" s="925"/>
      <c r="U87" s="926"/>
      <c r="V87" s="814"/>
    </row>
    <row r="88" spans="1:22" ht="15.75">
      <c r="A88" s="876"/>
      <c r="B88" s="877"/>
      <c r="C88" s="878"/>
      <c r="D88" s="879"/>
      <c r="E88" s="880"/>
      <c r="F88" s="881"/>
      <c r="G88" s="941"/>
      <c r="H88" s="882"/>
      <c r="I88" s="883"/>
      <c r="J88" s="884"/>
      <c r="K88" s="885"/>
      <c r="L88" s="886"/>
      <c r="M88" s="1035"/>
      <c r="N88" s="887"/>
      <c r="O88" s="888"/>
      <c r="P88" s="889"/>
      <c r="Q88" s="890"/>
      <c r="R88" s="887"/>
      <c r="S88" s="891"/>
      <c r="T88" s="891"/>
      <c r="U88" s="892"/>
      <c r="V88" s="785"/>
    </row>
    <row r="89" spans="1:22" ht="15.75">
      <c r="A89" s="893"/>
      <c r="B89" s="894"/>
      <c r="C89" s="895"/>
      <c r="D89" s="896"/>
      <c r="E89" s="897"/>
      <c r="F89" s="898"/>
      <c r="G89" s="927"/>
      <c r="H89" s="899"/>
      <c r="I89" s="900"/>
      <c r="J89" s="901"/>
      <c r="K89" s="902"/>
      <c r="L89" s="903"/>
      <c r="M89" s="1036"/>
      <c r="N89" s="904"/>
      <c r="O89" s="905"/>
      <c r="P89" s="906"/>
      <c r="Q89" s="907"/>
      <c r="R89" s="904"/>
      <c r="S89" s="908"/>
      <c r="T89" s="908"/>
      <c r="U89" s="909"/>
      <c r="V89" s="799"/>
    </row>
    <row r="90" spans="1:22" ht="15.75">
      <c r="A90" s="893"/>
      <c r="B90" s="894"/>
      <c r="C90" s="895"/>
      <c r="D90" s="896"/>
      <c r="E90" s="897"/>
      <c r="F90" s="898"/>
      <c r="G90" s="927"/>
      <c r="H90" s="899"/>
      <c r="I90" s="900"/>
      <c r="J90" s="901"/>
      <c r="K90" s="902"/>
      <c r="L90" s="903"/>
      <c r="M90" s="1036"/>
      <c r="N90" s="904"/>
      <c r="O90" s="905"/>
      <c r="P90" s="906"/>
      <c r="Q90" s="907"/>
      <c r="R90" s="904"/>
      <c r="S90" s="908"/>
      <c r="T90" s="908"/>
      <c r="U90" s="909"/>
      <c r="V90" s="799"/>
    </row>
    <row r="91" spans="1:22" ht="15.75">
      <c r="A91" s="893"/>
      <c r="B91" s="894"/>
      <c r="C91" s="895"/>
      <c r="D91" s="896"/>
      <c r="E91" s="897"/>
      <c r="F91" s="898"/>
      <c r="G91" s="927"/>
      <c r="H91" s="899"/>
      <c r="I91" s="900"/>
      <c r="J91" s="901"/>
      <c r="K91" s="902"/>
      <c r="L91" s="903"/>
      <c r="M91" s="1036"/>
      <c r="N91" s="904"/>
      <c r="O91" s="905"/>
      <c r="P91" s="906"/>
      <c r="Q91" s="907"/>
      <c r="R91" s="904"/>
      <c r="S91" s="908"/>
      <c r="T91" s="908"/>
      <c r="U91" s="909"/>
      <c r="V91" s="799"/>
    </row>
    <row r="92" spans="1:22" ht="15.75">
      <c r="A92" s="893"/>
      <c r="B92" s="894"/>
      <c r="C92" s="895"/>
      <c r="D92" s="896"/>
      <c r="E92" s="897"/>
      <c r="F92" s="898"/>
      <c r="G92" s="927"/>
      <c r="H92" s="899"/>
      <c r="I92" s="900"/>
      <c r="J92" s="901"/>
      <c r="K92" s="902"/>
      <c r="L92" s="903"/>
      <c r="M92" s="1036"/>
      <c r="N92" s="904"/>
      <c r="O92" s="905"/>
      <c r="P92" s="906"/>
      <c r="Q92" s="907"/>
      <c r="R92" s="904"/>
      <c r="S92" s="908"/>
      <c r="T92" s="908"/>
      <c r="U92" s="909"/>
      <c r="V92" s="799"/>
    </row>
    <row r="93" spans="1:22" ht="15.75">
      <c r="A93" s="910"/>
      <c r="B93" s="911"/>
      <c r="C93" s="912"/>
      <c r="D93" s="913"/>
      <c r="E93" s="914"/>
      <c r="F93" s="915"/>
      <c r="G93" s="942"/>
      <c r="H93" s="916"/>
      <c r="I93" s="917"/>
      <c r="J93" s="918"/>
      <c r="K93" s="919"/>
      <c r="L93" s="920"/>
      <c r="M93" s="1037"/>
      <c r="N93" s="921"/>
      <c r="O93" s="922"/>
      <c r="P93" s="923"/>
      <c r="Q93" s="924"/>
      <c r="R93" s="921"/>
      <c r="S93" s="925"/>
      <c r="T93" s="925"/>
      <c r="U93" s="926"/>
      <c r="V93" s="814"/>
    </row>
    <row r="94" spans="1:22" ht="15.75">
      <c r="A94" s="893"/>
      <c r="B94" s="894"/>
      <c r="C94" s="895"/>
      <c r="D94" s="896"/>
      <c r="E94" s="897"/>
      <c r="F94" s="898"/>
      <c r="G94" s="898"/>
      <c r="H94" s="166"/>
      <c r="I94" s="900"/>
      <c r="J94" s="869"/>
      <c r="K94" s="902"/>
      <c r="L94" s="898"/>
      <c r="M94" s="1036"/>
      <c r="N94" s="904"/>
      <c r="O94" s="904"/>
      <c r="P94" s="906"/>
      <c r="Q94" s="898"/>
      <c r="R94" s="904"/>
      <c r="S94" s="908"/>
      <c r="T94" s="908"/>
      <c r="U94" s="909"/>
      <c r="V94" s="843"/>
    </row>
    <row r="95" spans="1:22" ht="15.75">
      <c r="A95" s="893"/>
      <c r="B95" s="894"/>
      <c r="C95" s="895"/>
      <c r="D95" s="896"/>
      <c r="E95" s="897"/>
      <c r="F95" s="898"/>
      <c r="G95" s="898"/>
      <c r="H95" s="166"/>
      <c r="I95" s="900"/>
      <c r="J95" s="869"/>
      <c r="K95" s="902"/>
      <c r="L95" s="898"/>
      <c r="M95" s="1036"/>
      <c r="N95" s="904"/>
      <c r="O95" s="904"/>
      <c r="P95" s="906"/>
      <c r="Q95" s="898"/>
      <c r="R95" s="904"/>
      <c r="S95" s="908"/>
      <c r="T95" s="908"/>
      <c r="U95" s="909"/>
      <c r="V95" s="843"/>
    </row>
    <row r="96" spans="1:22" ht="15.75">
      <c r="A96" s="893"/>
      <c r="B96" s="894"/>
      <c r="C96" s="895"/>
      <c r="D96" s="896"/>
      <c r="E96" s="897"/>
      <c r="F96" s="898"/>
      <c r="G96" s="898"/>
      <c r="H96" s="166"/>
      <c r="I96" s="900"/>
      <c r="J96" s="869"/>
      <c r="K96" s="902"/>
      <c r="L96" s="898"/>
      <c r="M96" s="1036"/>
      <c r="N96" s="904"/>
      <c r="O96" s="904"/>
      <c r="P96" s="906"/>
      <c r="Q96" s="898"/>
      <c r="R96" s="904"/>
      <c r="S96" s="908"/>
      <c r="T96" s="908"/>
      <c r="U96" s="909"/>
      <c r="V96" s="843"/>
    </row>
    <row r="97" spans="1:22" ht="15.75">
      <c r="A97" s="893"/>
      <c r="B97" s="894"/>
      <c r="C97" s="895"/>
      <c r="D97" s="896"/>
      <c r="E97" s="897"/>
      <c r="F97" s="898"/>
      <c r="G97" s="898"/>
      <c r="H97" s="166"/>
      <c r="I97" s="900"/>
      <c r="J97" s="869"/>
      <c r="K97" s="902"/>
      <c r="L97" s="898"/>
      <c r="M97" s="1036"/>
      <c r="N97" s="904"/>
      <c r="O97" s="904"/>
      <c r="P97" s="906"/>
      <c r="Q97" s="898"/>
      <c r="R97" s="904"/>
      <c r="S97" s="908"/>
      <c r="T97" s="908"/>
      <c r="U97" s="909"/>
      <c r="V97" s="843"/>
    </row>
    <row r="98" spans="1:22" ht="15.75">
      <c r="A98" s="893"/>
      <c r="B98" s="894"/>
      <c r="C98" s="895"/>
      <c r="D98" s="896"/>
      <c r="E98" s="897"/>
      <c r="F98" s="898"/>
      <c r="G98" s="898"/>
      <c r="H98" s="166"/>
      <c r="I98" s="900"/>
      <c r="J98" s="869"/>
      <c r="K98" s="902"/>
      <c r="L98" s="898"/>
      <c r="M98" s="1036"/>
      <c r="N98" s="904"/>
      <c r="O98" s="904"/>
      <c r="P98" s="906"/>
      <c r="Q98" s="898"/>
      <c r="R98" s="904"/>
      <c r="S98" s="908"/>
      <c r="T98" s="908"/>
      <c r="U98" s="909"/>
      <c r="V98" s="843"/>
    </row>
    <row r="99" spans="1:22" ht="15.75">
      <c r="A99" s="893"/>
      <c r="B99" s="894"/>
      <c r="C99" s="895"/>
      <c r="D99" s="896"/>
      <c r="E99" s="897"/>
      <c r="F99" s="898"/>
      <c r="G99" s="898"/>
      <c r="H99" s="166"/>
      <c r="I99" s="900"/>
      <c r="J99" s="869"/>
      <c r="K99" s="902"/>
      <c r="L99" s="898"/>
      <c r="M99" s="1036"/>
      <c r="N99" s="904"/>
      <c r="O99" s="904"/>
      <c r="P99" s="906"/>
      <c r="Q99" s="898"/>
      <c r="R99" s="904"/>
      <c r="S99" s="908"/>
      <c r="T99" s="908"/>
      <c r="U99" s="909"/>
      <c r="V99" s="843"/>
    </row>
    <row r="100" spans="1:22" ht="15.75">
      <c r="A100" s="910"/>
      <c r="B100" s="911"/>
      <c r="C100" s="912"/>
      <c r="D100" s="913"/>
      <c r="E100" s="914"/>
      <c r="F100" s="915"/>
      <c r="G100" s="915"/>
      <c r="H100" s="169"/>
      <c r="I100" s="917"/>
      <c r="J100" s="928"/>
      <c r="K100" s="919"/>
      <c r="L100" s="915"/>
      <c r="M100" s="1037"/>
      <c r="N100" s="921"/>
      <c r="O100" s="921"/>
      <c r="P100" s="923"/>
      <c r="Q100" s="915"/>
      <c r="R100" s="921"/>
      <c r="S100" s="925"/>
      <c r="T100" s="925"/>
      <c r="U100" s="926"/>
      <c r="V100" s="844"/>
    </row>
    <row r="101" spans="1:22" ht="15.75">
      <c r="A101" s="517"/>
      <c r="B101" s="4"/>
      <c r="C101" s="518"/>
      <c r="D101" s="929"/>
      <c r="E101" s="68"/>
      <c r="F101" s="930"/>
      <c r="G101" s="4"/>
      <c r="H101" s="427"/>
      <c r="I101" s="549"/>
      <c r="J101" s="931"/>
      <c r="K101" s="932"/>
      <c r="L101" s="4"/>
      <c r="M101" s="933"/>
      <c r="N101" s="16"/>
      <c r="O101" s="16"/>
      <c r="P101" s="934"/>
      <c r="Q101" s="4"/>
      <c r="R101" s="935"/>
      <c r="S101" s="936"/>
      <c r="T101" s="936"/>
      <c r="U101" s="937"/>
      <c r="V101" s="521"/>
    </row>
    <row r="102" spans="1:22" ht="15.75">
      <c r="A102" s="338"/>
      <c r="B102" s="19"/>
      <c r="C102" s="351"/>
      <c r="D102" s="879"/>
      <c r="E102" s="63"/>
      <c r="F102" s="19"/>
      <c r="G102" s="938"/>
      <c r="H102" s="164"/>
      <c r="I102" s="883"/>
      <c r="J102" s="838"/>
      <c r="K102" s="885"/>
      <c r="L102" s="19"/>
      <c r="M102" s="1007"/>
      <c r="N102" s="848"/>
      <c r="O102" s="848"/>
      <c r="P102" s="719"/>
      <c r="Q102" s="19"/>
      <c r="R102" s="887"/>
      <c r="S102" s="891"/>
      <c r="T102" s="891"/>
      <c r="U102" s="845"/>
      <c r="V102" s="842"/>
    </row>
    <row r="103" spans="1:22" ht="15.75">
      <c r="A103" s="339"/>
      <c r="B103" s="21"/>
      <c r="C103" s="352"/>
      <c r="D103" s="896"/>
      <c r="E103" s="65"/>
      <c r="F103" s="21"/>
      <c r="G103" s="939"/>
      <c r="H103" s="166"/>
      <c r="I103" s="900"/>
      <c r="J103" s="869"/>
      <c r="K103" s="902"/>
      <c r="L103" s="21"/>
      <c r="M103" s="1038"/>
      <c r="N103" s="849"/>
      <c r="O103" s="849"/>
      <c r="P103" s="720"/>
      <c r="Q103" s="21"/>
      <c r="R103" s="904"/>
      <c r="S103" s="908"/>
      <c r="T103" s="908"/>
      <c r="U103" s="846"/>
      <c r="V103" s="843"/>
    </row>
    <row r="104" spans="1:22" ht="15.75">
      <c r="A104" s="339"/>
      <c r="B104" s="21"/>
      <c r="C104" s="352"/>
      <c r="D104" s="896"/>
      <c r="E104" s="65"/>
      <c r="F104" s="21"/>
      <c r="G104" s="939"/>
      <c r="H104" s="166"/>
      <c r="I104" s="900"/>
      <c r="J104" s="870"/>
      <c r="K104" s="902"/>
      <c r="L104" s="21"/>
      <c r="M104" s="1038"/>
      <c r="N104" s="849"/>
      <c r="O104" s="849"/>
      <c r="P104" s="720"/>
      <c r="Q104" s="21"/>
      <c r="R104" s="904"/>
      <c r="S104" s="908"/>
      <c r="T104" s="908"/>
      <c r="U104" s="846"/>
      <c r="V104" s="843"/>
    </row>
    <row r="105" spans="1:22" ht="15.75">
      <c r="A105" s="340"/>
      <c r="B105" s="22"/>
      <c r="C105" s="353"/>
      <c r="D105" s="913"/>
      <c r="E105" s="67"/>
      <c r="F105" s="22"/>
      <c r="G105" s="940"/>
      <c r="H105" s="169"/>
      <c r="I105" s="917"/>
      <c r="J105" s="875"/>
      <c r="K105" s="919"/>
      <c r="L105" s="22"/>
      <c r="M105" s="1008"/>
      <c r="N105" s="850"/>
      <c r="O105" s="850"/>
      <c r="P105" s="721"/>
      <c r="Q105" s="22"/>
      <c r="R105" s="921"/>
      <c r="S105" s="925"/>
      <c r="T105" s="925"/>
      <c r="U105" s="847"/>
      <c r="V105" s="844"/>
    </row>
    <row r="106" spans="1:22">
      <c r="A106" s="339"/>
      <c r="B106" s="21"/>
      <c r="C106" s="352"/>
      <c r="D106" s="21"/>
      <c r="E106" s="849"/>
      <c r="F106" s="21"/>
      <c r="G106" s="21"/>
      <c r="H106" s="871"/>
      <c r="I106" s="177"/>
      <c r="J106" s="320"/>
      <c r="K106" s="21"/>
      <c r="L106" s="21"/>
      <c r="M106" s="840"/>
      <c r="N106" s="849"/>
      <c r="O106" s="849"/>
      <c r="P106" s="720"/>
      <c r="Q106" s="21"/>
      <c r="R106" s="849"/>
      <c r="S106" s="843"/>
      <c r="T106" s="872"/>
      <c r="U106" s="846"/>
      <c r="V106" s="843"/>
    </row>
    <row r="107" spans="1:22">
      <c r="A107" s="339"/>
      <c r="B107" s="21"/>
      <c r="C107" s="352"/>
      <c r="D107" s="21"/>
      <c r="E107" s="849"/>
      <c r="F107" s="21"/>
      <c r="G107" s="21"/>
      <c r="H107" s="871"/>
      <c r="I107" s="177"/>
      <c r="J107" s="320"/>
      <c r="K107" s="21"/>
      <c r="L107" s="21"/>
      <c r="M107" s="840"/>
      <c r="N107" s="849"/>
      <c r="O107" s="849"/>
      <c r="P107" s="720"/>
      <c r="Q107" s="21"/>
      <c r="R107" s="849"/>
      <c r="S107" s="843"/>
      <c r="T107" s="872"/>
      <c r="U107" s="846"/>
      <c r="V107" s="843"/>
    </row>
    <row r="108" spans="1:22">
      <c r="A108" s="339"/>
      <c r="B108" s="21"/>
      <c r="C108" s="352"/>
      <c r="D108" s="21"/>
      <c r="E108" s="849"/>
      <c r="F108" s="21"/>
      <c r="G108" s="21"/>
      <c r="H108" s="871"/>
      <c r="I108" s="177"/>
      <c r="J108" s="320"/>
      <c r="K108" s="21"/>
      <c r="L108" s="21"/>
      <c r="M108" s="840"/>
      <c r="N108" s="849"/>
      <c r="O108" s="849"/>
      <c r="P108" s="720"/>
      <c r="Q108" s="21"/>
      <c r="R108" s="849"/>
      <c r="S108" s="843"/>
      <c r="T108" s="872"/>
      <c r="U108" s="846"/>
      <c r="V108" s="843"/>
    </row>
    <row r="109" spans="1:22">
      <c r="A109" s="339"/>
      <c r="B109" s="21"/>
      <c r="C109" s="352"/>
      <c r="D109" s="21"/>
      <c r="E109" s="849"/>
      <c r="F109" s="21"/>
      <c r="G109" s="21"/>
      <c r="H109" s="871"/>
      <c r="I109" s="177"/>
      <c r="J109" s="320"/>
      <c r="K109" s="21"/>
      <c r="L109" s="21"/>
      <c r="M109" s="840"/>
      <c r="N109" s="849"/>
      <c r="O109" s="849"/>
      <c r="P109" s="720"/>
      <c r="Q109" s="21"/>
      <c r="R109" s="849"/>
      <c r="S109" s="843"/>
      <c r="T109" s="872"/>
      <c r="U109" s="846"/>
      <c r="V109" s="843"/>
    </row>
    <row r="110" spans="1:22">
      <c r="A110" s="339"/>
      <c r="B110" s="21"/>
      <c r="C110" s="352"/>
      <c r="D110" s="21"/>
      <c r="E110" s="849"/>
      <c r="F110" s="21"/>
      <c r="G110" s="21"/>
      <c r="H110" s="871"/>
      <c r="I110" s="177"/>
      <c r="J110" s="320"/>
      <c r="K110" s="21"/>
      <c r="L110" s="21"/>
      <c r="M110" s="840"/>
      <c r="N110" s="849"/>
      <c r="O110" s="849"/>
      <c r="P110" s="720"/>
      <c r="Q110" s="21"/>
      <c r="R110" s="849"/>
      <c r="S110" s="843"/>
      <c r="T110" s="872"/>
      <c r="U110" s="846"/>
      <c r="V110" s="843"/>
    </row>
    <row r="111" spans="1:22">
      <c r="A111" s="339"/>
      <c r="B111" s="21"/>
      <c r="C111" s="352"/>
      <c r="D111" s="21"/>
      <c r="E111" s="849"/>
      <c r="F111" s="21"/>
      <c r="G111" s="21"/>
      <c r="H111" s="871"/>
      <c r="I111" s="177"/>
      <c r="J111" s="320"/>
      <c r="K111" s="21"/>
      <c r="L111" s="21"/>
      <c r="M111" s="840"/>
      <c r="N111" s="849"/>
      <c r="O111" s="849"/>
      <c r="P111" s="720"/>
      <c r="Q111" s="21"/>
      <c r="R111" s="849"/>
      <c r="S111" s="843"/>
      <c r="T111" s="872"/>
      <c r="U111" s="846"/>
      <c r="V111" s="843"/>
    </row>
    <row r="112" spans="1:22">
      <c r="A112" s="339"/>
      <c r="B112" s="21"/>
      <c r="C112" s="352"/>
      <c r="D112" s="21"/>
      <c r="E112" s="849"/>
      <c r="F112" s="21"/>
      <c r="G112" s="21"/>
      <c r="H112" s="871"/>
      <c r="I112" s="177"/>
      <c r="J112" s="320"/>
      <c r="K112" s="21"/>
      <c r="L112" s="21"/>
      <c r="M112" s="840"/>
      <c r="N112" s="849"/>
      <c r="O112" s="849"/>
      <c r="P112" s="720"/>
      <c r="Q112" s="21"/>
      <c r="R112" s="849"/>
      <c r="S112" s="843"/>
      <c r="T112" s="872"/>
      <c r="U112" s="846"/>
      <c r="V112" s="843"/>
    </row>
    <row r="113" spans="1:22">
      <c r="A113" s="339"/>
      <c r="B113" s="21"/>
      <c r="C113" s="352"/>
      <c r="D113" s="21"/>
      <c r="E113" s="849"/>
      <c r="F113" s="21"/>
      <c r="G113" s="21"/>
      <c r="H113" s="871"/>
      <c r="I113" s="177"/>
      <c r="J113" s="320"/>
      <c r="K113" s="21"/>
      <c r="L113" s="21"/>
      <c r="M113" s="840"/>
      <c r="N113" s="849"/>
      <c r="O113" s="849"/>
      <c r="P113" s="720"/>
      <c r="Q113" s="21"/>
      <c r="R113" s="849"/>
      <c r="S113" s="843"/>
      <c r="T113" s="872"/>
      <c r="U113" s="846"/>
      <c r="V113" s="843"/>
    </row>
    <row r="114" spans="1:22">
      <c r="A114" s="339"/>
      <c r="B114" s="21"/>
      <c r="C114" s="352"/>
      <c r="D114" s="21"/>
      <c r="E114" s="849"/>
      <c r="F114" s="21"/>
      <c r="G114" s="21"/>
      <c r="H114" s="871"/>
      <c r="I114" s="177"/>
      <c r="J114" s="320"/>
      <c r="K114" s="21"/>
      <c r="L114" s="21"/>
      <c r="M114" s="840"/>
      <c r="N114" s="849"/>
      <c r="O114" s="849"/>
      <c r="P114" s="720"/>
      <c r="Q114" s="21"/>
      <c r="R114" s="849"/>
      <c r="S114" s="843"/>
      <c r="T114" s="872"/>
      <c r="U114" s="846"/>
      <c r="V114" s="843"/>
    </row>
    <row r="115" spans="1:22">
      <c r="A115" s="339"/>
      <c r="B115" s="21"/>
      <c r="C115" s="352"/>
      <c r="D115" s="21"/>
      <c r="E115" s="849"/>
      <c r="F115" s="21"/>
      <c r="G115" s="21"/>
      <c r="H115" s="871"/>
      <c r="I115" s="177"/>
      <c r="J115" s="320"/>
      <c r="K115" s="21"/>
      <c r="L115" s="21"/>
      <c r="M115" s="840"/>
      <c r="N115" s="849"/>
      <c r="O115" s="849"/>
      <c r="P115" s="720"/>
      <c r="Q115" s="21"/>
      <c r="R115" s="849"/>
      <c r="S115" s="843"/>
      <c r="T115" s="872"/>
      <c r="U115" s="846"/>
      <c r="V115" s="843"/>
    </row>
    <row r="116" spans="1:22">
      <c r="A116" s="339"/>
      <c r="B116" s="21"/>
      <c r="C116" s="352"/>
      <c r="D116" s="21"/>
      <c r="E116" s="849"/>
      <c r="F116" s="21"/>
      <c r="G116" s="21"/>
      <c r="H116" s="871"/>
      <c r="I116" s="177"/>
      <c r="J116" s="320"/>
      <c r="K116" s="21"/>
      <c r="L116" s="21"/>
      <c r="M116" s="840"/>
      <c r="N116" s="849"/>
      <c r="O116" s="849"/>
      <c r="P116" s="720"/>
      <c r="Q116" s="21"/>
      <c r="R116" s="849"/>
      <c r="S116" s="843"/>
      <c r="T116" s="872"/>
      <c r="U116" s="846"/>
      <c r="V116" s="843"/>
    </row>
    <row r="117" spans="1:22">
      <c r="A117" s="339"/>
      <c r="B117" s="21"/>
      <c r="C117" s="352"/>
      <c r="D117" s="21"/>
      <c r="E117" s="849"/>
      <c r="F117" s="21"/>
      <c r="G117" s="21"/>
      <c r="H117" s="871"/>
      <c r="I117" s="177"/>
      <c r="J117" s="320"/>
      <c r="K117" s="21"/>
      <c r="L117" s="21"/>
      <c r="M117" s="840"/>
      <c r="N117" s="849"/>
      <c r="O117" s="849"/>
      <c r="P117" s="720"/>
      <c r="Q117" s="21"/>
      <c r="R117" s="849"/>
      <c r="S117" s="843"/>
      <c r="T117" s="872"/>
      <c r="U117" s="846"/>
      <c r="V117" s="843"/>
    </row>
    <row r="118" spans="1:22">
      <c r="A118" s="339"/>
      <c r="B118" s="21"/>
      <c r="C118" s="352"/>
      <c r="D118" s="21"/>
      <c r="E118" s="849"/>
      <c r="F118" s="21"/>
      <c r="G118" s="21"/>
      <c r="H118" s="871"/>
      <c r="I118" s="177"/>
      <c r="J118" s="320"/>
      <c r="K118" s="21"/>
      <c r="L118" s="21"/>
      <c r="M118" s="840"/>
      <c r="N118" s="849"/>
      <c r="O118" s="849"/>
      <c r="P118" s="720"/>
      <c r="Q118" s="21"/>
      <c r="R118" s="849"/>
      <c r="S118" s="843"/>
      <c r="T118" s="872"/>
      <c r="U118" s="846"/>
      <c r="V118" s="843"/>
    </row>
    <row r="119" spans="1:22">
      <c r="A119" s="339"/>
      <c r="B119" s="21"/>
      <c r="C119" s="352"/>
      <c r="D119" s="21"/>
      <c r="E119" s="849"/>
      <c r="F119" s="21"/>
      <c r="G119" s="21"/>
      <c r="H119" s="871"/>
      <c r="I119" s="177"/>
      <c r="J119" s="320"/>
      <c r="K119" s="21"/>
      <c r="L119" s="21"/>
      <c r="M119" s="840"/>
      <c r="N119" s="849"/>
      <c r="O119" s="849"/>
      <c r="P119" s="720"/>
      <c r="Q119" s="21"/>
      <c r="R119" s="849"/>
      <c r="S119" s="843"/>
      <c r="T119" s="872"/>
      <c r="U119" s="846"/>
      <c r="V119" s="843"/>
    </row>
    <row r="120" spans="1:22">
      <c r="A120" s="339"/>
      <c r="B120" s="21"/>
      <c r="C120" s="352"/>
      <c r="D120" s="21"/>
      <c r="E120" s="849"/>
      <c r="F120" s="21"/>
      <c r="G120" s="21"/>
      <c r="H120" s="871"/>
      <c r="I120" s="177"/>
      <c r="J120" s="320"/>
      <c r="K120" s="21"/>
      <c r="L120" s="21"/>
      <c r="M120" s="840"/>
      <c r="N120" s="849"/>
      <c r="O120" s="849"/>
      <c r="P120" s="720"/>
      <c r="Q120" s="21"/>
      <c r="R120" s="849"/>
      <c r="S120" s="843"/>
      <c r="T120" s="872"/>
      <c r="U120" s="846"/>
      <c r="V120" s="843"/>
    </row>
    <row r="121" spans="1:22">
      <c r="A121" s="339"/>
      <c r="B121" s="21"/>
      <c r="C121" s="352"/>
      <c r="D121" s="21"/>
      <c r="E121" s="849"/>
      <c r="F121" s="21"/>
      <c r="G121" s="21"/>
      <c r="H121" s="871"/>
      <c r="I121" s="177"/>
      <c r="J121" s="320"/>
      <c r="K121" s="21"/>
      <c r="L121" s="21"/>
      <c r="M121" s="840"/>
      <c r="N121" s="849"/>
      <c r="O121" s="849"/>
      <c r="P121" s="720"/>
      <c r="Q121" s="21"/>
      <c r="R121" s="849"/>
      <c r="S121" s="843"/>
      <c r="T121" s="872"/>
      <c r="U121" s="846"/>
      <c r="V121" s="843"/>
    </row>
    <row r="122" spans="1:22">
      <c r="A122" s="339"/>
      <c r="B122" s="21"/>
      <c r="C122" s="352"/>
      <c r="D122" s="21"/>
      <c r="E122" s="849"/>
      <c r="F122" s="21"/>
      <c r="G122" s="21"/>
      <c r="H122" s="871"/>
      <c r="I122" s="177"/>
      <c r="J122" s="320"/>
      <c r="K122" s="21"/>
      <c r="L122" s="21"/>
      <c r="M122" s="840"/>
      <c r="N122" s="849"/>
      <c r="O122" s="849"/>
      <c r="P122" s="720"/>
      <c r="Q122" s="21"/>
      <c r="R122" s="849"/>
      <c r="S122" s="843"/>
      <c r="T122" s="872"/>
      <c r="U122" s="846"/>
      <c r="V122" s="843"/>
    </row>
    <row r="123" spans="1:22">
      <c r="A123" s="339"/>
      <c r="B123" s="21"/>
      <c r="C123" s="352"/>
      <c r="D123" s="21"/>
      <c r="E123" s="849"/>
      <c r="F123" s="21"/>
      <c r="G123" s="21"/>
      <c r="H123" s="871"/>
      <c r="I123" s="177"/>
      <c r="J123" s="320"/>
      <c r="K123" s="21"/>
      <c r="L123" s="21"/>
      <c r="M123" s="840"/>
      <c r="N123" s="849"/>
      <c r="O123" s="849"/>
      <c r="P123" s="720"/>
      <c r="Q123" s="21"/>
      <c r="R123" s="849"/>
      <c r="S123" s="843"/>
      <c r="T123" s="872"/>
      <c r="U123" s="846"/>
      <c r="V123" s="843"/>
    </row>
    <row r="124" spans="1:22">
      <c r="A124" s="339"/>
      <c r="B124" s="21"/>
      <c r="C124" s="352"/>
      <c r="D124" s="21"/>
      <c r="E124" s="849"/>
      <c r="F124" s="21"/>
      <c r="G124" s="21"/>
      <c r="H124" s="871"/>
      <c r="I124" s="177"/>
      <c r="J124" s="320"/>
      <c r="K124" s="21"/>
      <c r="L124" s="21"/>
      <c r="M124" s="840"/>
      <c r="N124" s="849"/>
      <c r="O124" s="849"/>
      <c r="P124" s="720"/>
      <c r="Q124" s="21"/>
      <c r="R124" s="849"/>
      <c r="S124" s="843"/>
      <c r="T124" s="872"/>
      <c r="U124" s="846"/>
      <c r="V124" s="843"/>
    </row>
    <row r="125" spans="1:22">
      <c r="A125" s="339"/>
      <c r="B125" s="21"/>
      <c r="C125" s="352"/>
      <c r="D125" s="21"/>
      <c r="E125" s="849"/>
      <c r="F125" s="21"/>
      <c r="G125" s="21"/>
      <c r="H125" s="871"/>
      <c r="I125" s="177"/>
      <c r="J125" s="320"/>
      <c r="K125" s="21"/>
      <c r="L125" s="21"/>
      <c r="M125" s="839"/>
      <c r="N125" s="849"/>
      <c r="O125" s="849"/>
      <c r="P125" s="720"/>
      <c r="Q125" s="21"/>
      <c r="R125" s="849"/>
      <c r="S125" s="843"/>
      <c r="T125" s="872"/>
      <c r="U125" s="846"/>
      <c r="V125" s="843"/>
    </row>
    <row r="126" spans="1:22">
      <c r="A126" s="339"/>
      <c r="B126" s="21"/>
      <c r="C126" s="352"/>
      <c r="D126" s="21"/>
      <c r="E126" s="849"/>
      <c r="F126" s="21"/>
      <c r="G126" s="21"/>
      <c r="H126" s="871"/>
      <c r="I126" s="177"/>
      <c r="J126" s="320"/>
      <c r="K126" s="21"/>
      <c r="L126" s="21"/>
      <c r="M126" s="839"/>
      <c r="N126" s="849"/>
      <c r="O126" s="849"/>
      <c r="P126" s="720"/>
      <c r="Q126" s="21"/>
      <c r="R126" s="849"/>
      <c r="S126" s="843"/>
      <c r="T126" s="872"/>
      <c r="U126" s="846"/>
      <c r="V126" s="843"/>
    </row>
    <row r="127" spans="1:22">
      <c r="A127" s="339"/>
      <c r="B127" s="21"/>
      <c r="C127" s="352"/>
      <c r="D127" s="21"/>
      <c r="E127" s="849"/>
      <c r="F127" s="21"/>
      <c r="G127" s="21"/>
      <c r="H127" s="871"/>
      <c r="I127" s="177"/>
      <c r="J127" s="320"/>
      <c r="K127" s="21"/>
      <c r="L127" s="21"/>
      <c r="M127" s="839"/>
      <c r="N127" s="849"/>
      <c r="O127" s="849"/>
      <c r="P127" s="720"/>
      <c r="Q127" s="21"/>
      <c r="R127" s="849"/>
      <c r="S127" s="843"/>
      <c r="T127" s="872"/>
      <c r="U127" s="846"/>
      <c r="V127" s="843"/>
    </row>
    <row r="128" spans="1:22">
      <c r="A128" s="339"/>
      <c r="B128" s="21"/>
      <c r="C128" s="352"/>
      <c r="D128" s="21"/>
      <c r="E128" s="849"/>
      <c r="F128" s="21"/>
      <c r="G128" s="21"/>
      <c r="H128" s="871"/>
      <c r="I128" s="177"/>
      <c r="J128" s="320"/>
      <c r="K128" s="21"/>
      <c r="L128" s="21"/>
      <c r="M128" s="839"/>
      <c r="N128" s="849"/>
      <c r="O128" s="849"/>
      <c r="P128" s="720"/>
      <c r="Q128" s="21"/>
      <c r="R128" s="849"/>
      <c r="S128" s="843"/>
      <c r="T128" s="872"/>
      <c r="U128" s="846"/>
      <c r="V128" s="843"/>
    </row>
    <row r="129" spans="1:22">
      <c r="A129" s="339"/>
      <c r="B129" s="21"/>
      <c r="C129" s="352"/>
      <c r="D129" s="21"/>
      <c r="E129" s="849"/>
      <c r="F129" s="21"/>
      <c r="G129" s="21"/>
      <c r="H129" s="871"/>
      <c r="I129" s="177"/>
      <c r="J129" s="320"/>
      <c r="K129" s="21"/>
      <c r="L129" s="21"/>
      <c r="M129" s="839"/>
      <c r="N129" s="849"/>
      <c r="O129" s="849"/>
      <c r="P129" s="720"/>
      <c r="Q129" s="21"/>
      <c r="R129" s="849"/>
      <c r="S129" s="843"/>
      <c r="T129" s="872"/>
      <c r="U129" s="846"/>
      <c r="V129" s="843"/>
    </row>
    <row r="130" spans="1:22">
      <c r="A130" s="339"/>
      <c r="B130" s="21"/>
      <c r="C130" s="352"/>
      <c r="D130" s="21"/>
      <c r="E130" s="849"/>
      <c r="F130" s="21"/>
      <c r="G130" s="21"/>
      <c r="H130" s="871"/>
      <c r="I130" s="177"/>
      <c r="J130" s="320"/>
      <c r="K130" s="21"/>
      <c r="L130" s="21"/>
      <c r="M130" s="839"/>
      <c r="N130" s="849"/>
      <c r="O130" s="849"/>
      <c r="P130" s="720"/>
      <c r="Q130" s="21"/>
      <c r="R130" s="849"/>
      <c r="S130" s="843"/>
      <c r="T130" s="872"/>
      <c r="U130" s="846"/>
      <c r="V130" s="843"/>
    </row>
    <row r="131" spans="1:22">
      <c r="A131" s="339"/>
      <c r="B131" s="21"/>
      <c r="C131" s="352"/>
      <c r="D131" s="21"/>
      <c r="E131" s="849"/>
      <c r="F131" s="21"/>
      <c r="G131" s="21"/>
      <c r="H131" s="871"/>
      <c r="I131" s="177"/>
      <c r="J131" s="320"/>
      <c r="K131" s="21"/>
      <c r="L131" s="21"/>
      <c r="M131" s="839"/>
      <c r="N131" s="849"/>
      <c r="O131" s="849"/>
      <c r="P131" s="720"/>
      <c r="Q131" s="21"/>
      <c r="R131" s="849"/>
      <c r="S131" s="843"/>
      <c r="T131" s="872"/>
      <c r="U131" s="846"/>
      <c r="V131" s="843"/>
    </row>
    <row r="132" spans="1:22">
      <c r="A132" s="339"/>
      <c r="B132" s="21"/>
      <c r="C132" s="352"/>
      <c r="D132" s="21"/>
      <c r="E132" s="849"/>
      <c r="F132" s="21"/>
      <c r="G132" s="21"/>
      <c r="H132" s="871"/>
      <c r="I132" s="177"/>
      <c r="J132" s="320"/>
      <c r="K132" s="21"/>
      <c r="L132" s="21"/>
      <c r="M132" s="839"/>
      <c r="N132" s="849"/>
      <c r="O132" s="849"/>
      <c r="P132" s="720"/>
      <c r="Q132" s="21"/>
      <c r="R132" s="849"/>
      <c r="S132" s="843"/>
      <c r="T132" s="872"/>
      <c r="U132" s="846"/>
      <c r="V132" s="843"/>
    </row>
    <row r="133" spans="1:22">
      <c r="A133" s="339"/>
      <c r="B133" s="21"/>
      <c r="C133" s="352"/>
      <c r="D133" s="21"/>
      <c r="E133" s="849"/>
      <c r="F133" s="21"/>
      <c r="G133" s="21"/>
      <c r="H133" s="871"/>
      <c r="I133" s="177"/>
      <c r="J133" s="320"/>
      <c r="K133" s="21"/>
      <c r="L133" s="21"/>
      <c r="M133" s="839"/>
      <c r="N133" s="849"/>
      <c r="O133" s="849"/>
      <c r="P133" s="720"/>
      <c r="Q133" s="21"/>
      <c r="R133" s="849"/>
      <c r="S133" s="843"/>
      <c r="T133" s="872"/>
      <c r="U133" s="846"/>
      <c r="V133" s="843"/>
    </row>
    <row r="134" spans="1:22">
      <c r="A134" s="339"/>
      <c r="B134" s="21"/>
      <c r="C134" s="352"/>
      <c r="D134" s="21"/>
      <c r="E134" s="849"/>
      <c r="F134" s="21"/>
      <c r="G134" s="21"/>
      <c r="H134" s="871"/>
      <c r="I134" s="177"/>
      <c r="J134" s="320"/>
      <c r="K134" s="21"/>
      <c r="L134" s="21"/>
      <c r="M134" s="839"/>
      <c r="N134" s="849"/>
      <c r="O134" s="849"/>
      <c r="P134" s="720"/>
      <c r="Q134" s="21"/>
      <c r="R134" s="849"/>
      <c r="S134" s="843"/>
      <c r="T134" s="872"/>
      <c r="U134" s="846"/>
      <c r="V134" s="843"/>
    </row>
    <row r="135" spans="1:22">
      <c r="A135" s="339"/>
      <c r="B135" s="21"/>
      <c r="C135" s="352"/>
      <c r="D135" s="21"/>
      <c r="E135" s="849"/>
      <c r="F135" s="21"/>
      <c r="G135" s="21"/>
      <c r="H135" s="871"/>
      <c r="I135" s="177"/>
      <c r="J135" s="320"/>
      <c r="K135" s="21"/>
      <c r="L135" s="21"/>
      <c r="M135" s="839"/>
      <c r="N135" s="849"/>
      <c r="O135" s="849"/>
      <c r="P135" s="720"/>
      <c r="Q135" s="21"/>
      <c r="R135" s="849"/>
      <c r="S135" s="843"/>
      <c r="T135" s="872"/>
      <c r="U135" s="846"/>
      <c r="V135" s="843"/>
    </row>
    <row r="136" spans="1:22">
      <c r="A136" s="339"/>
      <c r="B136" s="21"/>
      <c r="C136" s="352"/>
      <c r="D136" s="21"/>
      <c r="E136" s="849"/>
      <c r="F136" s="21"/>
      <c r="G136" s="21"/>
      <c r="H136" s="871"/>
      <c r="I136" s="177"/>
      <c r="J136" s="320"/>
      <c r="K136" s="21"/>
      <c r="L136" s="21"/>
      <c r="M136" s="839"/>
      <c r="N136" s="849"/>
      <c r="O136" s="849"/>
      <c r="P136" s="720"/>
      <c r="Q136" s="21"/>
      <c r="R136" s="849"/>
      <c r="S136" s="843"/>
      <c r="T136" s="872"/>
      <c r="U136" s="846"/>
      <c r="V136" s="843"/>
    </row>
    <row r="137" spans="1:22">
      <c r="A137" s="339"/>
      <c r="B137" s="21"/>
      <c r="C137" s="352"/>
      <c r="D137" s="21"/>
      <c r="E137" s="849"/>
      <c r="F137" s="21"/>
      <c r="G137" s="21"/>
      <c r="H137" s="871"/>
      <c r="I137" s="177"/>
      <c r="J137" s="320"/>
      <c r="K137" s="21"/>
      <c r="L137" s="21"/>
      <c r="M137" s="839"/>
      <c r="N137" s="849"/>
      <c r="O137" s="849"/>
      <c r="P137" s="720"/>
      <c r="Q137" s="21"/>
      <c r="R137" s="849"/>
      <c r="S137" s="843"/>
      <c r="T137" s="872"/>
      <c r="U137" s="846"/>
      <c r="V137" s="843"/>
    </row>
    <row r="138" spans="1:22">
      <c r="A138" s="339"/>
      <c r="B138" s="21"/>
      <c r="C138" s="352"/>
      <c r="D138" s="21"/>
      <c r="E138" s="849"/>
      <c r="F138" s="21"/>
      <c r="G138" s="21"/>
      <c r="H138" s="871"/>
      <c r="I138" s="177"/>
      <c r="J138" s="320"/>
      <c r="K138" s="21"/>
      <c r="L138" s="21"/>
      <c r="M138" s="839"/>
      <c r="N138" s="849"/>
      <c r="O138" s="849"/>
      <c r="P138" s="720"/>
      <c r="Q138" s="21"/>
      <c r="R138" s="849"/>
      <c r="S138" s="843"/>
      <c r="T138" s="872"/>
      <c r="U138" s="846"/>
      <c r="V138" s="843"/>
    </row>
    <row r="139" spans="1:22">
      <c r="A139" s="339"/>
      <c r="B139" s="21"/>
      <c r="C139" s="352"/>
      <c r="D139" s="21"/>
      <c r="E139" s="849"/>
      <c r="F139" s="21"/>
      <c r="G139" s="21"/>
      <c r="H139" s="871"/>
      <c r="I139" s="177"/>
      <c r="J139" s="320"/>
      <c r="K139" s="21"/>
      <c r="L139" s="21"/>
      <c r="M139" s="839"/>
      <c r="N139" s="849"/>
      <c r="O139" s="849"/>
      <c r="P139" s="720"/>
      <c r="Q139" s="21"/>
      <c r="R139" s="849"/>
      <c r="S139" s="843"/>
      <c r="T139" s="872"/>
      <c r="U139" s="846"/>
      <c r="V139" s="843"/>
    </row>
    <row r="140" spans="1:22">
      <c r="A140" s="339"/>
      <c r="B140" s="21"/>
      <c r="C140" s="352"/>
      <c r="D140" s="21"/>
      <c r="E140" s="849"/>
      <c r="F140" s="21"/>
      <c r="G140" s="21"/>
      <c r="H140" s="871"/>
      <c r="I140" s="177"/>
      <c r="J140" s="320"/>
      <c r="K140" s="21"/>
      <c r="L140" s="21"/>
      <c r="M140" s="839"/>
      <c r="N140" s="849"/>
      <c r="O140" s="849"/>
      <c r="P140" s="720"/>
      <c r="Q140" s="21"/>
      <c r="R140" s="849"/>
      <c r="S140" s="843"/>
      <c r="T140" s="872"/>
      <c r="U140" s="846"/>
      <c r="V140" s="843"/>
    </row>
    <row r="141" spans="1:22">
      <c r="A141" s="339"/>
      <c r="B141" s="21"/>
      <c r="C141" s="352"/>
      <c r="D141" s="21"/>
      <c r="E141" s="849"/>
      <c r="F141" s="21"/>
      <c r="G141" s="21"/>
      <c r="H141" s="871"/>
      <c r="I141" s="177"/>
      <c r="J141" s="320"/>
      <c r="K141" s="21"/>
      <c r="L141" s="21"/>
      <c r="M141" s="839"/>
      <c r="N141" s="849"/>
      <c r="O141" s="849"/>
      <c r="P141" s="720"/>
      <c r="Q141" s="21"/>
      <c r="R141" s="849"/>
      <c r="S141" s="843"/>
      <c r="T141" s="872"/>
      <c r="U141" s="846"/>
      <c r="V141" s="843"/>
    </row>
    <row r="142" spans="1:22">
      <c r="A142" s="339"/>
      <c r="B142" s="21"/>
      <c r="C142" s="352"/>
      <c r="D142" s="21"/>
      <c r="E142" s="849"/>
      <c r="F142" s="21"/>
      <c r="G142" s="21"/>
      <c r="H142" s="871"/>
      <c r="I142" s="177"/>
      <c r="J142" s="320"/>
      <c r="K142" s="21"/>
      <c r="L142" s="21"/>
      <c r="M142" s="839"/>
      <c r="N142" s="849"/>
      <c r="O142" s="849"/>
      <c r="P142" s="720"/>
      <c r="Q142" s="21"/>
      <c r="R142" s="849"/>
      <c r="S142" s="843"/>
      <c r="T142" s="872"/>
      <c r="U142" s="846"/>
      <c r="V142" s="843"/>
    </row>
    <row r="143" spans="1:22">
      <c r="A143" s="339"/>
      <c r="B143" s="21"/>
      <c r="C143" s="352"/>
      <c r="D143" s="21"/>
      <c r="E143" s="849"/>
      <c r="F143" s="21"/>
      <c r="G143" s="21"/>
      <c r="H143" s="871"/>
      <c r="I143" s="177"/>
      <c r="J143" s="320"/>
      <c r="K143" s="21"/>
      <c r="L143" s="21"/>
      <c r="M143" s="839"/>
      <c r="N143" s="849"/>
      <c r="O143" s="849"/>
      <c r="P143" s="720"/>
      <c r="Q143" s="21"/>
      <c r="R143" s="849"/>
      <c r="S143" s="843"/>
      <c r="T143" s="872"/>
      <c r="U143" s="846"/>
      <c r="V143" s="843"/>
    </row>
    <row r="144" spans="1:22">
      <c r="A144" s="339"/>
      <c r="B144" s="21"/>
      <c r="C144" s="352"/>
      <c r="D144" s="21"/>
      <c r="E144" s="849"/>
      <c r="F144" s="21"/>
      <c r="G144" s="21"/>
      <c r="H144" s="871"/>
      <c r="I144" s="177"/>
      <c r="J144" s="320"/>
      <c r="K144" s="21"/>
      <c r="L144" s="21"/>
      <c r="M144" s="839"/>
      <c r="N144" s="849"/>
      <c r="O144" s="849"/>
      <c r="P144" s="720"/>
      <c r="Q144" s="21"/>
      <c r="R144" s="849"/>
      <c r="S144" s="843"/>
      <c r="T144" s="872"/>
      <c r="U144" s="846"/>
      <c r="V144" s="843"/>
    </row>
    <row r="145" spans="1:22">
      <c r="A145" s="339"/>
      <c r="B145" s="21"/>
      <c r="C145" s="352"/>
      <c r="D145" s="21"/>
      <c r="E145" s="849"/>
      <c r="F145" s="21"/>
      <c r="G145" s="21"/>
      <c r="H145" s="871"/>
      <c r="I145" s="177"/>
      <c r="J145" s="320"/>
      <c r="K145" s="21"/>
      <c r="L145" s="21"/>
      <c r="M145" s="839"/>
      <c r="N145" s="849"/>
      <c r="O145" s="849"/>
      <c r="P145" s="720"/>
      <c r="Q145" s="21"/>
      <c r="R145" s="849"/>
      <c r="S145" s="843"/>
      <c r="T145" s="872"/>
      <c r="U145" s="846"/>
      <c r="V145" s="843"/>
    </row>
    <row r="146" spans="1:22">
      <c r="A146" s="339"/>
      <c r="B146" s="21"/>
      <c r="C146" s="352"/>
      <c r="D146" s="21"/>
      <c r="E146" s="849"/>
      <c r="F146" s="21"/>
      <c r="G146" s="21"/>
      <c r="H146" s="871"/>
      <c r="I146" s="177"/>
      <c r="J146" s="320"/>
      <c r="K146" s="21"/>
      <c r="L146" s="21"/>
      <c r="M146" s="839"/>
      <c r="N146" s="849"/>
      <c r="O146" s="849"/>
      <c r="P146" s="720"/>
      <c r="Q146" s="21"/>
      <c r="R146" s="849"/>
      <c r="S146" s="843"/>
      <c r="T146" s="872"/>
      <c r="U146" s="846"/>
      <c r="V146" s="843"/>
    </row>
    <row r="147" spans="1:22">
      <c r="A147" s="339"/>
      <c r="B147" s="21"/>
      <c r="C147" s="352"/>
      <c r="D147" s="21"/>
      <c r="E147" s="849"/>
      <c r="F147" s="21"/>
      <c r="G147" s="21"/>
      <c r="H147" s="871"/>
      <c r="I147" s="177"/>
      <c r="J147" s="320"/>
      <c r="K147" s="21"/>
      <c r="L147" s="21"/>
      <c r="M147" s="839"/>
      <c r="N147" s="849"/>
      <c r="O147" s="849"/>
      <c r="P147" s="720"/>
      <c r="Q147" s="21"/>
      <c r="R147" s="849"/>
      <c r="S147" s="843"/>
      <c r="T147" s="872"/>
      <c r="U147" s="846"/>
      <c r="V147" s="843"/>
    </row>
    <row r="148" spans="1:22">
      <c r="A148" s="339"/>
      <c r="B148" s="21"/>
      <c r="C148" s="352"/>
      <c r="D148" s="21"/>
      <c r="E148" s="849"/>
      <c r="F148" s="21"/>
      <c r="G148" s="21"/>
      <c r="H148" s="871"/>
      <c r="I148" s="177"/>
      <c r="J148" s="320"/>
      <c r="K148" s="21"/>
      <c r="L148" s="21"/>
      <c r="M148" s="839"/>
      <c r="N148" s="849"/>
      <c r="O148" s="849"/>
      <c r="P148" s="720"/>
      <c r="Q148" s="21"/>
      <c r="R148" s="849"/>
      <c r="S148" s="843"/>
      <c r="T148" s="872"/>
      <c r="U148" s="846"/>
      <c r="V148" s="843"/>
    </row>
    <row r="149" spans="1:22">
      <c r="A149" s="339"/>
      <c r="B149" s="21"/>
      <c r="C149" s="352"/>
      <c r="D149" s="21"/>
      <c r="E149" s="849"/>
      <c r="F149" s="21"/>
      <c r="G149" s="21"/>
      <c r="H149" s="871"/>
      <c r="I149" s="177"/>
      <c r="J149" s="320"/>
      <c r="K149" s="21"/>
      <c r="L149" s="21"/>
      <c r="M149" s="839"/>
      <c r="N149" s="849"/>
      <c r="O149" s="849"/>
      <c r="P149" s="720"/>
      <c r="Q149" s="21"/>
      <c r="R149" s="849"/>
      <c r="S149" s="843"/>
      <c r="T149" s="872"/>
      <c r="U149" s="846"/>
      <c r="V149" s="843"/>
    </row>
    <row r="150" spans="1:22">
      <c r="A150" s="339"/>
      <c r="B150" s="21"/>
      <c r="C150" s="352"/>
      <c r="D150" s="21"/>
      <c r="E150" s="849"/>
      <c r="F150" s="21"/>
      <c r="G150" s="21"/>
      <c r="H150" s="871"/>
      <c r="I150" s="177"/>
      <c r="J150" s="320"/>
      <c r="K150" s="21"/>
      <c r="L150" s="21"/>
      <c r="M150" s="839"/>
      <c r="N150" s="849"/>
      <c r="O150" s="849"/>
      <c r="P150" s="720"/>
      <c r="Q150" s="21"/>
      <c r="R150" s="849"/>
      <c r="S150" s="843"/>
      <c r="T150" s="872"/>
      <c r="U150" s="846"/>
      <c r="V150" s="843"/>
    </row>
    <row r="151" spans="1:22">
      <c r="A151" s="339"/>
      <c r="B151" s="21"/>
      <c r="C151" s="352"/>
      <c r="D151" s="21"/>
      <c r="E151" s="849"/>
      <c r="F151" s="21"/>
      <c r="G151" s="21"/>
      <c r="H151" s="871"/>
      <c r="I151" s="177"/>
      <c r="J151" s="320"/>
      <c r="K151" s="21"/>
      <c r="L151" s="21"/>
      <c r="M151" s="839"/>
      <c r="N151" s="849"/>
      <c r="O151" s="849"/>
      <c r="P151" s="720"/>
      <c r="Q151" s="21"/>
      <c r="R151" s="849"/>
      <c r="S151" s="843"/>
      <c r="T151" s="872"/>
      <c r="U151" s="846"/>
      <c r="V151" s="843"/>
    </row>
    <row r="152" spans="1:22">
      <c r="A152" s="339"/>
      <c r="B152" s="21"/>
      <c r="C152" s="352"/>
      <c r="D152" s="21"/>
      <c r="E152" s="849"/>
      <c r="F152" s="21"/>
      <c r="G152" s="21"/>
      <c r="H152" s="871"/>
      <c r="I152" s="177"/>
      <c r="J152" s="320"/>
      <c r="K152" s="21"/>
      <c r="L152" s="21"/>
      <c r="M152" s="839"/>
      <c r="N152" s="849"/>
      <c r="O152" s="849"/>
      <c r="P152" s="720"/>
      <c r="Q152" s="21"/>
      <c r="R152" s="849"/>
      <c r="S152" s="843"/>
      <c r="T152" s="872"/>
      <c r="U152" s="846"/>
      <c r="V152" s="843"/>
    </row>
    <row r="153" spans="1:22">
      <c r="A153" s="339"/>
      <c r="B153" s="21"/>
      <c r="C153" s="352"/>
      <c r="D153" s="21"/>
      <c r="E153" s="849"/>
      <c r="F153" s="21"/>
      <c r="G153" s="21"/>
      <c r="H153" s="871"/>
      <c r="I153" s="177"/>
      <c r="J153" s="320"/>
      <c r="K153" s="21"/>
      <c r="L153" s="21"/>
      <c r="M153" s="839"/>
      <c r="N153" s="849"/>
      <c r="O153" s="849"/>
      <c r="P153" s="720"/>
      <c r="Q153" s="21"/>
      <c r="R153" s="849"/>
      <c r="S153" s="843"/>
      <c r="T153" s="872"/>
      <c r="U153" s="846"/>
      <c r="V153" s="843"/>
    </row>
    <row r="154" spans="1:22">
      <c r="A154" s="339"/>
      <c r="B154" s="21"/>
      <c r="C154" s="352"/>
      <c r="D154" s="21"/>
      <c r="E154" s="849"/>
      <c r="F154" s="21"/>
      <c r="G154" s="21"/>
      <c r="H154" s="871"/>
      <c r="I154" s="177"/>
      <c r="J154" s="320"/>
      <c r="K154" s="21"/>
      <c r="L154" s="21"/>
      <c r="M154" s="839"/>
      <c r="N154" s="849"/>
      <c r="O154" s="849"/>
      <c r="P154" s="720"/>
      <c r="Q154" s="21"/>
      <c r="R154" s="849"/>
      <c r="S154" s="843"/>
      <c r="T154" s="872"/>
      <c r="U154" s="846"/>
      <c r="V154" s="843"/>
    </row>
    <row r="155" spans="1:22">
      <c r="A155" s="339"/>
      <c r="B155" s="21"/>
      <c r="C155" s="352"/>
      <c r="D155" s="21"/>
      <c r="E155" s="849"/>
      <c r="F155" s="21"/>
      <c r="G155" s="21"/>
      <c r="H155" s="871"/>
      <c r="I155" s="177"/>
      <c r="J155" s="320"/>
      <c r="K155" s="21"/>
      <c r="L155" s="21"/>
      <c r="M155" s="839"/>
      <c r="N155" s="849"/>
      <c r="O155" s="849"/>
      <c r="P155" s="720"/>
      <c r="Q155" s="21"/>
      <c r="R155" s="849"/>
      <c r="S155" s="843"/>
      <c r="T155" s="872"/>
      <c r="U155" s="846"/>
      <c r="V155" s="843"/>
    </row>
    <row r="156" spans="1:22">
      <c r="A156" s="339"/>
      <c r="B156" s="21"/>
      <c r="C156" s="352"/>
      <c r="D156" s="21"/>
      <c r="E156" s="849"/>
      <c r="F156" s="21"/>
      <c r="G156" s="21"/>
      <c r="H156" s="871"/>
      <c r="I156" s="177"/>
      <c r="J156" s="320"/>
      <c r="K156" s="21"/>
      <c r="L156" s="21"/>
      <c r="M156" s="839"/>
      <c r="N156" s="849"/>
      <c r="O156" s="849"/>
      <c r="P156" s="720"/>
      <c r="Q156" s="21"/>
      <c r="R156" s="849"/>
      <c r="S156" s="843"/>
      <c r="T156" s="872"/>
      <c r="U156" s="846"/>
      <c r="V156" s="843"/>
    </row>
    <row r="157" spans="1:22">
      <c r="A157" s="339"/>
      <c r="B157" s="21"/>
      <c r="C157" s="352"/>
      <c r="D157" s="21"/>
      <c r="E157" s="849"/>
      <c r="F157" s="21"/>
      <c r="G157" s="21"/>
      <c r="H157" s="871"/>
      <c r="I157" s="177"/>
      <c r="J157" s="320"/>
      <c r="K157" s="21"/>
      <c r="L157" s="21"/>
      <c r="M157" s="839"/>
      <c r="N157" s="849"/>
      <c r="O157" s="849"/>
      <c r="P157" s="720"/>
      <c r="Q157" s="21"/>
      <c r="R157" s="849"/>
      <c r="S157" s="843"/>
      <c r="T157" s="872"/>
      <c r="U157" s="846"/>
      <c r="V157" s="843"/>
    </row>
    <row r="158" spans="1:22">
      <c r="A158" s="339"/>
      <c r="B158" s="21"/>
      <c r="C158" s="352"/>
      <c r="D158" s="21"/>
      <c r="E158" s="849"/>
      <c r="F158" s="21"/>
      <c r="G158" s="21"/>
      <c r="H158" s="871"/>
      <c r="I158" s="177"/>
      <c r="J158" s="320"/>
      <c r="K158" s="21"/>
      <c r="L158" s="21"/>
      <c r="M158" s="839"/>
      <c r="N158" s="849"/>
      <c r="O158" s="849"/>
      <c r="P158" s="720"/>
      <c r="Q158" s="21"/>
      <c r="R158" s="849"/>
      <c r="S158" s="843"/>
      <c r="T158" s="872"/>
      <c r="U158" s="846"/>
      <c r="V158" s="843"/>
    </row>
    <row r="159" spans="1:22">
      <c r="A159" s="339"/>
      <c r="B159" s="21"/>
      <c r="C159" s="352"/>
      <c r="D159" s="21"/>
      <c r="E159" s="849"/>
      <c r="F159" s="21"/>
      <c r="G159" s="21"/>
      <c r="H159" s="871"/>
      <c r="I159" s="177"/>
      <c r="J159" s="320"/>
      <c r="K159" s="21"/>
      <c r="L159" s="21"/>
      <c r="M159" s="839"/>
      <c r="N159" s="849"/>
      <c r="O159" s="849"/>
      <c r="P159" s="720"/>
      <c r="Q159" s="21"/>
      <c r="R159" s="849"/>
      <c r="S159" s="843"/>
      <c r="T159" s="872"/>
      <c r="U159" s="846"/>
      <c r="V159" s="843"/>
    </row>
    <row r="160" spans="1:22">
      <c r="A160" s="339"/>
      <c r="B160" s="21"/>
      <c r="C160" s="352"/>
      <c r="D160" s="21"/>
      <c r="E160" s="849"/>
      <c r="F160" s="21"/>
      <c r="G160" s="21"/>
      <c r="H160" s="871"/>
      <c r="I160" s="177"/>
      <c r="J160" s="320"/>
      <c r="K160" s="21"/>
      <c r="L160" s="21"/>
      <c r="M160" s="839"/>
      <c r="N160" s="849"/>
      <c r="O160" s="849"/>
      <c r="P160" s="720"/>
      <c r="Q160" s="21"/>
      <c r="R160" s="849"/>
      <c r="S160" s="843"/>
      <c r="T160" s="872"/>
      <c r="U160" s="846"/>
      <c r="V160" s="843"/>
    </row>
    <row r="161" spans="1:22">
      <c r="A161" s="339"/>
      <c r="B161" s="21"/>
      <c r="C161" s="352"/>
      <c r="D161" s="21"/>
      <c r="E161" s="849"/>
      <c r="F161" s="21"/>
      <c r="G161" s="21"/>
      <c r="H161" s="871"/>
      <c r="I161" s="177"/>
      <c r="J161" s="320"/>
      <c r="K161" s="21"/>
      <c r="L161" s="21"/>
      <c r="M161" s="839"/>
      <c r="N161" s="849"/>
      <c r="O161" s="849"/>
      <c r="P161" s="720"/>
      <c r="Q161" s="21"/>
      <c r="R161" s="849"/>
      <c r="S161" s="843"/>
      <c r="T161" s="872"/>
      <c r="U161" s="846"/>
      <c r="V161" s="843"/>
    </row>
    <row r="162" spans="1:22">
      <c r="A162" s="339"/>
      <c r="B162" s="21"/>
      <c r="C162" s="352"/>
      <c r="D162" s="21"/>
      <c r="E162" s="849"/>
      <c r="F162" s="21"/>
      <c r="G162" s="21"/>
      <c r="H162" s="871"/>
      <c r="I162" s="177"/>
      <c r="J162" s="320"/>
      <c r="K162" s="21"/>
      <c r="L162" s="21"/>
      <c r="M162" s="839"/>
      <c r="N162" s="849"/>
      <c r="O162" s="849"/>
      <c r="P162" s="720"/>
      <c r="Q162" s="21"/>
      <c r="R162" s="849"/>
      <c r="S162" s="843"/>
      <c r="T162" s="872"/>
      <c r="U162" s="846"/>
      <c r="V162" s="843"/>
    </row>
    <row r="163" spans="1:22">
      <c r="A163" s="339"/>
      <c r="B163" s="21"/>
      <c r="C163" s="352"/>
      <c r="D163" s="21"/>
      <c r="E163" s="849"/>
      <c r="F163" s="21"/>
      <c r="G163" s="21"/>
      <c r="H163" s="871"/>
      <c r="I163" s="177"/>
      <c r="J163" s="320"/>
      <c r="K163" s="21"/>
      <c r="L163" s="21"/>
      <c r="M163" s="839"/>
      <c r="N163" s="849"/>
      <c r="O163" s="849"/>
      <c r="P163" s="720"/>
      <c r="Q163" s="21"/>
      <c r="R163" s="849"/>
      <c r="S163" s="843"/>
      <c r="T163" s="872"/>
      <c r="U163" s="846"/>
      <c r="V163" s="843"/>
    </row>
    <row r="164" spans="1:22">
      <c r="A164" s="339"/>
      <c r="B164" s="21"/>
      <c r="C164" s="352"/>
      <c r="D164" s="21"/>
      <c r="E164" s="849"/>
      <c r="F164" s="21"/>
      <c r="G164" s="21"/>
      <c r="H164" s="871"/>
      <c r="I164" s="177"/>
      <c r="J164" s="320"/>
      <c r="K164" s="21"/>
      <c r="L164" s="21"/>
      <c r="M164" s="839"/>
      <c r="N164" s="849"/>
      <c r="O164" s="849"/>
      <c r="P164" s="720"/>
      <c r="Q164" s="21"/>
      <c r="R164" s="849"/>
      <c r="S164" s="843"/>
      <c r="T164" s="872"/>
      <c r="U164" s="846"/>
      <c r="V164" s="843"/>
    </row>
    <row r="165" spans="1:22">
      <c r="A165" s="339"/>
      <c r="B165" s="21"/>
      <c r="C165" s="352"/>
      <c r="D165" s="21"/>
      <c r="E165" s="849"/>
      <c r="F165" s="21"/>
      <c r="G165" s="21"/>
      <c r="H165" s="871"/>
      <c r="I165" s="177"/>
      <c r="J165" s="320"/>
      <c r="K165" s="21"/>
      <c r="L165" s="21"/>
      <c r="M165" s="839"/>
      <c r="N165" s="849"/>
      <c r="O165" s="849"/>
      <c r="P165" s="720"/>
      <c r="Q165" s="21"/>
      <c r="R165" s="849"/>
      <c r="S165" s="843"/>
      <c r="T165" s="872"/>
      <c r="U165" s="846"/>
      <c r="V165" s="843"/>
    </row>
    <row r="166" spans="1:22">
      <c r="A166" s="339"/>
      <c r="B166" s="21"/>
      <c r="C166" s="352"/>
      <c r="D166" s="21"/>
      <c r="E166" s="849"/>
      <c r="F166" s="21"/>
      <c r="G166" s="21"/>
      <c r="H166" s="871"/>
      <c r="I166" s="177"/>
      <c r="J166" s="320"/>
      <c r="K166" s="21"/>
      <c r="L166" s="21"/>
      <c r="M166" s="839"/>
      <c r="N166" s="849"/>
      <c r="O166" s="849"/>
      <c r="P166" s="720"/>
      <c r="Q166" s="21"/>
      <c r="R166" s="849"/>
      <c r="S166" s="843"/>
      <c r="T166" s="872"/>
      <c r="U166" s="846"/>
      <c r="V166" s="843"/>
    </row>
    <row r="167" spans="1:22">
      <c r="A167" s="339"/>
      <c r="B167" s="21"/>
      <c r="C167" s="352"/>
      <c r="D167" s="21"/>
      <c r="E167" s="849"/>
      <c r="F167" s="21"/>
      <c r="G167" s="21"/>
      <c r="H167" s="871"/>
      <c r="I167" s="177"/>
      <c r="J167" s="320"/>
      <c r="K167" s="21"/>
      <c r="L167" s="21"/>
      <c r="M167" s="839"/>
      <c r="N167" s="849"/>
      <c r="O167" s="849"/>
      <c r="P167" s="720"/>
      <c r="Q167" s="21"/>
      <c r="R167" s="849"/>
      <c r="S167" s="843"/>
      <c r="T167" s="872"/>
      <c r="U167" s="846"/>
      <c r="V167" s="843"/>
    </row>
    <row r="168" spans="1:22">
      <c r="A168" s="339"/>
      <c r="B168" s="21"/>
      <c r="C168" s="352"/>
      <c r="D168" s="21"/>
      <c r="E168" s="849"/>
      <c r="F168" s="21"/>
      <c r="G168" s="21"/>
      <c r="H168" s="871"/>
      <c r="I168" s="177"/>
      <c r="J168" s="320"/>
      <c r="K168" s="21"/>
      <c r="L168" s="21"/>
      <c r="M168" s="839"/>
      <c r="N168" s="849"/>
      <c r="O168" s="849"/>
      <c r="P168" s="720"/>
      <c r="Q168" s="21"/>
      <c r="R168" s="849"/>
      <c r="S168" s="843"/>
      <c r="T168" s="872"/>
      <c r="U168" s="846"/>
      <c r="V168" s="843"/>
    </row>
    <row r="169" spans="1:22">
      <c r="A169" s="339"/>
      <c r="B169" s="21"/>
      <c r="C169" s="352"/>
      <c r="D169" s="21"/>
      <c r="E169" s="849"/>
      <c r="F169" s="21"/>
      <c r="G169" s="21"/>
      <c r="H169" s="871"/>
      <c r="I169" s="177"/>
      <c r="J169" s="320"/>
      <c r="K169" s="21"/>
      <c r="L169" s="21"/>
      <c r="M169" s="839"/>
      <c r="N169" s="849"/>
      <c r="O169" s="849"/>
      <c r="P169" s="720"/>
      <c r="Q169" s="21"/>
      <c r="R169" s="849"/>
      <c r="S169" s="843"/>
      <c r="T169" s="872"/>
      <c r="U169" s="846"/>
      <c r="V169" s="843"/>
    </row>
    <row r="170" spans="1:22">
      <c r="A170" s="339"/>
      <c r="B170" s="21"/>
      <c r="C170" s="352"/>
      <c r="D170" s="21"/>
      <c r="E170" s="849"/>
      <c r="F170" s="21"/>
      <c r="G170" s="21"/>
      <c r="H170" s="871"/>
      <c r="I170" s="177"/>
      <c r="J170" s="320"/>
      <c r="K170" s="21"/>
      <c r="L170" s="21"/>
      <c r="M170" s="839"/>
      <c r="N170" s="849"/>
      <c r="O170" s="849"/>
      <c r="P170" s="720"/>
      <c r="Q170" s="21"/>
      <c r="R170" s="849"/>
      <c r="S170" s="843"/>
      <c r="T170" s="872"/>
      <c r="U170" s="846"/>
      <c r="V170" s="843"/>
    </row>
    <row r="171" spans="1:22">
      <c r="A171" s="339"/>
      <c r="B171" s="21"/>
      <c r="C171" s="352"/>
      <c r="D171" s="21"/>
      <c r="E171" s="849"/>
      <c r="F171" s="21"/>
      <c r="G171" s="21"/>
      <c r="H171" s="871"/>
      <c r="I171" s="177"/>
      <c r="J171" s="320"/>
      <c r="K171" s="21"/>
      <c r="L171" s="21"/>
      <c r="M171" s="839"/>
      <c r="N171" s="849"/>
      <c r="O171" s="849"/>
      <c r="P171" s="720"/>
      <c r="Q171" s="21"/>
      <c r="R171" s="849"/>
      <c r="S171" s="843"/>
      <c r="T171" s="872"/>
      <c r="U171" s="846"/>
      <c r="V171" s="843"/>
    </row>
    <row r="172" spans="1:22">
      <c r="A172" s="339"/>
      <c r="B172" s="21"/>
      <c r="C172" s="352"/>
      <c r="D172" s="21"/>
      <c r="E172" s="849"/>
      <c r="F172" s="21"/>
      <c r="G172" s="21"/>
      <c r="H172" s="871"/>
      <c r="I172" s="177"/>
      <c r="J172" s="320"/>
      <c r="K172" s="21"/>
      <c r="L172" s="21"/>
      <c r="M172" s="839"/>
      <c r="N172" s="849"/>
      <c r="O172" s="849"/>
      <c r="P172" s="720"/>
      <c r="Q172" s="21"/>
      <c r="R172" s="849"/>
      <c r="S172" s="843"/>
      <c r="T172" s="872"/>
      <c r="U172" s="846"/>
      <c r="V172" s="843"/>
    </row>
    <row r="173" spans="1:22">
      <c r="A173" s="339"/>
      <c r="B173" s="21"/>
      <c r="C173" s="352"/>
      <c r="D173" s="21"/>
      <c r="E173" s="849"/>
      <c r="F173" s="21"/>
      <c r="G173" s="21"/>
      <c r="H173" s="871"/>
      <c r="I173" s="177"/>
      <c r="J173" s="320"/>
      <c r="K173" s="21"/>
      <c r="L173" s="21"/>
      <c r="M173" s="839"/>
      <c r="N173" s="849"/>
      <c r="O173" s="849"/>
      <c r="P173" s="720"/>
      <c r="Q173" s="21"/>
      <c r="R173" s="849"/>
      <c r="S173" s="843"/>
      <c r="T173" s="872"/>
      <c r="U173" s="846"/>
      <c r="V173" s="843"/>
    </row>
    <row r="174" spans="1:22">
      <c r="A174" s="339"/>
      <c r="B174" s="21"/>
      <c r="C174" s="352"/>
      <c r="D174" s="21"/>
      <c r="E174" s="849"/>
      <c r="F174" s="21"/>
      <c r="G174" s="21"/>
      <c r="H174" s="871"/>
      <c r="I174" s="177"/>
      <c r="J174" s="320"/>
      <c r="K174" s="21"/>
      <c r="L174" s="21"/>
      <c r="M174" s="839"/>
      <c r="N174" s="849"/>
      <c r="O174" s="849"/>
      <c r="P174" s="720"/>
      <c r="Q174" s="21"/>
      <c r="R174" s="849"/>
      <c r="S174" s="843"/>
      <c r="T174" s="872"/>
      <c r="U174" s="846"/>
      <c r="V174" s="843"/>
    </row>
    <row r="175" spans="1:22">
      <c r="A175" s="339"/>
      <c r="B175" s="21"/>
      <c r="C175" s="352"/>
      <c r="D175" s="21"/>
      <c r="E175" s="849"/>
      <c r="F175" s="21"/>
      <c r="G175" s="21"/>
      <c r="H175" s="871"/>
      <c r="I175" s="177"/>
      <c r="J175" s="320"/>
      <c r="K175" s="21"/>
      <c r="L175" s="21"/>
      <c r="M175" s="839"/>
      <c r="N175" s="849"/>
      <c r="O175" s="849"/>
      <c r="P175" s="720"/>
      <c r="Q175" s="21"/>
      <c r="R175" s="849"/>
      <c r="S175" s="843"/>
      <c r="T175" s="872"/>
      <c r="U175" s="846"/>
      <c r="V175" s="843"/>
    </row>
    <row r="176" spans="1:22">
      <c r="A176" s="339"/>
      <c r="B176" s="21"/>
      <c r="C176" s="352"/>
      <c r="D176" s="21"/>
      <c r="E176" s="849"/>
      <c r="F176" s="21"/>
      <c r="G176" s="21"/>
      <c r="H176" s="871"/>
      <c r="I176" s="177"/>
      <c r="J176" s="320"/>
      <c r="K176" s="21"/>
      <c r="L176" s="21"/>
      <c r="M176" s="839"/>
      <c r="N176" s="849"/>
      <c r="O176" s="849"/>
      <c r="P176" s="720"/>
      <c r="Q176" s="21"/>
      <c r="R176" s="849"/>
      <c r="S176" s="843"/>
      <c r="T176" s="872"/>
      <c r="U176" s="846"/>
      <c r="V176" s="843"/>
    </row>
    <row r="177" spans="1:22">
      <c r="A177" s="339"/>
      <c r="B177" s="21"/>
      <c r="C177" s="352"/>
      <c r="D177" s="21"/>
      <c r="E177" s="849"/>
      <c r="F177" s="21"/>
      <c r="G177" s="21"/>
      <c r="H177" s="871"/>
      <c r="I177" s="177"/>
      <c r="J177" s="320"/>
      <c r="K177" s="21"/>
      <c r="L177" s="21"/>
      <c r="M177" s="839"/>
      <c r="N177" s="849"/>
      <c r="O177" s="849"/>
      <c r="P177" s="720"/>
      <c r="Q177" s="21"/>
      <c r="R177" s="849"/>
      <c r="S177" s="843"/>
      <c r="T177" s="872"/>
      <c r="U177" s="846"/>
      <c r="V177" s="843"/>
    </row>
    <row r="178" spans="1:22">
      <c r="A178" s="339"/>
      <c r="B178" s="21"/>
      <c r="C178" s="352"/>
      <c r="D178" s="21"/>
      <c r="E178" s="849"/>
      <c r="F178" s="21"/>
      <c r="G178" s="21"/>
      <c r="H178" s="871"/>
      <c r="I178" s="177"/>
      <c r="J178" s="320"/>
      <c r="K178" s="21"/>
      <c r="L178" s="21"/>
      <c r="M178" s="839"/>
      <c r="N178" s="849"/>
      <c r="O178" s="849"/>
      <c r="P178" s="720"/>
      <c r="Q178" s="21"/>
      <c r="R178" s="849"/>
      <c r="S178" s="843"/>
      <c r="T178" s="872"/>
      <c r="U178" s="846"/>
      <c r="V178" s="843"/>
    </row>
    <row r="179" spans="1:22">
      <c r="A179" s="339"/>
      <c r="B179" s="21"/>
      <c r="C179" s="352"/>
      <c r="D179" s="21"/>
      <c r="E179" s="849"/>
      <c r="F179" s="21"/>
      <c r="G179" s="21"/>
      <c r="H179" s="871"/>
      <c r="I179" s="177"/>
      <c r="J179" s="320"/>
      <c r="K179" s="21"/>
      <c r="L179" s="21"/>
      <c r="M179" s="839"/>
      <c r="N179" s="849"/>
      <c r="O179" s="849"/>
      <c r="P179" s="720"/>
      <c r="Q179" s="21"/>
      <c r="R179" s="849"/>
      <c r="S179" s="843"/>
      <c r="T179" s="872"/>
      <c r="U179" s="846"/>
      <c r="V179" s="843"/>
    </row>
    <row r="180" spans="1:22">
      <c r="A180" s="339"/>
      <c r="B180" s="21"/>
      <c r="C180" s="352"/>
      <c r="D180" s="21"/>
      <c r="E180" s="849"/>
      <c r="F180" s="21"/>
      <c r="G180" s="21"/>
      <c r="H180" s="871"/>
      <c r="I180" s="177"/>
      <c r="J180" s="320"/>
      <c r="K180" s="21"/>
      <c r="L180" s="21"/>
      <c r="M180" s="839"/>
      <c r="N180" s="849"/>
      <c r="O180" s="849"/>
      <c r="P180" s="720"/>
      <c r="Q180" s="21"/>
      <c r="R180" s="849"/>
      <c r="S180" s="843"/>
      <c r="T180" s="872"/>
      <c r="U180" s="846"/>
      <c r="V180" s="843"/>
    </row>
    <row r="181" spans="1:22">
      <c r="A181" s="339"/>
      <c r="B181" s="21"/>
      <c r="C181" s="352"/>
      <c r="D181" s="21"/>
      <c r="E181" s="849"/>
      <c r="F181" s="21"/>
      <c r="G181" s="21"/>
      <c r="H181" s="871"/>
      <c r="I181" s="177"/>
      <c r="J181" s="320"/>
      <c r="K181" s="21"/>
      <c r="L181" s="21"/>
      <c r="M181" s="839"/>
      <c r="N181" s="849"/>
      <c r="O181" s="849"/>
      <c r="P181" s="720"/>
      <c r="Q181" s="21"/>
      <c r="R181" s="849"/>
      <c r="S181" s="843"/>
      <c r="T181" s="872"/>
      <c r="U181" s="846"/>
      <c r="V181" s="843"/>
    </row>
    <row r="182" spans="1:22">
      <c r="A182" s="339"/>
      <c r="B182" s="21"/>
      <c r="C182" s="352"/>
      <c r="D182" s="21"/>
      <c r="E182" s="849"/>
      <c r="F182" s="21"/>
      <c r="G182" s="21"/>
      <c r="H182" s="871"/>
      <c r="I182" s="177"/>
      <c r="J182" s="320"/>
      <c r="K182" s="21"/>
      <c r="L182" s="21"/>
      <c r="M182" s="839"/>
      <c r="N182" s="849"/>
      <c r="O182" s="849"/>
      <c r="P182" s="720"/>
      <c r="Q182" s="21"/>
      <c r="R182" s="849"/>
      <c r="S182" s="843"/>
      <c r="T182" s="872"/>
      <c r="U182" s="846"/>
      <c r="V182" s="843"/>
    </row>
    <row r="183" spans="1:22">
      <c r="A183" s="339"/>
      <c r="B183" s="21"/>
      <c r="C183" s="352"/>
      <c r="D183" s="21"/>
      <c r="E183" s="849"/>
      <c r="F183" s="21"/>
      <c r="G183" s="21"/>
      <c r="H183" s="871"/>
      <c r="I183" s="177"/>
      <c r="J183" s="320"/>
      <c r="K183" s="21"/>
      <c r="L183" s="21"/>
      <c r="M183" s="839"/>
      <c r="N183" s="849"/>
      <c r="O183" s="849"/>
      <c r="P183" s="720"/>
      <c r="Q183" s="21"/>
      <c r="R183" s="849"/>
      <c r="S183" s="843"/>
      <c r="T183" s="872"/>
      <c r="U183" s="846"/>
      <c r="V183" s="843"/>
    </row>
    <row r="184" spans="1:22">
      <c r="A184" s="339"/>
      <c r="B184" s="21"/>
      <c r="C184" s="352"/>
      <c r="D184" s="21"/>
      <c r="E184" s="849"/>
      <c r="F184" s="21"/>
      <c r="G184" s="21"/>
      <c r="H184" s="871"/>
      <c r="I184" s="177"/>
      <c r="J184" s="320"/>
      <c r="K184" s="21"/>
      <c r="L184" s="21"/>
      <c r="M184" s="839"/>
      <c r="N184" s="849"/>
      <c r="O184" s="849"/>
      <c r="P184" s="720"/>
      <c r="Q184" s="21"/>
      <c r="R184" s="849"/>
      <c r="S184" s="843"/>
      <c r="T184" s="872"/>
      <c r="U184" s="846"/>
      <c r="V184" s="843"/>
    </row>
    <row r="185" spans="1:22">
      <c r="A185" s="339"/>
      <c r="B185" s="21"/>
      <c r="C185" s="352"/>
      <c r="D185" s="21"/>
      <c r="E185" s="849"/>
      <c r="F185" s="21"/>
      <c r="G185" s="21"/>
      <c r="H185" s="871"/>
      <c r="I185" s="177"/>
      <c r="J185" s="320"/>
      <c r="K185" s="21"/>
      <c r="L185" s="21"/>
      <c r="M185" s="839"/>
      <c r="N185" s="849"/>
      <c r="O185" s="849"/>
      <c r="P185" s="720"/>
      <c r="Q185" s="21"/>
      <c r="R185" s="849"/>
      <c r="S185" s="843"/>
      <c r="T185" s="872"/>
      <c r="U185" s="846"/>
      <c r="V185" s="843"/>
    </row>
    <row r="186" spans="1:22">
      <c r="A186" s="339"/>
      <c r="B186" s="21"/>
      <c r="C186" s="352"/>
      <c r="D186" s="21"/>
      <c r="E186" s="849"/>
      <c r="F186" s="21"/>
      <c r="G186" s="21"/>
      <c r="H186" s="871"/>
      <c r="I186" s="177"/>
      <c r="J186" s="320"/>
      <c r="K186" s="21"/>
      <c r="L186" s="21"/>
      <c r="M186" s="839"/>
      <c r="N186" s="849"/>
      <c r="O186" s="849"/>
      <c r="P186" s="720"/>
      <c r="Q186" s="21"/>
      <c r="R186" s="849"/>
      <c r="S186" s="843"/>
      <c r="T186" s="872"/>
      <c r="U186" s="846"/>
      <c r="V186" s="843"/>
    </row>
    <row r="187" spans="1:22">
      <c r="A187" s="339"/>
      <c r="B187" s="21"/>
      <c r="C187" s="352"/>
      <c r="D187" s="21"/>
      <c r="E187" s="849"/>
      <c r="F187" s="21"/>
      <c r="G187" s="21"/>
      <c r="H187" s="871"/>
      <c r="I187" s="177"/>
      <c r="J187" s="320"/>
      <c r="K187" s="21"/>
      <c r="L187" s="21"/>
      <c r="M187" s="839"/>
      <c r="N187" s="849"/>
      <c r="O187" s="849"/>
      <c r="P187" s="720"/>
      <c r="Q187" s="21"/>
      <c r="R187" s="849"/>
      <c r="S187" s="843"/>
      <c r="T187" s="872"/>
      <c r="U187" s="846"/>
      <c r="V187" s="843"/>
    </row>
    <row r="188" spans="1:22">
      <c r="A188" s="339"/>
      <c r="B188" s="21"/>
      <c r="C188" s="352"/>
      <c r="D188" s="21"/>
      <c r="E188" s="849"/>
      <c r="F188" s="21"/>
      <c r="G188" s="21"/>
      <c r="H188" s="871"/>
      <c r="I188" s="177"/>
      <c r="J188" s="320"/>
      <c r="K188" s="21"/>
      <c r="L188" s="21"/>
      <c r="M188" s="839"/>
      <c r="N188" s="849"/>
      <c r="O188" s="849"/>
      <c r="P188" s="720"/>
      <c r="Q188" s="21"/>
      <c r="R188" s="849"/>
      <c r="S188" s="843"/>
      <c r="T188" s="872"/>
      <c r="U188" s="846"/>
      <c r="V188" s="843"/>
    </row>
    <row r="189" spans="1:22">
      <c r="A189" s="339"/>
      <c r="B189" s="21"/>
      <c r="C189" s="352"/>
      <c r="D189" s="21"/>
      <c r="E189" s="849"/>
      <c r="F189" s="21"/>
      <c r="G189" s="21"/>
      <c r="H189" s="871"/>
      <c r="I189" s="177"/>
      <c r="J189" s="320"/>
      <c r="K189" s="21"/>
      <c r="L189" s="21"/>
      <c r="M189" s="839"/>
      <c r="N189" s="849"/>
      <c r="O189" s="849"/>
      <c r="P189" s="720"/>
      <c r="Q189" s="21"/>
      <c r="R189" s="849"/>
      <c r="S189" s="843"/>
      <c r="T189" s="872"/>
      <c r="U189" s="846"/>
      <c r="V189" s="843"/>
    </row>
    <row r="190" spans="1:22">
      <c r="A190" s="339"/>
      <c r="B190" s="21"/>
      <c r="C190" s="352"/>
      <c r="D190" s="21"/>
      <c r="E190" s="849"/>
      <c r="F190" s="21"/>
      <c r="G190" s="21"/>
      <c r="H190" s="871"/>
      <c r="I190" s="177"/>
      <c r="J190" s="320"/>
      <c r="K190" s="21"/>
      <c r="L190" s="21"/>
      <c r="M190" s="839"/>
      <c r="N190" s="849"/>
      <c r="O190" s="849"/>
      <c r="P190" s="720"/>
      <c r="Q190" s="21"/>
      <c r="R190" s="849"/>
      <c r="S190" s="843"/>
      <c r="T190" s="872"/>
      <c r="U190" s="846"/>
      <c r="V190" s="843"/>
    </row>
    <row r="191" spans="1:22">
      <c r="A191" s="339"/>
      <c r="B191" s="21"/>
      <c r="C191" s="352"/>
      <c r="D191" s="21"/>
      <c r="E191" s="849"/>
      <c r="F191" s="21"/>
      <c r="G191" s="21"/>
      <c r="H191" s="871"/>
      <c r="I191" s="177"/>
      <c r="J191" s="320"/>
      <c r="K191" s="21"/>
      <c r="L191" s="21"/>
      <c r="M191" s="839"/>
      <c r="N191" s="849"/>
      <c r="O191" s="849"/>
      <c r="P191" s="720"/>
      <c r="Q191" s="21"/>
      <c r="R191" s="849"/>
      <c r="S191" s="843"/>
      <c r="T191" s="872"/>
      <c r="U191" s="846"/>
      <c r="V191" s="843"/>
    </row>
    <row r="192" spans="1:22">
      <c r="A192" s="339"/>
      <c r="B192" s="21"/>
      <c r="C192" s="352"/>
      <c r="D192" s="21"/>
      <c r="E192" s="849"/>
      <c r="F192" s="21"/>
      <c r="G192" s="21"/>
      <c r="H192" s="871"/>
      <c r="I192" s="177"/>
      <c r="J192" s="320"/>
      <c r="K192" s="21"/>
      <c r="L192" s="21"/>
      <c r="M192" s="839"/>
      <c r="N192" s="849"/>
      <c r="O192" s="849"/>
      <c r="P192" s="720"/>
      <c r="Q192" s="21"/>
      <c r="R192" s="849"/>
      <c r="S192" s="843"/>
      <c r="T192" s="872"/>
      <c r="U192" s="846"/>
      <c r="V192" s="843"/>
    </row>
    <row r="193" spans="1:22">
      <c r="A193" s="339"/>
      <c r="B193" s="21"/>
      <c r="C193" s="352"/>
      <c r="D193" s="21"/>
      <c r="E193" s="849"/>
      <c r="F193" s="21"/>
      <c r="G193" s="21"/>
      <c r="H193" s="871"/>
      <c r="I193" s="177"/>
      <c r="J193" s="320"/>
      <c r="K193" s="21"/>
      <c r="L193" s="21"/>
      <c r="M193" s="839"/>
      <c r="N193" s="849"/>
      <c r="O193" s="849"/>
      <c r="P193" s="720"/>
      <c r="Q193" s="21"/>
      <c r="R193" s="849"/>
      <c r="S193" s="843"/>
      <c r="T193" s="872"/>
      <c r="U193" s="846"/>
      <c r="V193" s="843"/>
    </row>
    <row r="194" spans="1:22">
      <c r="A194" s="339"/>
      <c r="B194" s="21"/>
      <c r="C194" s="352"/>
      <c r="D194" s="21"/>
      <c r="E194" s="849"/>
      <c r="F194" s="21"/>
      <c r="G194" s="21"/>
      <c r="H194" s="871"/>
      <c r="I194" s="177"/>
      <c r="J194" s="320"/>
      <c r="K194" s="21"/>
      <c r="L194" s="21"/>
      <c r="M194" s="839"/>
      <c r="N194" s="849"/>
      <c r="O194" s="849"/>
      <c r="P194" s="720"/>
      <c r="Q194" s="21"/>
      <c r="R194" s="849"/>
      <c r="S194" s="843"/>
      <c r="T194" s="872"/>
      <c r="U194" s="846"/>
      <c r="V194" s="843"/>
    </row>
    <row r="195" spans="1:22">
      <c r="A195" s="339"/>
      <c r="B195" s="21"/>
      <c r="C195" s="352"/>
      <c r="D195" s="21"/>
      <c r="E195" s="849"/>
      <c r="F195" s="21"/>
      <c r="G195" s="21"/>
      <c r="H195" s="871"/>
      <c r="I195" s="177"/>
      <c r="J195" s="320"/>
      <c r="K195" s="21"/>
      <c r="L195" s="21"/>
      <c r="M195" s="839"/>
      <c r="N195" s="849"/>
      <c r="O195" s="849"/>
      <c r="P195" s="720"/>
      <c r="Q195" s="21"/>
      <c r="R195" s="849"/>
      <c r="S195" s="843"/>
      <c r="T195" s="872"/>
      <c r="U195" s="846"/>
      <c r="V195" s="843"/>
    </row>
    <row r="196" spans="1:22">
      <c r="A196" s="339"/>
      <c r="B196" s="21"/>
      <c r="C196" s="352"/>
      <c r="D196" s="21"/>
      <c r="E196" s="849"/>
      <c r="F196" s="21"/>
      <c r="G196" s="21"/>
      <c r="H196" s="871"/>
      <c r="I196" s="177"/>
      <c r="J196" s="320"/>
      <c r="K196" s="21"/>
      <c r="L196" s="21"/>
      <c r="M196" s="839"/>
      <c r="N196" s="849"/>
      <c r="O196" s="849"/>
      <c r="P196" s="720"/>
      <c r="Q196" s="21"/>
      <c r="R196" s="849"/>
      <c r="S196" s="843"/>
      <c r="T196" s="872"/>
      <c r="U196" s="846"/>
      <c r="V196" s="843"/>
    </row>
    <row r="197" spans="1:22">
      <c r="A197" s="339"/>
      <c r="B197" s="21"/>
      <c r="C197" s="352"/>
      <c r="D197" s="21"/>
      <c r="E197" s="849"/>
      <c r="F197" s="21"/>
      <c r="G197" s="21"/>
      <c r="H197" s="871"/>
      <c r="I197" s="177"/>
      <c r="J197" s="320"/>
      <c r="K197" s="21"/>
      <c r="L197" s="21"/>
      <c r="M197" s="839"/>
      <c r="N197" s="849"/>
      <c r="O197" s="849"/>
      <c r="P197" s="720"/>
      <c r="Q197" s="21"/>
      <c r="R197" s="849"/>
      <c r="S197" s="843"/>
      <c r="T197" s="872"/>
      <c r="U197" s="846"/>
      <c r="V197" s="843"/>
    </row>
    <row r="198" spans="1:22">
      <c r="A198" s="339"/>
      <c r="B198" s="21"/>
      <c r="C198" s="352"/>
      <c r="D198" s="21"/>
      <c r="E198" s="849"/>
      <c r="F198" s="21"/>
      <c r="G198" s="21"/>
      <c r="H198" s="871"/>
      <c r="I198" s="177"/>
      <c r="J198" s="320"/>
      <c r="K198" s="21"/>
      <c r="L198" s="21"/>
      <c r="M198" s="839"/>
      <c r="N198" s="849"/>
      <c r="O198" s="849"/>
      <c r="P198" s="720"/>
      <c r="Q198" s="21"/>
      <c r="R198" s="849"/>
      <c r="S198" s="843"/>
      <c r="T198" s="872"/>
      <c r="U198" s="846"/>
      <c r="V198" s="843"/>
    </row>
    <row r="199" spans="1:22">
      <c r="A199" s="339"/>
      <c r="B199" s="21"/>
      <c r="C199" s="352"/>
      <c r="D199" s="21"/>
      <c r="E199" s="849"/>
      <c r="F199" s="21"/>
      <c r="G199" s="21"/>
      <c r="H199" s="871"/>
      <c r="I199" s="177"/>
      <c r="J199" s="320"/>
      <c r="K199" s="21"/>
      <c r="L199" s="21"/>
      <c r="M199" s="839"/>
      <c r="N199" s="849"/>
      <c r="O199" s="849"/>
      <c r="P199" s="720"/>
      <c r="Q199" s="21"/>
      <c r="R199" s="849"/>
      <c r="S199" s="843"/>
      <c r="T199" s="872"/>
      <c r="U199" s="846"/>
      <c r="V199" s="843"/>
    </row>
    <row r="200" spans="1:22">
      <c r="A200" s="339"/>
      <c r="B200" s="21"/>
      <c r="C200" s="352"/>
      <c r="D200" s="21"/>
      <c r="E200" s="849"/>
      <c r="F200" s="21"/>
      <c r="G200" s="21"/>
      <c r="H200" s="871"/>
      <c r="I200" s="177"/>
      <c r="J200" s="320"/>
      <c r="K200" s="21"/>
      <c r="L200" s="21"/>
      <c r="M200" s="839"/>
      <c r="N200" s="849"/>
      <c r="O200" s="849"/>
      <c r="P200" s="720"/>
      <c r="Q200" s="21"/>
      <c r="R200" s="849"/>
      <c r="S200" s="843"/>
      <c r="T200" s="872"/>
      <c r="U200" s="846"/>
      <c r="V200" s="843"/>
    </row>
    <row r="201" spans="1:22">
      <c r="A201" s="339"/>
      <c r="B201" s="21"/>
      <c r="C201" s="352"/>
      <c r="D201" s="21"/>
      <c r="E201" s="849"/>
      <c r="F201" s="21"/>
      <c r="G201" s="21"/>
      <c r="H201" s="871"/>
      <c r="I201" s="177"/>
      <c r="J201" s="320"/>
      <c r="K201" s="21"/>
      <c r="L201" s="21"/>
      <c r="M201" s="839"/>
      <c r="N201" s="849"/>
      <c r="O201" s="849"/>
      <c r="P201" s="720"/>
      <c r="Q201" s="21"/>
      <c r="R201" s="849"/>
      <c r="S201" s="843"/>
      <c r="T201" s="872"/>
      <c r="U201" s="846"/>
      <c r="V201" s="843"/>
    </row>
    <row r="202" spans="1:22">
      <c r="A202" s="339"/>
      <c r="B202" s="21"/>
      <c r="C202" s="352"/>
      <c r="D202" s="21"/>
      <c r="E202" s="849"/>
      <c r="F202" s="21"/>
      <c r="G202" s="21"/>
      <c r="H202" s="871"/>
      <c r="I202" s="177"/>
      <c r="J202" s="320"/>
      <c r="K202" s="21"/>
      <c r="L202" s="21"/>
      <c r="M202" s="839"/>
      <c r="N202" s="849"/>
      <c r="O202" s="849"/>
      <c r="P202" s="720"/>
      <c r="Q202" s="21"/>
      <c r="R202" s="849"/>
      <c r="S202" s="843"/>
      <c r="T202" s="872"/>
      <c r="U202" s="846"/>
      <c r="V202" s="843"/>
    </row>
    <row r="203" spans="1:22">
      <c r="A203" s="339"/>
      <c r="B203" s="21"/>
      <c r="C203" s="352"/>
      <c r="D203" s="21"/>
      <c r="E203" s="849"/>
      <c r="F203" s="21"/>
      <c r="G203" s="21"/>
      <c r="H203" s="871"/>
      <c r="I203" s="177"/>
      <c r="J203" s="320"/>
      <c r="K203" s="21"/>
      <c r="L203" s="21"/>
      <c r="M203" s="839"/>
      <c r="N203" s="849"/>
      <c r="O203" s="849"/>
      <c r="P203" s="720"/>
      <c r="Q203" s="21"/>
      <c r="R203" s="849"/>
      <c r="S203" s="843"/>
      <c r="T203" s="872"/>
      <c r="U203" s="846"/>
      <c r="V203" s="843"/>
    </row>
    <row r="204" spans="1:22">
      <c r="A204" s="339"/>
      <c r="B204" s="21"/>
      <c r="C204" s="352"/>
      <c r="D204" s="21"/>
      <c r="E204" s="849"/>
      <c r="F204" s="21"/>
      <c r="G204" s="21"/>
      <c r="H204" s="871"/>
      <c r="I204" s="177"/>
      <c r="J204" s="320"/>
      <c r="K204" s="21"/>
      <c r="L204" s="21"/>
      <c r="M204" s="839"/>
      <c r="N204" s="849"/>
      <c r="O204" s="849"/>
      <c r="P204" s="720"/>
      <c r="Q204" s="21"/>
      <c r="R204" s="849"/>
      <c r="S204" s="843"/>
      <c r="T204" s="872"/>
      <c r="U204" s="846"/>
      <c r="V204" s="843"/>
    </row>
    <row r="205" spans="1:22">
      <c r="A205" s="339"/>
      <c r="B205" s="21"/>
      <c r="C205" s="352"/>
      <c r="D205" s="21"/>
      <c r="E205" s="849"/>
      <c r="F205" s="21"/>
      <c r="G205" s="21"/>
      <c r="H205" s="871"/>
      <c r="I205" s="177"/>
      <c r="J205" s="320"/>
      <c r="K205" s="21"/>
      <c r="L205" s="21"/>
      <c r="M205" s="839"/>
      <c r="N205" s="849"/>
      <c r="O205" s="849"/>
      <c r="P205" s="720"/>
      <c r="Q205" s="21"/>
      <c r="R205" s="849"/>
      <c r="S205" s="843"/>
      <c r="T205" s="872"/>
      <c r="U205" s="846"/>
      <c r="V205" s="843"/>
    </row>
    <row r="206" spans="1:22">
      <c r="A206" s="339"/>
      <c r="B206" s="21"/>
      <c r="C206" s="352"/>
      <c r="D206" s="21"/>
      <c r="E206" s="849"/>
      <c r="F206" s="21"/>
      <c r="G206" s="21"/>
      <c r="H206" s="871"/>
      <c r="I206" s="177"/>
      <c r="J206" s="320"/>
      <c r="K206" s="21"/>
      <c r="L206" s="21"/>
      <c r="M206" s="839"/>
      <c r="N206" s="849"/>
      <c r="O206" s="849"/>
      <c r="P206" s="720"/>
      <c r="Q206" s="21"/>
      <c r="R206" s="849"/>
      <c r="S206" s="843"/>
      <c r="T206" s="872"/>
      <c r="U206" s="846"/>
      <c r="V206" s="843"/>
    </row>
    <row r="207" spans="1:22">
      <c r="A207" s="339"/>
      <c r="B207" s="21"/>
      <c r="C207" s="352"/>
      <c r="D207" s="21"/>
      <c r="E207" s="849"/>
      <c r="F207" s="21"/>
      <c r="G207" s="21"/>
      <c r="H207" s="871"/>
      <c r="I207" s="177"/>
      <c r="J207" s="320"/>
      <c r="K207" s="21"/>
      <c r="L207" s="21"/>
      <c r="M207" s="839"/>
      <c r="N207" s="849"/>
      <c r="O207" s="849"/>
      <c r="P207" s="720"/>
      <c r="Q207" s="21"/>
      <c r="R207" s="849"/>
      <c r="S207" s="843"/>
      <c r="T207" s="872"/>
      <c r="U207" s="846"/>
      <c r="V207" s="843"/>
    </row>
    <row r="208" spans="1:22">
      <c r="A208" s="339"/>
      <c r="B208" s="21"/>
      <c r="C208" s="352"/>
      <c r="D208" s="21"/>
      <c r="E208" s="849"/>
      <c r="F208" s="21"/>
      <c r="G208" s="21"/>
      <c r="H208" s="871"/>
      <c r="I208" s="177"/>
      <c r="J208" s="320"/>
      <c r="K208" s="21"/>
      <c r="L208" s="21"/>
      <c r="M208" s="839"/>
      <c r="N208" s="849"/>
      <c r="O208" s="849"/>
      <c r="P208" s="720"/>
      <c r="Q208" s="21"/>
      <c r="R208" s="849"/>
      <c r="S208" s="843"/>
      <c r="T208" s="872"/>
      <c r="U208" s="846"/>
      <c r="V208" s="843"/>
    </row>
    <row r="209" spans="1:22">
      <c r="A209" s="339"/>
      <c r="B209" s="21"/>
      <c r="C209" s="352"/>
      <c r="D209" s="21"/>
      <c r="E209" s="849"/>
      <c r="F209" s="21"/>
      <c r="G209" s="21"/>
      <c r="H209" s="871"/>
      <c r="I209" s="177"/>
      <c r="J209" s="320"/>
      <c r="K209" s="21"/>
      <c r="L209" s="21"/>
      <c r="M209" s="839"/>
      <c r="N209" s="849"/>
      <c r="O209" s="849"/>
      <c r="P209" s="720"/>
      <c r="Q209" s="21"/>
      <c r="R209" s="849"/>
      <c r="S209" s="843"/>
      <c r="T209" s="872"/>
      <c r="U209" s="846"/>
      <c r="V209" s="843"/>
    </row>
    <row r="210" spans="1:22">
      <c r="A210" s="339"/>
      <c r="B210" s="21"/>
      <c r="C210" s="352"/>
      <c r="D210" s="21"/>
      <c r="E210" s="849"/>
      <c r="F210" s="21"/>
      <c r="G210" s="21"/>
      <c r="H210" s="871"/>
      <c r="I210" s="177"/>
      <c r="J210" s="320"/>
      <c r="K210" s="21"/>
      <c r="L210" s="21"/>
      <c r="M210" s="839"/>
      <c r="N210" s="849"/>
      <c r="O210" s="849"/>
      <c r="P210" s="720"/>
      <c r="Q210" s="21"/>
      <c r="R210" s="849"/>
      <c r="S210" s="843"/>
      <c r="T210" s="872"/>
      <c r="U210" s="846"/>
      <c r="V210" s="843"/>
    </row>
    <row r="211" spans="1:22">
      <c r="A211" s="339"/>
      <c r="B211" s="21"/>
      <c r="C211" s="352"/>
      <c r="D211" s="21"/>
      <c r="E211" s="849"/>
      <c r="F211" s="21"/>
      <c r="G211" s="21"/>
      <c r="H211" s="871"/>
      <c r="I211" s="177"/>
      <c r="J211" s="320"/>
      <c r="K211" s="21"/>
      <c r="L211" s="21"/>
      <c r="M211" s="839"/>
      <c r="N211" s="849"/>
      <c r="O211" s="849"/>
      <c r="P211" s="720"/>
      <c r="Q211" s="21"/>
      <c r="R211" s="849"/>
      <c r="S211" s="843"/>
      <c r="T211" s="872"/>
      <c r="U211" s="846"/>
      <c r="V211" s="843"/>
    </row>
    <row r="212" spans="1:22">
      <c r="A212" s="339"/>
      <c r="B212" s="21"/>
      <c r="C212" s="352"/>
      <c r="D212" s="21"/>
      <c r="E212" s="849"/>
      <c r="F212" s="21"/>
      <c r="G212" s="21"/>
      <c r="H212" s="871"/>
      <c r="I212" s="177"/>
      <c r="J212" s="320"/>
      <c r="K212" s="21"/>
      <c r="L212" s="21"/>
      <c r="M212" s="839"/>
      <c r="N212" s="849"/>
      <c r="O212" s="849"/>
      <c r="P212" s="720"/>
      <c r="Q212" s="21"/>
      <c r="R212" s="849"/>
      <c r="S212" s="843"/>
      <c r="T212" s="872"/>
      <c r="U212" s="846"/>
      <c r="V212" s="843"/>
    </row>
    <row r="213" spans="1:22">
      <c r="A213" s="339"/>
      <c r="B213" s="21"/>
      <c r="C213" s="352"/>
      <c r="D213" s="21"/>
      <c r="E213" s="849"/>
      <c r="F213" s="21"/>
      <c r="G213" s="21"/>
      <c r="H213" s="871"/>
      <c r="I213" s="177"/>
      <c r="J213" s="320"/>
      <c r="K213" s="21"/>
      <c r="L213" s="21"/>
      <c r="M213" s="839"/>
      <c r="N213" s="849"/>
      <c r="O213" s="849"/>
      <c r="P213" s="720"/>
      <c r="Q213" s="21"/>
      <c r="R213" s="849"/>
      <c r="S213" s="843"/>
      <c r="T213" s="872"/>
      <c r="U213" s="846"/>
      <c r="V213" s="843"/>
    </row>
    <row r="214" spans="1:22">
      <c r="A214" s="339"/>
      <c r="B214" s="21"/>
      <c r="C214" s="352"/>
      <c r="D214" s="21"/>
      <c r="E214" s="849"/>
      <c r="F214" s="21"/>
      <c r="G214" s="21"/>
      <c r="H214" s="871"/>
      <c r="I214" s="177"/>
      <c r="J214" s="320"/>
      <c r="K214" s="21"/>
      <c r="L214" s="21"/>
      <c r="M214" s="839"/>
      <c r="N214" s="849"/>
      <c r="O214" s="849"/>
      <c r="P214" s="720"/>
      <c r="Q214" s="21"/>
      <c r="R214" s="849"/>
      <c r="S214" s="843"/>
      <c r="T214" s="872"/>
      <c r="U214" s="846"/>
      <c r="V214" s="843"/>
    </row>
    <row r="215" spans="1:22">
      <c r="A215" s="339"/>
      <c r="B215" s="21"/>
      <c r="C215" s="352"/>
      <c r="D215" s="21"/>
      <c r="E215" s="849"/>
      <c r="F215" s="21"/>
      <c r="G215" s="21"/>
      <c r="H215" s="871"/>
      <c r="I215" s="177"/>
      <c r="J215" s="320"/>
      <c r="K215" s="21"/>
      <c r="L215" s="21"/>
      <c r="M215" s="839"/>
      <c r="N215" s="849"/>
      <c r="O215" s="849"/>
      <c r="P215" s="720"/>
      <c r="Q215" s="21"/>
      <c r="R215" s="849"/>
      <c r="S215" s="843"/>
      <c r="T215" s="872"/>
      <c r="U215" s="846"/>
      <c r="V215" s="843"/>
    </row>
    <row r="216" spans="1:22">
      <c r="A216" s="339"/>
      <c r="B216" s="21"/>
      <c r="C216" s="352"/>
      <c r="D216" s="21"/>
      <c r="E216" s="849"/>
      <c r="F216" s="21"/>
      <c r="G216" s="21"/>
      <c r="H216" s="871"/>
      <c r="I216" s="177"/>
      <c r="J216" s="320"/>
      <c r="K216" s="21"/>
      <c r="L216" s="21"/>
      <c r="M216" s="839"/>
      <c r="N216" s="849"/>
      <c r="O216" s="849"/>
      <c r="P216" s="720"/>
      <c r="Q216" s="21"/>
      <c r="R216" s="849"/>
      <c r="S216" s="843"/>
      <c r="T216" s="872"/>
      <c r="U216" s="846"/>
      <c r="V216" s="843"/>
    </row>
    <row r="217" spans="1:22">
      <c r="A217" s="339"/>
      <c r="B217" s="21"/>
      <c r="C217" s="352"/>
      <c r="D217" s="21"/>
      <c r="E217" s="849"/>
      <c r="F217" s="21"/>
      <c r="G217" s="21"/>
      <c r="H217" s="871"/>
      <c r="I217" s="177"/>
      <c r="J217" s="320"/>
      <c r="K217" s="21"/>
      <c r="L217" s="21"/>
      <c r="M217" s="839"/>
      <c r="N217" s="849"/>
      <c r="O217" s="849"/>
      <c r="P217" s="720"/>
      <c r="Q217" s="21"/>
      <c r="R217" s="849"/>
      <c r="S217" s="843"/>
      <c r="T217" s="872"/>
      <c r="U217" s="846"/>
      <c r="V217" s="843"/>
    </row>
    <row r="218" spans="1:22">
      <c r="A218" s="339"/>
      <c r="B218" s="21"/>
      <c r="C218" s="352"/>
      <c r="D218" s="21"/>
      <c r="E218" s="849"/>
      <c r="F218" s="21"/>
      <c r="G218" s="21"/>
      <c r="H218" s="871"/>
      <c r="I218" s="177"/>
      <c r="J218" s="320"/>
      <c r="K218" s="21"/>
      <c r="L218" s="21"/>
      <c r="M218" s="839"/>
      <c r="N218" s="849"/>
      <c r="O218" s="849"/>
      <c r="P218" s="720"/>
      <c r="Q218" s="21"/>
      <c r="R218" s="849"/>
      <c r="S218" s="843"/>
      <c r="T218" s="872"/>
      <c r="U218" s="846"/>
      <c r="V218" s="843"/>
    </row>
    <row r="219" spans="1:22">
      <c r="A219" s="339"/>
      <c r="B219" s="21"/>
      <c r="C219" s="352"/>
      <c r="D219" s="21"/>
      <c r="E219" s="849"/>
      <c r="F219" s="21"/>
      <c r="G219" s="21"/>
      <c r="H219" s="871"/>
      <c r="I219" s="177"/>
      <c r="J219" s="320"/>
      <c r="K219" s="21"/>
      <c r="L219" s="21"/>
      <c r="M219" s="839"/>
      <c r="N219" s="849"/>
      <c r="O219" s="849"/>
      <c r="P219" s="720"/>
      <c r="Q219" s="21"/>
      <c r="R219" s="849"/>
      <c r="S219" s="843"/>
      <c r="T219" s="872"/>
      <c r="U219" s="846"/>
      <c r="V219" s="843"/>
    </row>
    <row r="220" spans="1:22">
      <c r="A220" s="339"/>
      <c r="B220" s="21"/>
      <c r="C220" s="352"/>
      <c r="D220" s="21"/>
      <c r="E220" s="849"/>
      <c r="F220" s="21"/>
      <c r="G220" s="21"/>
      <c r="H220" s="871"/>
      <c r="I220" s="177"/>
      <c r="J220" s="320"/>
      <c r="K220" s="21"/>
      <c r="L220" s="21"/>
      <c r="M220" s="839"/>
      <c r="N220" s="849"/>
      <c r="O220" s="849"/>
      <c r="P220" s="720"/>
      <c r="Q220" s="21"/>
      <c r="R220" s="849"/>
      <c r="S220" s="843"/>
      <c r="T220" s="872"/>
      <c r="U220" s="846"/>
      <c r="V220" s="843"/>
    </row>
    <row r="221" spans="1:22">
      <c r="A221" s="339"/>
      <c r="B221" s="21"/>
      <c r="C221" s="352"/>
      <c r="D221" s="21"/>
      <c r="E221" s="849"/>
      <c r="F221" s="21"/>
      <c r="G221" s="21"/>
      <c r="H221" s="871"/>
      <c r="I221" s="177"/>
      <c r="J221" s="320"/>
      <c r="K221" s="21"/>
      <c r="L221" s="21"/>
      <c r="M221" s="839"/>
      <c r="N221" s="849"/>
      <c r="O221" s="849"/>
      <c r="P221" s="720"/>
      <c r="Q221" s="21"/>
      <c r="R221" s="849"/>
      <c r="S221" s="843"/>
      <c r="T221" s="872"/>
      <c r="U221" s="846"/>
      <c r="V221" s="843"/>
    </row>
    <row r="222" spans="1:22">
      <c r="A222" s="339"/>
      <c r="B222" s="21"/>
      <c r="C222" s="352"/>
      <c r="D222" s="21"/>
      <c r="E222" s="849"/>
      <c r="F222" s="21"/>
      <c r="G222" s="21"/>
      <c r="H222" s="871"/>
      <c r="I222" s="177"/>
      <c r="J222" s="320"/>
      <c r="K222" s="21"/>
      <c r="L222" s="21"/>
      <c r="M222" s="839"/>
      <c r="N222" s="849"/>
      <c r="O222" s="849"/>
      <c r="P222" s="720"/>
      <c r="Q222" s="21"/>
      <c r="R222" s="849"/>
      <c r="S222" s="843"/>
      <c r="T222" s="872"/>
      <c r="U222" s="846"/>
      <c r="V222" s="843"/>
    </row>
    <row r="223" spans="1:22">
      <c r="A223" s="340"/>
      <c r="B223" s="22"/>
      <c r="C223" s="353"/>
      <c r="D223" s="22"/>
      <c r="E223" s="850"/>
      <c r="F223" s="22"/>
      <c r="G223" s="22"/>
      <c r="H223" s="873"/>
      <c r="I223" s="179"/>
      <c r="J223" s="321"/>
      <c r="K223" s="22"/>
      <c r="L223" s="22"/>
      <c r="M223" s="841"/>
      <c r="N223" s="850"/>
      <c r="O223" s="850"/>
      <c r="P223" s="721"/>
      <c r="Q223" s="22"/>
      <c r="R223" s="850"/>
      <c r="S223" s="844"/>
      <c r="T223" s="874"/>
      <c r="U223" s="847"/>
      <c r="V223" s="844"/>
    </row>
  </sheetData>
  <autoFilter ref="A12:AE100"/>
  <dataConsolidate/>
  <mergeCells count="33">
    <mergeCell ref="U56:U57"/>
    <mergeCell ref="U58:U66"/>
    <mergeCell ref="U13:U19"/>
    <mergeCell ref="U20:U21"/>
    <mergeCell ref="U23:U29"/>
    <mergeCell ref="U30:U37"/>
    <mergeCell ref="U38:U55"/>
    <mergeCell ref="AA3:AA4"/>
    <mergeCell ref="AB3:AD3"/>
    <mergeCell ref="AE3:AE4"/>
    <mergeCell ref="A11:A12"/>
    <mergeCell ref="B11:B12"/>
    <mergeCell ref="C11:C12"/>
    <mergeCell ref="D11:D12"/>
    <mergeCell ref="E11:E12"/>
    <mergeCell ref="N11:N12"/>
    <mergeCell ref="P11:Q11"/>
    <mergeCell ref="R11:R12"/>
    <mergeCell ref="S11:S12"/>
    <mergeCell ref="T11:T12"/>
    <mergeCell ref="X11:X12"/>
    <mergeCell ref="M13:M19"/>
    <mergeCell ref="M20:M21"/>
    <mergeCell ref="M23:M29"/>
    <mergeCell ref="M30:M37"/>
    <mergeCell ref="A1:C1"/>
    <mergeCell ref="M88:M93"/>
    <mergeCell ref="M94:M100"/>
    <mergeCell ref="M102:M105"/>
    <mergeCell ref="M67:M87"/>
    <mergeCell ref="M38:M55"/>
    <mergeCell ref="M56:M57"/>
    <mergeCell ref="M58:M66"/>
  </mergeCells>
  <dataValidations count="2">
    <dataValidation type="list" allowBlank="1" showInputMessage="1" showErrorMessage="1" sqref="D1:D1048576">
      <formula1>"Commercial, Non-commercial"</formula1>
    </dataValidation>
    <dataValidation type="list" allowBlank="1" showInputMessage="1" showErrorMessage="1" sqref="R13:R55 R58:R87">
      <formula1>"Measurement, Material"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3"/>
  <sheetViews>
    <sheetView topLeftCell="E10" zoomScale="78" zoomScaleNormal="78" workbookViewId="0">
      <selection activeCell="G19" sqref="G19"/>
    </sheetView>
  </sheetViews>
  <sheetFormatPr defaultRowHeight="15"/>
  <cols>
    <col min="1" max="1" width="9.140625" style="156" customWidth="1"/>
    <col min="2" max="2" width="22.28515625" customWidth="1"/>
    <col min="3" max="3" width="14.7109375" style="350" customWidth="1"/>
    <col min="4" max="4" width="22.42578125" customWidth="1"/>
    <col min="5" max="5" width="22.7109375" style="9" customWidth="1"/>
    <col min="6" max="6" width="41" customWidth="1"/>
    <col min="7" max="7" width="27.28515625" customWidth="1"/>
    <col min="8" max="8" width="14.85546875" customWidth="1"/>
    <col min="9" max="9" width="13" style="153" customWidth="1"/>
    <col min="10" max="10" width="14.7109375" style="267" customWidth="1"/>
    <col min="11" max="11" width="13.140625" customWidth="1"/>
    <col min="12" max="12" width="13" customWidth="1"/>
    <col min="13" max="13" width="12.42578125" style="162" customWidth="1"/>
    <col min="14" max="14" width="13.7109375" style="9" customWidth="1"/>
    <col min="15" max="15" width="32.140625" style="9" customWidth="1"/>
    <col min="16" max="16" width="22.42578125" style="717" customWidth="1"/>
    <col min="17" max="17" width="15.5703125" customWidth="1"/>
    <col min="18" max="18" width="17.7109375" style="9" customWidth="1"/>
    <col min="19" max="19" width="16.7109375" style="7" customWidth="1"/>
    <col min="20" max="20" width="18.7109375" style="404" customWidth="1"/>
    <col min="21" max="21" width="20.85546875" style="238" customWidth="1"/>
    <col min="22" max="22" width="15.140625" style="7" customWidth="1"/>
    <col min="24" max="24" width="16.7109375" customWidth="1"/>
    <col min="25" max="25" width="14.42578125" customWidth="1"/>
    <col min="26" max="26" width="13.7109375" customWidth="1"/>
    <col min="27" max="27" width="19.7109375" bestFit="1" customWidth="1"/>
    <col min="28" max="30" width="11" customWidth="1"/>
    <col min="31" max="31" width="13.28515625" customWidth="1"/>
    <col min="32" max="32" width="16.140625" customWidth="1"/>
  </cols>
  <sheetData>
    <row r="1" spans="1:31" ht="34.5" customHeight="1">
      <c r="A1" s="1023">
        <v>44105</v>
      </c>
      <c r="B1" s="1023"/>
      <c r="C1" s="1023"/>
      <c r="D1" s="2"/>
      <c r="E1" s="658"/>
      <c r="F1" s="2"/>
      <c r="G1" s="2"/>
      <c r="H1" s="2"/>
      <c r="I1" s="152"/>
      <c r="J1" s="152"/>
      <c r="K1" s="2"/>
      <c r="L1" s="2"/>
      <c r="M1" s="160"/>
      <c r="N1" s="658"/>
      <c r="O1" s="658"/>
      <c r="P1" s="713"/>
      <c r="Q1" s="2"/>
      <c r="R1" s="658"/>
      <c r="S1" s="658"/>
      <c r="T1" s="2"/>
      <c r="U1" s="233"/>
    </row>
    <row r="2" spans="1:31" ht="34.5" customHeight="1">
      <c r="A2" s="157"/>
      <c r="B2" s="44"/>
      <c r="C2" s="349"/>
      <c r="D2" s="2"/>
      <c r="E2" s="658"/>
      <c r="F2" s="2"/>
      <c r="G2" s="2"/>
      <c r="H2" s="2"/>
      <c r="I2" s="152"/>
      <c r="J2" s="152"/>
      <c r="K2" s="2"/>
      <c r="L2" s="2"/>
      <c r="M2" s="160"/>
      <c r="N2" s="658"/>
      <c r="O2" s="658"/>
      <c r="P2" s="713"/>
      <c r="Q2" s="2"/>
      <c r="R2" s="658"/>
      <c r="S2" s="658"/>
      <c r="T2" s="2"/>
      <c r="U2" s="233"/>
    </row>
    <row r="3" spans="1:31" ht="54.75" customHeight="1">
      <c r="A3" s="157"/>
      <c r="B3" s="44"/>
      <c r="C3" s="349"/>
      <c r="D3" s="2"/>
      <c r="E3" s="658"/>
      <c r="F3" s="2"/>
      <c r="G3" s="2"/>
      <c r="H3" s="2"/>
      <c r="I3" s="152"/>
      <c r="J3" s="152"/>
      <c r="K3" s="2"/>
      <c r="L3" s="2"/>
      <c r="M3" s="160"/>
      <c r="N3" s="659" t="s">
        <v>0</v>
      </c>
      <c r="O3" s="660" t="s">
        <v>16</v>
      </c>
      <c r="P3" s="736" t="s">
        <v>27</v>
      </c>
      <c r="Q3" s="660" t="s">
        <v>14</v>
      </c>
      <c r="R3" s="660" t="s">
        <v>31</v>
      </c>
      <c r="S3" s="660" t="s">
        <v>203</v>
      </c>
      <c r="T3" s="155" t="s">
        <v>46</v>
      </c>
      <c r="U3" s="234" t="s">
        <v>45</v>
      </c>
      <c r="AA3" s="1024" t="s">
        <v>14</v>
      </c>
      <c r="AB3" s="1026" t="s">
        <v>3</v>
      </c>
      <c r="AC3" s="1027"/>
      <c r="AD3" s="1028"/>
      <c r="AE3" s="1009" t="s">
        <v>21</v>
      </c>
    </row>
    <row r="4" spans="1:31" ht="46.5" customHeight="1">
      <c r="A4" s="157"/>
      <c r="B4" s="44"/>
      <c r="C4" s="349"/>
      <c r="D4" s="2"/>
      <c r="E4" s="658"/>
      <c r="F4" s="2"/>
      <c r="G4" s="2"/>
      <c r="H4" s="2"/>
      <c r="I4" s="152"/>
      <c r="J4" s="152"/>
      <c r="K4" s="2"/>
      <c r="L4" s="2"/>
      <c r="M4" s="160"/>
      <c r="N4" s="32">
        <v>1</v>
      </c>
      <c r="O4" s="32" t="s">
        <v>28</v>
      </c>
      <c r="P4" s="32">
        <v>7</v>
      </c>
      <c r="Q4" s="32" t="s">
        <v>24</v>
      </c>
      <c r="R4" s="32" t="s">
        <v>32</v>
      </c>
      <c r="S4" s="32" t="s">
        <v>4</v>
      </c>
      <c r="T4" s="101"/>
      <c r="U4" s="235" t="s">
        <v>178</v>
      </c>
      <c r="AA4" s="1025"/>
      <c r="AB4" s="118" t="s">
        <v>20</v>
      </c>
      <c r="AC4" s="119" t="s">
        <v>22</v>
      </c>
      <c r="AD4" s="120" t="s">
        <v>23</v>
      </c>
      <c r="AE4" s="1010"/>
    </row>
    <row r="5" spans="1:31" ht="48.75" customHeight="1">
      <c r="A5" s="157"/>
      <c r="B5" s="44"/>
      <c r="C5" s="349"/>
      <c r="D5" s="2"/>
      <c r="E5" s="658"/>
      <c r="F5" s="658"/>
      <c r="G5" s="2"/>
      <c r="H5" s="2"/>
      <c r="I5" s="152"/>
      <c r="J5" s="152"/>
      <c r="K5" s="2"/>
      <c r="L5" s="2"/>
      <c r="M5" s="160"/>
      <c r="N5" s="61">
        <v>2</v>
      </c>
      <c r="O5" s="61" t="s">
        <v>180</v>
      </c>
      <c r="P5" s="61">
        <v>5</v>
      </c>
      <c r="Q5" s="61" t="s">
        <v>24</v>
      </c>
      <c r="R5" s="61" t="s">
        <v>32</v>
      </c>
      <c r="S5" s="61" t="s">
        <v>7</v>
      </c>
      <c r="T5" s="403"/>
      <c r="U5" s="236" t="s">
        <v>178</v>
      </c>
      <c r="AA5" s="121" t="s">
        <v>24</v>
      </c>
      <c r="AB5" s="121"/>
      <c r="AC5" s="121"/>
      <c r="AD5" s="121"/>
      <c r="AE5" s="121">
        <f>SUM(AB5:AD5)</f>
        <v>0</v>
      </c>
    </row>
    <row r="6" spans="1:31" ht="37.5" customHeight="1">
      <c r="A6" s="157"/>
      <c r="B6" s="44"/>
      <c r="C6" s="349"/>
      <c r="D6" s="2"/>
      <c r="E6" s="658"/>
      <c r="F6" s="2"/>
      <c r="G6" s="2"/>
      <c r="H6" s="2"/>
      <c r="I6" s="152"/>
      <c r="J6" s="152"/>
      <c r="K6" s="2"/>
      <c r="L6" s="2"/>
      <c r="M6" s="160"/>
      <c r="N6" s="32"/>
      <c r="O6" s="32"/>
      <c r="P6" s="715"/>
      <c r="Q6" s="32"/>
      <c r="R6" s="32"/>
      <c r="S6" s="32"/>
      <c r="T6" s="101"/>
      <c r="U6" s="235"/>
      <c r="AA6" s="124" t="s">
        <v>171</v>
      </c>
      <c r="AB6" s="61"/>
      <c r="AC6" s="124"/>
      <c r="AD6" s="61"/>
      <c r="AE6" s="61">
        <f>+AB6+AC6+AD6</f>
        <v>0</v>
      </c>
    </row>
    <row r="7" spans="1:31" ht="38.25" customHeight="1">
      <c r="A7" s="157"/>
      <c r="B7" s="44"/>
      <c r="C7" s="349"/>
      <c r="D7" s="2"/>
      <c r="E7" s="658"/>
      <c r="F7" s="2"/>
      <c r="G7" s="2"/>
      <c r="H7" s="2"/>
      <c r="I7" s="152"/>
      <c r="J7" s="152"/>
      <c r="K7" s="2"/>
      <c r="L7" s="2"/>
      <c r="M7" s="160"/>
      <c r="N7" s="61"/>
      <c r="O7" s="61"/>
      <c r="P7" s="716"/>
      <c r="Q7" s="61"/>
      <c r="R7" s="61"/>
      <c r="S7" s="61"/>
      <c r="T7" s="403"/>
      <c r="U7" s="236"/>
      <c r="AA7" s="121" t="s">
        <v>21</v>
      </c>
      <c r="AB7" s="121">
        <f>AB5+AB6</f>
        <v>0</v>
      </c>
      <c r="AC7" s="121">
        <f>AC5+AC6</f>
        <v>0</v>
      </c>
      <c r="AD7" s="121">
        <f>AD5+AD6</f>
        <v>0</v>
      </c>
      <c r="AE7" s="121">
        <f>AE5+AE6</f>
        <v>0</v>
      </c>
    </row>
    <row r="8" spans="1:31" ht="34.5" customHeight="1">
      <c r="A8" s="157"/>
      <c r="B8" s="44"/>
      <c r="C8" s="349"/>
      <c r="D8" s="2"/>
      <c r="E8" s="658"/>
      <c r="F8" s="2"/>
      <c r="G8" s="2"/>
      <c r="H8" s="2"/>
      <c r="I8" s="152"/>
      <c r="J8" s="152"/>
      <c r="K8" s="2"/>
      <c r="L8" s="2"/>
      <c r="M8" s="160"/>
      <c r="N8" s="32"/>
      <c r="O8" s="32"/>
      <c r="P8" s="715"/>
      <c r="Q8" s="32"/>
      <c r="R8" s="32"/>
      <c r="S8" s="32"/>
      <c r="T8" s="101"/>
      <c r="U8" s="235"/>
      <c r="AB8" s="138" t="e">
        <f>+AB7/$AE$7</f>
        <v>#DIV/0!</v>
      </c>
      <c r="AC8" s="138" t="e">
        <f t="shared" ref="AC8:AD8" si="0">+AC7/$AE$7</f>
        <v>#DIV/0!</v>
      </c>
      <c r="AD8" s="138" t="e">
        <f t="shared" si="0"/>
        <v>#DIV/0!</v>
      </c>
    </row>
    <row r="9" spans="1:31" ht="34.5" customHeight="1">
      <c r="A9" s="157"/>
      <c r="B9" s="44"/>
      <c r="C9" s="349"/>
      <c r="D9" s="2"/>
      <c r="E9" s="658"/>
      <c r="F9" s="2"/>
      <c r="G9" s="2"/>
      <c r="H9" s="2"/>
      <c r="I9" s="152"/>
      <c r="J9" s="152"/>
      <c r="K9" s="2"/>
      <c r="L9" s="2"/>
      <c r="M9" s="160"/>
      <c r="N9" s="658"/>
      <c r="O9" s="658"/>
      <c r="P9" s="713"/>
      <c r="Q9" s="2"/>
      <c r="R9" s="658"/>
      <c r="S9" s="658"/>
      <c r="T9" s="2"/>
      <c r="U9" s="233"/>
    </row>
    <row r="10" spans="1:31" ht="26.25" customHeight="1">
      <c r="T10" s="404" t="s">
        <v>198</v>
      </c>
      <c r="U10" s="237">
        <v>23270</v>
      </c>
    </row>
    <row r="11" spans="1:31" ht="30" customHeight="1">
      <c r="A11" s="1011" t="s">
        <v>0</v>
      </c>
      <c r="B11" s="1013" t="s">
        <v>1</v>
      </c>
      <c r="C11" s="1015" t="s">
        <v>13</v>
      </c>
      <c r="D11" s="1013" t="s">
        <v>14</v>
      </c>
      <c r="E11" s="1013" t="s">
        <v>37</v>
      </c>
      <c r="F11" s="365" t="s">
        <v>9</v>
      </c>
      <c r="G11" s="366"/>
      <c r="H11" s="366"/>
      <c r="I11" s="366"/>
      <c r="J11" s="366"/>
      <c r="K11" s="366"/>
      <c r="L11" s="366"/>
      <c r="M11" s="367"/>
      <c r="N11" s="1017" t="s">
        <v>5</v>
      </c>
      <c r="O11" s="155" t="s">
        <v>205</v>
      </c>
      <c r="P11" s="1032" t="s">
        <v>10</v>
      </c>
      <c r="Q11" s="1033"/>
      <c r="R11" s="1034" t="s">
        <v>203</v>
      </c>
      <c r="S11" s="1013" t="s">
        <v>2</v>
      </c>
      <c r="T11" s="1019" t="s">
        <v>35</v>
      </c>
      <c r="U11" s="664" t="s">
        <v>190</v>
      </c>
      <c r="V11" s="663" t="s">
        <v>184</v>
      </c>
      <c r="X11" s="1021" t="s">
        <v>206</v>
      </c>
    </row>
    <row r="12" spans="1:31" ht="23.25" customHeight="1">
      <c r="A12" s="1012"/>
      <c r="B12" s="1014"/>
      <c r="C12" s="1016"/>
      <c r="D12" s="1014"/>
      <c r="E12" s="1014"/>
      <c r="F12" s="151" t="s">
        <v>15</v>
      </c>
      <c r="G12" s="151" t="s">
        <v>16</v>
      </c>
      <c r="H12" s="151" t="s">
        <v>193</v>
      </c>
      <c r="I12" s="154" t="s">
        <v>195</v>
      </c>
      <c r="J12" s="268" t="s">
        <v>194</v>
      </c>
      <c r="K12" s="151" t="s">
        <v>195</v>
      </c>
      <c r="L12" s="151" t="s">
        <v>21</v>
      </c>
      <c r="M12" s="161" t="s">
        <v>34</v>
      </c>
      <c r="N12" s="1018"/>
      <c r="O12" s="158"/>
      <c r="P12" s="718" t="s">
        <v>17</v>
      </c>
      <c r="Q12" s="659" t="s">
        <v>3</v>
      </c>
      <c r="R12" s="1013"/>
      <c r="S12" s="1014"/>
      <c r="T12" s="1020"/>
      <c r="U12" s="452"/>
      <c r="V12" s="661"/>
      <c r="X12" s="1022"/>
    </row>
    <row r="13" spans="1:31" s="9" customFormat="1" ht="15.75">
      <c r="A13" s="338">
        <v>68</v>
      </c>
      <c r="B13" s="296" t="s">
        <v>718</v>
      </c>
      <c r="C13" s="551">
        <v>44106</v>
      </c>
      <c r="D13" s="297" t="s">
        <v>24</v>
      </c>
      <c r="E13" s="665" t="s">
        <v>719</v>
      </c>
      <c r="F13" s="19" t="s">
        <v>720</v>
      </c>
      <c r="G13" s="19" t="s">
        <v>721</v>
      </c>
      <c r="H13" s="279">
        <v>2</v>
      </c>
      <c r="I13" s="175" t="s">
        <v>207</v>
      </c>
      <c r="J13" s="318">
        <v>9</v>
      </c>
      <c r="K13" s="185" t="s">
        <v>197</v>
      </c>
      <c r="L13" s="165">
        <f>J13*H13</f>
        <v>18</v>
      </c>
      <c r="M13" s="1052">
        <v>94.8</v>
      </c>
      <c r="N13" s="551">
        <v>44106</v>
      </c>
      <c r="O13" s="197" t="s">
        <v>219</v>
      </c>
      <c r="P13" s="719">
        <v>303495756710</v>
      </c>
      <c r="Q13" s="552" t="s">
        <v>20</v>
      </c>
      <c r="R13" s="197" t="s">
        <v>4</v>
      </c>
      <c r="S13" s="341" t="s">
        <v>178</v>
      </c>
      <c r="T13" s="341" t="s">
        <v>178</v>
      </c>
      <c r="U13" s="1055">
        <f>765.2*U10</f>
        <v>17806204</v>
      </c>
      <c r="V13" s="1058"/>
      <c r="W13"/>
      <c r="X13" s="239">
        <f>L13/1000</f>
        <v>1.7999999999999999E-2</v>
      </c>
      <c r="Y13"/>
      <c r="Z13"/>
      <c r="AA13"/>
      <c r="AB13"/>
      <c r="AC13"/>
      <c r="AD13"/>
      <c r="AE13"/>
    </row>
    <row r="14" spans="1:31" s="9" customFormat="1" ht="15.75">
      <c r="A14" s="339">
        <v>68</v>
      </c>
      <c r="B14" s="211" t="s">
        <v>718</v>
      </c>
      <c r="C14" s="676">
        <v>44106</v>
      </c>
      <c r="D14" s="295" t="s">
        <v>24</v>
      </c>
      <c r="E14" s="666" t="s">
        <v>719</v>
      </c>
      <c r="F14" s="21" t="s">
        <v>722</v>
      </c>
      <c r="G14" s="21" t="s">
        <v>723</v>
      </c>
      <c r="H14" s="207">
        <v>1</v>
      </c>
      <c r="I14" s="177" t="s">
        <v>207</v>
      </c>
      <c r="J14" s="320">
        <v>5</v>
      </c>
      <c r="K14" s="189" t="s">
        <v>197</v>
      </c>
      <c r="L14" s="167">
        <f>J14*H14</f>
        <v>5</v>
      </c>
      <c r="M14" s="1053"/>
      <c r="N14" s="676">
        <v>44106</v>
      </c>
      <c r="O14" s="198" t="s">
        <v>219</v>
      </c>
      <c r="P14" s="719">
        <v>303495756710</v>
      </c>
      <c r="Q14" s="552" t="s">
        <v>20</v>
      </c>
      <c r="R14" s="198" t="s">
        <v>4</v>
      </c>
      <c r="S14" s="342" t="s">
        <v>178</v>
      </c>
      <c r="T14" s="342" t="s">
        <v>178</v>
      </c>
      <c r="U14" s="1056"/>
      <c r="V14" s="1059"/>
      <c r="W14"/>
      <c r="X14" s="239">
        <f t="shared" ref="X14:X77" si="1">L14/1000</f>
        <v>5.0000000000000001E-3</v>
      </c>
      <c r="Y14"/>
      <c r="Z14"/>
      <c r="AA14"/>
      <c r="AB14"/>
      <c r="AC14"/>
      <c r="AD14"/>
      <c r="AE14"/>
    </row>
    <row r="15" spans="1:31" s="9" customFormat="1" ht="15.75">
      <c r="A15" s="339">
        <v>68</v>
      </c>
      <c r="B15" s="211" t="s">
        <v>718</v>
      </c>
      <c r="C15" s="676">
        <v>44106</v>
      </c>
      <c r="D15" s="295" t="s">
        <v>24</v>
      </c>
      <c r="E15" s="666" t="s">
        <v>719</v>
      </c>
      <c r="F15" s="21" t="s">
        <v>724</v>
      </c>
      <c r="G15" s="21" t="s">
        <v>725</v>
      </c>
      <c r="H15" s="207">
        <v>1</v>
      </c>
      <c r="I15" s="177" t="s">
        <v>207</v>
      </c>
      <c r="J15" s="320">
        <v>10.54</v>
      </c>
      <c r="K15" s="189" t="s">
        <v>197</v>
      </c>
      <c r="L15" s="167">
        <f t="shared" ref="L15:L78" si="2">J15*H15</f>
        <v>10.54</v>
      </c>
      <c r="M15" s="1053"/>
      <c r="N15" s="676">
        <v>44106</v>
      </c>
      <c r="O15" s="198" t="s">
        <v>219</v>
      </c>
      <c r="P15" s="719">
        <v>303495756710</v>
      </c>
      <c r="Q15" s="552" t="s">
        <v>20</v>
      </c>
      <c r="R15" s="198" t="s">
        <v>4</v>
      </c>
      <c r="S15" s="342" t="s">
        <v>178</v>
      </c>
      <c r="T15" s="342" t="s">
        <v>178</v>
      </c>
      <c r="U15" s="1056"/>
      <c r="V15" s="1059"/>
      <c r="W15"/>
      <c r="X15" s="239">
        <f t="shared" si="1"/>
        <v>1.0539999999999999E-2</v>
      </c>
      <c r="Y15"/>
      <c r="Z15"/>
      <c r="AA15"/>
      <c r="AB15"/>
      <c r="AC15"/>
      <c r="AD15"/>
      <c r="AE15"/>
    </row>
    <row r="16" spans="1:31" s="9" customFormat="1" ht="15.75">
      <c r="A16" s="339">
        <v>68</v>
      </c>
      <c r="B16" s="211" t="s">
        <v>718</v>
      </c>
      <c r="C16" s="676">
        <v>44106</v>
      </c>
      <c r="D16" s="295" t="s">
        <v>24</v>
      </c>
      <c r="E16" s="666" t="s">
        <v>719</v>
      </c>
      <c r="F16" s="21" t="s">
        <v>726</v>
      </c>
      <c r="G16" s="21" t="s">
        <v>179</v>
      </c>
      <c r="H16" s="207">
        <v>12</v>
      </c>
      <c r="I16" s="177" t="s">
        <v>207</v>
      </c>
      <c r="J16" s="320">
        <v>2</v>
      </c>
      <c r="K16" s="189" t="s">
        <v>197</v>
      </c>
      <c r="L16" s="167">
        <f t="shared" si="2"/>
        <v>24</v>
      </c>
      <c r="M16" s="1053"/>
      <c r="N16" s="676">
        <v>44106</v>
      </c>
      <c r="O16" s="198" t="s">
        <v>219</v>
      </c>
      <c r="P16" s="719">
        <v>303495756710</v>
      </c>
      <c r="Q16" s="552" t="s">
        <v>20</v>
      </c>
      <c r="R16" s="198" t="s">
        <v>4</v>
      </c>
      <c r="S16" s="342" t="s">
        <v>178</v>
      </c>
      <c r="T16" s="342" t="s">
        <v>178</v>
      </c>
      <c r="U16" s="1056"/>
      <c r="V16" s="1059"/>
      <c r="W16"/>
      <c r="X16" s="239">
        <f t="shared" si="1"/>
        <v>2.4E-2</v>
      </c>
      <c r="Y16"/>
      <c r="Z16"/>
      <c r="AA16"/>
      <c r="AB16"/>
      <c r="AC16"/>
      <c r="AD16"/>
      <c r="AE16"/>
    </row>
    <row r="17" spans="1:31" s="9" customFormat="1" ht="15.75">
      <c r="A17" s="339">
        <v>68</v>
      </c>
      <c r="B17" s="211" t="s">
        <v>718</v>
      </c>
      <c r="C17" s="676">
        <v>44106</v>
      </c>
      <c r="D17" s="295" t="s">
        <v>24</v>
      </c>
      <c r="E17" s="666" t="s">
        <v>719</v>
      </c>
      <c r="F17" s="21" t="s">
        <v>727</v>
      </c>
      <c r="G17" s="21" t="s">
        <v>416</v>
      </c>
      <c r="H17" s="207">
        <v>1</v>
      </c>
      <c r="I17" s="177" t="s">
        <v>207</v>
      </c>
      <c r="J17" s="320">
        <v>10</v>
      </c>
      <c r="K17" s="189" t="s">
        <v>197</v>
      </c>
      <c r="L17" s="167">
        <f t="shared" si="2"/>
        <v>10</v>
      </c>
      <c r="M17" s="1053"/>
      <c r="N17" s="676">
        <v>44106</v>
      </c>
      <c r="O17" s="198" t="s">
        <v>219</v>
      </c>
      <c r="P17" s="719">
        <v>303495756710</v>
      </c>
      <c r="Q17" s="552" t="s">
        <v>20</v>
      </c>
      <c r="R17" s="198" t="s">
        <v>4</v>
      </c>
      <c r="S17" s="342" t="s">
        <v>178</v>
      </c>
      <c r="T17" s="342" t="s">
        <v>178</v>
      </c>
      <c r="U17" s="1056"/>
      <c r="V17" s="1059"/>
      <c r="W17"/>
      <c r="X17" s="239">
        <f t="shared" si="1"/>
        <v>0.01</v>
      </c>
      <c r="Y17"/>
      <c r="Z17"/>
      <c r="AA17"/>
      <c r="AB17"/>
      <c r="AC17"/>
      <c r="AD17"/>
      <c r="AE17"/>
    </row>
    <row r="18" spans="1:31" s="9" customFormat="1" ht="15.75">
      <c r="A18" s="339">
        <v>68</v>
      </c>
      <c r="B18" s="211" t="s">
        <v>718</v>
      </c>
      <c r="C18" s="676">
        <v>44106</v>
      </c>
      <c r="D18" s="295" t="s">
        <v>24</v>
      </c>
      <c r="E18" s="666" t="s">
        <v>719</v>
      </c>
      <c r="F18" s="21" t="s">
        <v>624</v>
      </c>
      <c r="G18" s="21" t="s">
        <v>416</v>
      </c>
      <c r="H18" s="207">
        <v>3</v>
      </c>
      <c r="I18" s="177" t="s">
        <v>207</v>
      </c>
      <c r="J18" s="320">
        <v>10</v>
      </c>
      <c r="K18" s="189" t="s">
        <v>197</v>
      </c>
      <c r="L18" s="167">
        <f t="shared" si="2"/>
        <v>30</v>
      </c>
      <c r="M18" s="1053"/>
      <c r="N18" s="676">
        <v>44106</v>
      </c>
      <c r="O18" s="198" t="s">
        <v>219</v>
      </c>
      <c r="P18" s="719">
        <v>303495756710</v>
      </c>
      <c r="Q18" s="552" t="s">
        <v>20</v>
      </c>
      <c r="R18" s="198" t="s">
        <v>4</v>
      </c>
      <c r="S18" s="342" t="s">
        <v>178</v>
      </c>
      <c r="T18" s="342" t="s">
        <v>178</v>
      </c>
      <c r="U18" s="1056"/>
      <c r="V18" s="1059"/>
      <c r="W18"/>
      <c r="X18" s="239">
        <f t="shared" si="1"/>
        <v>0.03</v>
      </c>
      <c r="Y18"/>
      <c r="Z18"/>
      <c r="AA18"/>
      <c r="AB18"/>
      <c r="AC18"/>
      <c r="AD18"/>
      <c r="AE18"/>
    </row>
    <row r="19" spans="1:31" s="9" customFormat="1" ht="15.75">
      <c r="A19" s="339">
        <v>68</v>
      </c>
      <c r="B19" s="211" t="s">
        <v>718</v>
      </c>
      <c r="C19" s="676">
        <v>44106</v>
      </c>
      <c r="D19" s="295" t="s">
        <v>24</v>
      </c>
      <c r="E19" s="666" t="s">
        <v>719</v>
      </c>
      <c r="F19" s="21" t="s">
        <v>728</v>
      </c>
      <c r="G19" s="21" t="s">
        <v>351</v>
      </c>
      <c r="H19" s="207">
        <v>3</v>
      </c>
      <c r="I19" s="177" t="s">
        <v>207</v>
      </c>
      <c r="J19" s="320">
        <v>11</v>
      </c>
      <c r="K19" s="189" t="s">
        <v>197</v>
      </c>
      <c r="L19" s="167">
        <f t="shared" si="2"/>
        <v>33</v>
      </c>
      <c r="M19" s="1053"/>
      <c r="N19" s="676">
        <v>44106</v>
      </c>
      <c r="O19" s="198" t="s">
        <v>219</v>
      </c>
      <c r="P19" s="719">
        <v>303495756710</v>
      </c>
      <c r="Q19" s="552" t="s">
        <v>20</v>
      </c>
      <c r="R19" s="198" t="s">
        <v>4</v>
      </c>
      <c r="S19" s="342" t="s">
        <v>178</v>
      </c>
      <c r="T19" s="342" t="s">
        <v>178</v>
      </c>
      <c r="U19" s="1056"/>
      <c r="V19" s="1059"/>
      <c r="W19"/>
      <c r="X19" s="239">
        <f t="shared" si="1"/>
        <v>3.3000000000000002E-2</v>
      </c>
      <c r="Y19"/>
      <c r="Z19"/>
      <c r="AA19"/>
      <c r="AB19"/>
      <c r="AC19"/>
      <c r="AD19"/>
      <c r="AE19"/>
    </row>
    <row r="20" spans="1:31" s="9" customFormat="1" ht="15.75">
      <c r="A20" s="339">
        <v>68</v>
      </c>
      <c r="B20" s="211" t="s">
        <v>718</v>
      </c>
      <c r="C20" s="676">
        <v>44106</v>
      </c>
      <c r="D20" s="295" t="s">
        <v>24</v>
      </c>
      <c r="E20" s="666" t="s">
        <v>719</v>
      </c>
      <c r="F20" s="21" t="s">
        <v>666</v>
      </c>
      <c r="G20" s="21" t="s">
        <v>416</v>
      </c>
      <c r="H20" s="207">
        <v>2</v>
      </c>
      <c r="I20" s="177" t="s">
        <v>207</v>
      </c>
      <c r="J20" s="320">
        <v>5</v>
      </c>
      <c r="K20" s="189" t="s">
        <v>197</v>
      </c>
      <c r="L20" s="167">
        <f t="shared" si="2"/>
        <v>10</v>
      </c>
      <c r="M20" s="1053"/>
      <c r="N20" s="676">
        <v>44106</v>
      </c>
      <c r="O20" s="198" t="s">
        <v>219</v>
      </c>
      <c r="P20" s="719">
        <v>303495756710</v>
      </c>
      <c r="Q20" s="552" t="s">
        <v>20</v>
      </c>
      <c r="R20" s="198" t="s">
        <v>4</v>
      </c>
      <c r="S20" s="342" t="s">
        <v>178</v>
      </c>
      <c r="T20" s="342" t="s">
        <v>178</v>
      </c>
      <c r="U20" s="1056"/>
      <c r="V20" s="1059"/>
      <c r="W20"/>
      <c r="X20" s="239">
        <f t="shared" si="1"/>
        <v>0.01</v>
      </c>
      <c r="Y20"/>
      <c r="Z20"/>
      <c r="AA20"/>
      <c r="AB20"/>
      <c r="AC20"/>
      <c r="AD20"/>
      <c r="AE20"/>
    </row>
    <row r="21" spans="1:31" s="9" customFormat="1" ht="15.75">
      <c r="A21" s="339">
        <v>68</v>
      </c>
      <c r="B21" s="211" t="s">
        <v>718</v>
      </c>
      <c r="C21" s="676">
        <v>44106</v>
      </c>
      <c r="D21" s="295" t="s">
        <v>24</v>
      </c>
      <c r="E21" s="666" t="s">
        <v>719</v>
      </c>
      <c r="F21" s="21" t="s">
        <v>729</v>
      </c>
      <c r="G21" s="21" t="s">
        <v>416</v>
      </c>
      <c r="H21" s="207">
        <v>2</v>
      </c>
      <c r="I21" s="177" t="s">
        <v>207</v>
      </c>
      <c r="J21" s="320">
        <v>3</v>
      </c>
      <c r="K21" s="189" t="s">
        <v>197</v>
      </c>
      <c r="L21" s="167">
        <f t="shared" si="2"/>
        <v>6</v>
      </c>
      <c r="M21" s="1053"/>
      <c r="N21" s="676">
        <v>44106</v>
      </c>
      <c r="O21" s="198" t="s">
        <v>219</v>
      </c>
      <c r="P21" s="719">
        <v>303495756710</v>
      </c>
      <c r="Q21" s="552" t="s">
        <v>20</v>
      </c>
      <c r="R21" s="198" t="s">
        <v>4</v>
      </c>
      <c r="S21" s="342" t="s">
        <v>178</v>
      </c>
      <c r="T21" s="342" t="s">
        <v>178</v>
      </c>
      <c r="U21" s="1056"/>
      <c r="V21" s="1059"/>
      <c r="W21"/>
      <c r="X21" s="239">
        <f t="shared" si="1"/>
        <v>6.0000000000000001E-3</v>
      </c>
      <c r="Y21"/>
      <c r="Z21"/>
      <c r="AA21"/>
      <c r="AB21"/>
      <c r="AC21"/>
      <c r="AD21"/>
      <c r="AE21"/>
    </row>
    <row r="22" spans="1:31" s="327" customFormat="1" ht="15.75">
      <c r="A22" s="339">
        <v>68</v>
      </c>
      <c r="B22" s="211" t="s">
        <v>718</v>
      </c>
      <c r="C22" s="676">
        <v>44106</v>
      </c>
      <c r="D22" s="295" t="s">
        <v>24</v>
      </c>
      <c r="E22" s="666" t="s">
        <v>719</v>
      </c>
      <c r="F22" s="21" t="s">
        <v>253</v>
      </c>
      <c r="G22" s="21" t="s">
        <v>208</v>
      </c>
      <c r="H22" s="207">
        <v>2</v>
      </c>
      <c r="I22" s="177" t="s">
        <v>207</v>
      </c>
      <c r="J22" s="320">
        <v>3.5</v>
      </c>
      <c r="K22" s="189" t="s">
        <v>197</v>
      </c>
      <c r="L22" s="167">
        <f t="shared" si="2"/>
        <v>7</v>
      </c>
      <c r="M22" s="1053"/>
      <c r="N22" s="676">
        <v>44106</v>
      </c>
      <c r="O22" s="198" t="s">
        <v>219</v>
      </c>
      <c r="P22" s="719">
        <v>303495756710</v>
      </c>
      <c r="Q22" s="552" t="s">
        <v>20</v>
      </c>
      <c r="R22" s="198" t="s">
        <v>4</v>
      </c>
      <c r="S22" s="342" t="s">
        <v>178</v>
      </c>
      <c r="T22" s="342" t="s">
        <v>178</v>
      </c>
      <c r="U22" s="1056"/>
      <c r="V22" s="1059"/>
      <c r="W22" s="230"/>
      <c r="X22" s="239">
        <f t="shared" si="1"/>
        <v>7.0000000000000001E-3</v>
      </c>
      <c r="Y22" s="230"/>
      <c r="Z22" s="230"/>
      <c r="AA22" s="230"/>
      <c r="AB22" s="230"/>
      <c r="AC22" s="230"/>
      <c r="AD22" s="230"/>
      <c r="AE22" s="230"/>
    </row>
    <row r="23" spans="1:31" s="327" customFormat="1" ht="15.75">
      <c r="A23" s="339">
        <v>68</v>
      </c>
      <c r="B23" s="211" t="s">
        <v>718</v>
      </c>
      <c r="C23" s="676">
        <v>44106</v>
      </c>
      <c r="D23" s="295" t="s">
        <v>24</v>
      </c>
      <c r="E23" s="666" t="s">
        <v>719</v>
      </c>
      <c r="F23" s="21" t="s">
        <v>216</v>
      </c>
      <c r="G23" s="21" t="s">
        <v>416</v>
      </c>
      <c r="H23" s="207">
        <v>4</v>
      </c>
      <c r="I23" s="177" t="s">
        <v>207</v>
      </c>
      <c r="J23" s="320">
        <v>10</v>
      </c>
      <c r="K23" s="189" t="s">
        <v>197</v>
      </c>
      <c r="L23" s="167">
        <f t="shared" si="2"/>
        <v>40</v>
      </c>
      <c r="M23" s="1053"/>
      <c r="N23" s="676">
        <v>44106</v>
      </c>
      <c r="O23" s="198" t="s">
        <v>219</v>
      </c>
      <c r="P23" s="719">
        <v>303495756710</v>
      </c>
      <c r="Q23" s="552" t="s">
        <v>20</v>
      </c>
      <c r="R23" s="198" t="s">
        <v>4</v>
      </c>
      <c r="S23" s="342" t="s">
        <v>178</v>
      </c>
      <c r="T23" s="342" t="s">
        <v>178</v>
      </c>
      <c r="U23" s="1056"/>
      <c r="V23" s="1059"/>
      <c r="W23" s="230"/>
      <c r="X23" s="239">
        <f t="shared" si="1"/>
        <v>0.04</v>
      </c>
      <c r="Y23" s="230"/>
      <c r="Z23" s="230"/>
      <c r="AA23" s="230"/>
      <c r="AB23" s="230"/>
      <c r="AC23" s="230"/>
      <c r="AD23" s="230"/>
      <c r="AE23" s="230"/>
    </row>
    <row r="24" spans="1:31" s="327" customFormat="1" ht="15.75">
      <c r="A24" s="339">
        <v>68</v>
      </c>
      <c r="B24" s="211" t="s">
        <v>718</v>
      </c>
      <c r="C24" s="676">
        <v>44106</v>
      </c>
      <c r="D24" s="295" t="s">
        <v>24</v>
      </c>
      <c r="E24" s="666" t="s">
        <v>719</v>
      </c>
      <c r="F24" s="21" t="s">
        <v>215</v>
      </c>
      <c r="G24" s="21" t="s">
        <v>351</v>
      </c>
      <c r="H24" s="207">
        <v>2</v>
      </c>
      <c r="I24" s="177" t="s">
        <v>207</v>
      </c>
      <c r="J24" s="320">
        <v>10</v>
      </c>
      <c r="K24" s="189" t="s">
        <v>197</v>
      </c>
      <c r="L24" s="167">
        <f t="shared" si="2"/>
        <v>20</v>
      </c>
      <c r="M24" s="1053"/>
      <c r="N24" s="676">
        <v>44106</v>
      </c>
      <c r="O24" s="198" t="s">
        <v>219</v>
      </c>
      <c r="P24" s="719">
        <v>303495756710</v>
      </c>
      <c r="Q24" s="552" t="s">
        <v>20</v>
      </c>
      <c r="R24" s="198" t="s">
        <v>4</v>
      </c>
      <c r="S24" s="342" t="s">
        <v>178</v>
      </c>
      <c r="T24" s="342" t="s">
        <v>178</v>
      </c>
      <c r="U24" s="1056"/>
      <c r="V24" s="1059"/>
      <c r="W24" s="230"/>
      <c r="X24" s="239">
        <f t="shared" si="1"/>
        <v>0.02</v>
      </c>
      <c r="Y24" s="230"/>
      <c r="Z24" s="230"/>
      <c r="AA24" s="230"/>
      <c r="AB24" s="230"/>
      <c r="AC24" s="230"/>
      <c r="AD24" s="230"/>
      <c r="AE24" s="230"/>
    </row>
    <row r="25" spans="1:31" s="327" customFormat="1" ht="15.75">
      <c r="A25" s="339">
        <v>68</v>
      </c>
      <c r="B25" s="211" t="s">
        <v>718</v>
      </c>
      <c r="C25" s="676">
        <v>44106</v>
      </c>
      <c r="D25" s="295" t="s">
        <v>24</v>
      </c>
      <c r="E25" s="666" t="s">
        <v>719</v>
      </c>
      <c r="F25" s="619" t="s">
        <v>730</v>
      </c>
      <c r="G25" s="620" t="s">
        <v>490</v>
      </c>
      <c r="H25" s="166">
        <v>18</v>
      </c>
      <c r="I25" s="523" t="s">
        <v>207</v>
      </c>
      <c r="J25" s="677">
        <v>5</v>
      </c>
      <c r="K25" s="189" t="s">
        <v>197</v>
      </c>
      <c r="L25" s="167">
        <f t="shared" si="2"/>
        <v>90</v>
      </c>
      <c r="M25" s="1053"/>
      <c r="N25" s="676">
        <v>44106</v>
      </c>
      <c r="O25" s="198" t="s">
        <v>219</v>
      </c>
      <c r="P25" s="719">
        <v>303495756710</v>
      </c>
      <c r="Q25" s="552" t="s">
        <v>20</v>
      </c>
      <c r="R25" s="198" t="s">
        <v>4</v>
      </c>
      <c r="S25" s="342" t="s">
        <v>178</v>
      </c>
      <c r="T25" s="342" t="s">
        <v>178</v>
      </c>
      <c r="U25" s="1056"/>
      <c r="V25" s="1059"/>
      <c r="W25" s="230"/>
      <c r="X25" s="239">
        <f t="shared" si="1"/>
        <v>0.09</v>
      </c>
      <c r="Y25" s="230"/>
      <c r="Z25" s="230"/>
      <c r="AA25" s="230"/>
      <c r="AB25" s="230"/>
      <c r="AC25" s="230"/>
      <c r="AD25" s="230"/>
      <c r="AE25" s="230"/>
    </row>
    <row r="26" spans="1:31" s="327" customFormat="1" ht="15.75">
      <c r="A26" s="339">
        <v>68</v>
      </c>
      <c r="B26" s="211" t="s">
        <v>718</v>
      </c>
      <c r="C26" s="676">
        <v>44106</v>
      </c>
      <c r="D26" s="295" t="s">
        <v>24</v>
      </c>
      <c r="E26" s="666" t="s">
        <v>719</v>
      </c>
      <c r="F26" s="619" t="s">
        <v>731</v>
      </c>
      <c r="G26" s="620" t="s">
        <v>490</v>
      </c>
      <c r="H26" s="166">
        <v>2</v>
      </c>
      <c r="I26" s="523" t="s">
        <v>207</v>
      </c>
      <c r="J26" s="677">
        <v>5</v>
      </c>
      <c r="K26" s="189" t="s">
        <v>197</v>
      </c>
      <c r="L26" s="167">
        <f t="shared" si="2"/>
        <v>10</v>
      </c>
      <c r="M26" s="1053"/>
      <c r="N26" s="676">
        <v>44106</v>
      </c>
      <c r="O26" s="198" t="s">
        <v>219</v>
      </c>
      <c r="P26" s="719">
        <v>303495756710</v>
      </c>
      <c r="Q26" s="552" t="s">
        <v>20</v>
      </c>
      <c r="R26" s="198" t="s">
        <v>4</v>
      </c>
      <c r="S26" s="342" t="s">
        <v>178</v>
      </c>
      <c r="T26" s="342" t="s">
        <v>178</v>
      </c>
      <c r="U26" s="1056"/>
      <c r="V26" s="1059"/>
      <c r="W26" s="230"/>
      <c r="X26" s="239">
        <f t="shared" si="1"/>
        <v>0.01</v>
      </c>
      <c r="Y26" s="230"/>
      <c r="Z26" s="230"/>
      <c r="AA26" s="230"/>
      <c r="AB26" s="230"/>
      <c r="AC26" s="230"/>
      <c r="AD26" s="230"/>
      <c r="AE26" s="230"/>
    </row>
    <row r="27" spans="1:31" s="327" customFormat="1" ht="15.75">
      <c r="A27" s="339">
        <v>68</v>
      </c>
      <c r="B27" s="211" t="s">
        <v>718</v>
      </c>
      <c r="C27" s="676">
        <v>44106</v>
      </c>
      <c r="D27" s="295" t="s">
        <v>24</v>
      </c>
      <c r="E27" s="666" t="s">
        <v>719</v>
      </c>
      <c r="F27" s="619" t="s">
        <v>732</v>
      </c>
      <c r="G27" s="620" t="s">
        <v>733</v>
      </c>
      <c r="H27" s="166">
        <v>30</v>
      </c>
      <c r="I27" s="523" t="s">
        <v>207</v>
      </c>
      <c r="J27" s="677">
        <v>8.3000000000000007</v>
      </c>
      <c r="K27" s="189" t="s">
        <v>197</v>
      </c>
      <c r="L27" s="167">
        <f t="shared" si="2"/>
        <v>249.00000000000003</v>
      </c>
      <c r="M27" s="1053"/>
      <c r="N27" s="676">
        <v>44106</v>
      </c>
      <c r="O27" s="198" t="s">
        <v>219</v>
      </c>
      <c r="P27" s="719">
        <v>303495756710</v>
      </c>
      <c r="Q27" s="552" t="s">
        <v>20</v>
      </c>
      <c r="R27" s="198" t="s">
        <v>4</v>
      </c>
      <c r="S27" s="342" t="s">
        <v>178</v>
      </c>
      <c r="T27" s="342" t="s">
        <v>178</v>
      </c>
      <c r="U27" s="1056"/>
      <c r="V27" s="1059"/>
      <c r="W27" s="230"/>
      <c r="X27" s="239">
        <f t="shared" si="1"/>
        <v>0.24900000000000003</v>
      </c>
      <c r="Y27" s="230"/>
      <c r="Z27" s="230"/>
      <c r="AA27" s="230"/>
      <c r="AB27" s="230"/>
      <c r="AC27" s="230"/>
      <c r="AD27" s="230"/>
      <c r="AE27" s="230"/>
    </row>
    <row r="28" spans="1:31" s="327" customFormat="1" ht="15.75">
      <c r="A28" s="339">
        <v>68</v>
      </c>
      <c r="B28" s="211" t="s">
        <v>718</v>
      </c>
      <c r="C28" s="676">
        <v>44106</v>
      </c>
      <c r="D28" s="295" t="s">
        <v>24</v>
      </c>
      <c r="E28" s="666" t="s">
        <v>719</v>
      </c>
      <c r="F28" s="619" t="s">
        <v>732</v>
      </c>
      <c r="G28" s="620" t="s">
        <v>733</v>
      </c>
      <c r="H28" s="166">
        <v>30</v>
      </c>
      <c r="I28" s="523" t="s">
        <v>207</v>
      </c>
      <c r="J28" s="677">
        <v>8.3000000000000007</v>
      </c>
      <c r="K28" s="189" t="s">
        <v>197</v>
      </c>
      <c r="L28" s="167">
        <f t="shared" si="2"/>
        <v>249.00000000000003</v>
      </c>
      <c r="M28" s="1053"/>
      <c r="N28" s="676">
        <v>44106</v>
      </c>
      <c r="O28" s="198" t="s">
        <v>219</v>
      </c>
      <c r="P28" s="719">
        <v>303495756710</v>
      </c>
      <c r="Q28" s="552" t="s">
        <v>20</v>
      </c>
      <c r="R28" s="198" t="s">
        <v>4</v>
      </c>
      <c r="S28" s="342" t="s">
        <v>178</v>
      </c>
      <c r="T28" s="342" t="s">
        <v>178</v>
      </c>
      <c r="U28" s="1056"/>
      <c r="V28" s="1059"/>
      <c r="W28" s="230"/>
      <c r="X28" s="239">
        <f t="shared" si="1"/>
        <v>0.24900000000000003</v>
      </c>
      <c r="Y28" s="230"/>
      <c r="Z28" s="230"/>
      <c r="AA28" s="230"/>
      <c r="AB28" s="230"/>
      <c r="AC28" s="230"/>
      <c r="AD28" s="230"/>
      <c r="AE28" s="230"/>
    </row>
    <row r="29" spans="1:31" s="327" customFormat="1" ht="15.75">
      <c r="A29" s="339">
        <v>68</v>
      </c>
      <c r="B29" s="211" t="s">
        <v>718</v>
      </c>
      <c r="C29" s="676">
        <v>44106</v>
      </c>
      <c r="D29" s="295" t="s">
        <v>24</v>
      </c>
      <c r="E29" s="666" t="s">
        <v>719</v>
      </c>
      <c r="F29" s="619" t="s">
        <v>732</v>
      </c>
      <c r="G29" s="620" t="s">
        <v>733</v>
      </c>
      <c r="H29" s="166">
        <v>34</v>
      </c>
      <c r="I29" s="523" t="s">
        <v>207</v>
      </c>
      <c r="J29" s="677">
        <v>8.3000000000000007</v>
      </c>
      <c r="K29" s="189" t="s">
        <v>197</v>
      </c>
      <c r="L29" s="167">
        <f t="shared" si="2"/>
        <v>282.20000000000005</v>
      </c>
      <c r="M29" s="1053"/>
      <c r="N29" s="676">
        <v>44106</v>
      </c>
      <c r="O29" s="198" t="s">
        <v>219</v>
      </c>
      <c r="P29" s="719">
        <v>303495756710</v>
      </c>
      <c r="Q29" s="552" t="s">
        <v>20</v>
      </c>
      <c r="R29" s="198" t="s">
        <v>4</v>
      </c>
      <c r="S29" s="342" t="s">
        <v>178</v>
      </c>
      <c r="T29" s="342" t="s">
        <v>178</v>
      </c>
      <c r="U29" s="1056"/>
      <c r="V29" s="1059"/>
      <c r="W29" s="230"/>
      <c r="X29" s="239">
        <f t="shared" si="1"/>
        <v>0.28220000000000006</v>
      </c>
      <c r="Y29" s="230"/>
      <c r="Z29" s="230"/>
      <c r="AA29" s="230"/>
      <c r="AB29" s="230"/>
      <c r="AC29" s="230"/>
      <c r="AD29" s="230"/>
      <c r="AE29" s="230"/>
    </row>
    <row r="30" spans="1:31" s="327" customFormat="1" ht="15.75">
      <c r="A30" s="339">
        <v>68</v>
      </c>
      <c r="B30" s="211" t="s">
        <v>718</v>
      </c>
      <c r="C30" s="676">
        <v>44106</v>
      </c>
      <c r="D30" s="295" t="s">
        <v>24</v>
      </c>
      <c r="E30" s="666" t="s">
        <v>719</v>
      </c>
      <c r="F30" s="619" t="s">
        <v>734</v>
      </c>
      <c r="G30" s="620" t="s">
        <v>735</v>
      </c>
      <c r="H30" s="166">
        <v>38</v>
      </c>
      <c r="I30" s="523" t="s">
        <v>207</v>
      </c>
      <c r="J30" s="677">
        <v>8.3000000000000007</v>
      </c>
      <c r="K30" s="189" t="s">
        <v>197</v>
      </c>
      <c r="L30" s="167">
        <f t="shared" si="2"/>
        <v>315.40000000000003</v>
      </c>
      <c r="M30" s="1053"/>
      <c r="N30" s="676">
        <v>44106</v>
      </c>
      <c r="O30" s="198" t="s">
        <v>219</v>
      </c>
      <c r="P30" s="719">
        <v>303495756710</v>
      </c>
      <c r="Q30" s="552" t="s">
        <v>20</v>
      </c>
      <c r="R30" s="198" t="s">
        <v>4</v>
      </c>
      <c r="S30" s="342" t="s">
        <v>178</v>
      </c>
      <c r="T30" s="342" t="s">
        <v>178</v>
      </c>
      <c r="U30" s="1057"/>
      <c r="V30" s="1060"/>
      <c r="W30" s="230"/>
      <c r="X30" s="239">
        <f t="shared" si="1"/>
        <v>0.31540000000000001</v>
      </c>
      <c r="Y30" s="230"/>
      <c r="Z30" s="230"/>
      <c r="AA30" s="230"/>
      <c r="AB30" s="230"/>
      <c r="AC30" s="230"/>
      <c r="AD30" s="230"/>
      <c r="AE30" s="230"/>
    </row>
    <row r="31" spans="1:31" s="9" customFormat="1" ht="15.75">
      <c r="A31" s="338">
        <v>69</v>
      </c>
      <c r="B31" s="296" t="s">
        <v>736</v>
      </c>
      <c r="C31" s="680">
        <v>44112</v>
      </c>
      <c r="D31" s="297" t="s">
        <v>24</v>
      </c>
      <c r="E31" s="665" t="s">
        <v>737</v>
      </c>
      <c r="F31" s="454" t="s">
        <v>677</v>
      </c>
      <c r="G31" s="172" t="s">
        <v>738</v>
      </c>
      <c r="H31" s="164">
        <v>93</v>
      </c>
      <c r="I31" s="455" t="s">
        <v>741</v>
      </c>
      <c r="J31" s="559">
        <v>0.5</v>
      </c>
      <c r="K31" s="185" t="s">
        <v>197</v>
      </c>
      <c r="L31" s="165">
        <f t="shared" si="2"/>
        <v>46.5</v>
      </c>
      <c r="M31" s="1052">
        <v>40</v>
      </c>
      <c r="N31" s="680">
        <v>44113</v>
      </c>
      <c r="O31" s="197" t="s">
        <v>219</v>
      </c>
      <c r="P31" s="719">
        <v>303510411540</v>
      </c>
      <c r="Q31" s="19" t="s">
        <v>20</v>
      </c>
      <c r="R31" s="197" t="s">
        <v>7</v>
      </c>
      <c r="S31" s="341" t="s">
        <v>178</v>
      </c>
      <c r="T31" s="341" t="s">
        <v>178</v>
      </c>
      <c r="U31" s="1055">
        <f>369*U10</f>
        <v>8586630</v>
      </c>
      <c r="V31" s="1058"/>
      <c r="W31"/>
      <c r="X31" s="239">
        <f t="shared" si="1"/>
        <v>4.65E-2</v>
      </c>
      <c r="Y31"/>
      <c r="Z31"/>
      <c r="AA31"/>
      <c r="AB31"/>
      <c r="AC31"/>
      <c r="AD31"/>
      <c r="AE31"/>
    </row>
    <row r="32" spans="1:31" s="9" customFormat="1" ht="15.75">
      <c r="A32" s="339">
        <v>69</v>
      </c>
      <c r="B32" s="211" t="s">
        <v>736</v>
      </c>
      <c r="C32" s="681">
        <v>44112</v>
      </c>
      <c r="D32" s="295" t="s">
        <v>24</v>
      </c>
      <c r="E32" s="666" t="s">
        <v>737</v>
      </c>
      <c r="F32" s="619" t="s">
        <v>212</v>
      </c>
      <c r="G32" s="89" t="s">
        <v>738</v>
      </c>
      <c r="H32" s="166">
        <v>12</v>
      </c>
      <c r="I32" s="523" t="s">
        <v>741</v>
      </c>
      <c r="J32" s="677">
        <v>1</v>
      </c>
      <c r="K32" s="189" t="s">
        <v>197</v>
      </c>
      <c r="L32" s="167">
        <f t="shared" si="2"/>
        <v>12</v>
      </c>
      <c r="M32" s="1053"/>
      <c r="N32" s="681">
        <v>44113</v>
      </c>
      <c r="O32" s="198" t="s">
        <v>219</v>
      </c>
      <c r="P32" s="720">
        <v>303510411540</v>
      </c>
      <c r="Q32" s="21" t="s">
        <v>20</v>
      </c>
      <c r="R32" s="198" t="s">
        <v>7</v>
      </c>
      <c r="S32" s="342" t="s">
        <v>178</v>
      </c>
      <c r="T32" s="342" t="s">
        <v>178</v>
      </c>
      <c r="U32" s="1056"/>
      <c r="V32" s="1059"/>
      <c r="W32"/>
      <c r="X32" s="239">
        <f t="shared" si="1"/>
        <v>1.2E-2</v>
      </c>
      <c r="Y32"/>
      <c r="Z32"/>
      <c r="AA32"/>
      <c r="AB32"/>
      <c r="AC32"/>
      <c r="AD32"/>
      <c r="AE32"/>
    </row>
    <row r="33" spans="1:31" s="9" customFormat="1" ht="15.75">
      <c r="A33" s="339">
        <v>69</v>
      </c>
      <c r="B33" s="211" t="s">
        <v>736</v>
      </c>
      <c r="C33" s="681">
        <v>44112</v>
      </c>
      <c r="D33" s="295" t="s">
        <v>24</v>
      </c>
      <c r="E33" s="666" t="s">
        <v>737</v>
      </c>
      <c r="F33" s="619" t="s">
        <v>739</v>
      </c>
      <c r="G33" s="89" t="s">
        <v>738</v>
      </c>
      <c r="H33" s="166">
        <v>1</v>
      </c>
      <c r="I33" s="523" t="s">
        <v>742</v>
      </c>
      <c r="J33" s="677">
        <v>5</v>
      </c>
      <c r="K33" s="189" t="s">
        <v>197</v>
      </c>
      <c r="L33" s="167">
        <f t="shared" si="2"/>
        <v>5</v>
      </c>
      <c r="M33" s="1053"/>
      <c r="N33" s="681">
        <v>44113</v>
      </c>
      <c r="O33" s="198" t="s">
        <v>219</v>
      </c>
      <c r="P33" s="720">
        <v>303510411540</v>
      </c>
      <c r="Q33" s="21" t="s">
        <v>20</v>
      </c>
      <c r="R33" s="198" t="s">
        <v>7</v>
      </c>
      <c r="S33" s="342" t="s">
        <v>178</v>
      </c>
      <c r="T33" s="342" t="s">
        <v>178</v>
      </c>
      <c r="U33" s="1056"/>
      <c r="V33" s="1059"/>
      <c r="W33"/>
      <c r="X33" s="239">
        <f t="shared" si="1"/>
        <v>5.0000000000000001E-3</v>
      </c>
      <c r="Y33"/>
      <c r="Z33"/>
      <c r="AA33"/>
      <c r="AB33"/>
      <c r="AC33"/>
      <c r="AD33"/>
      <c r="AE33"/>
    </row>
    <row r="34" spans="1:31" ht="15.75">
      <c r="A34" s="340">
        <v>69</v>
      </c>
      <c r="B34" s="214" t="s">
        <v>736</v>
      </c>
      <c r="C34" s="682">
        <v>44112</v>
      </c>
      <c r="D34" s="309" t="s">
        <v>24</v>
      </c>
      <c r="E34" s="667" t="s">
        <v>737</v>
      </c>
      <c r="F34" s="678" t="s">
        <v>740</v>
      </c>
      <c r="G34" s="168" t="s">
        <v>738</v>
      </c>
      <c r="H34" s="169">
        <v>1</v>
      </c>
      <c r="I34" s="524" t="s">
        <v>742</v>
      </c>
      <c r="J34" s="679">
        <v>5</v>
      </c>
      <c r="K34" s="195" t="s">
        <v>197</v>
      </c>
      <c r="L34" s="170">
        <f t="shared" si="2"/>
        <v>5</v>
      </c>
      <c r="M34" s="1054"/>
      <c r="N34" s="682">
        <v>44113</v>
      </c>
      <c r="O34" s="201" t="s">
        <v>219</v>
      </c>
      <c r="P34" s="721">
        <v>303510411540</v>
      </c>
      <c r="Q34" s="22" t="s">
        <v>20</v>
      </c>
      <c r="R34" s="201" t="s">
        <v>7</v>
      </c>
      <c r="S34" s="181" t="s">
        <v>178</v>
      </c>
      <c r="T34" s="181" t="s">
        <v>178</v>
      </c>
      <c r="U34" s="1057"/>
      <c r="V34" s="1060"/>
      <c r="X34" s="239">
        <f t="shared" si="1"/>
        <v>5.0000000000000001E-3</v>
      </c>
    </row>
    <row r="35" spans="1:31" ht="31.5">
      <c r="A35" s="338">
        <v>70</v>
      </c>
      <c r="B35" s="296" t="s">
        <v>743</v>
      </c>
      <c r="C35" s="680">
        <v>44112</v>
      </c>
      <c r="D35" s="297" t="s">
        <v>24</v>
      </c>
      <c r="E35" s="665" t="s">
        <v>744</v>
      </c>
      <c r="F35" s="454" t="s">
        <v>745</v>
      </c>
      <c r="G35" s="172" t="s">
        <v>752</v>
      </c>
      <c r="H35" s="164">
        <v>1</v>
      </c>
      <c r="I35" s="455" t="s">
        <v>207</v>
      </c>
      <c r="J35" s="685">
        <v>7.97</v>
      </c>
      <c r="K35" s="185" t="s">
        <v>197</v>
      </c>
      <c r="L35" s="165">
        <f t="shared" si="2"/>
        <v>7.97</v>
      </c>
      <c r="M35" s="1052">
        <v>38.9</v>
      </c>
      <c r="N35" s="680">
        <v>44113</v>
      </c>
      <c r="O35" s="197" t="s">
        <v>219</v>
      </c>
      <c r="P35" s="719">
        <v>303510394850</v>
      </c>
      <c r="Q35" s="19" t="s">
        <v>20</v>
      </c>
      <c r="R35" s="197" t="s">
        <v>4</v>
      </c>
      <c r="S35" s="341" t="s">
        <v>178</v>
      </c>
      <c r="T35" s="341" t="s">
        <v>178</v>
      </c>
      <c r="U35" s="1055">
        <f>381.01*U10</f>
        <v>8866102.6999999993</v>
      </c>
      <c r="V35" s="1048"/>
      <c r="X35" s="239">
        <f t="shared" si="1"/>
        <v>7.9699999999999997E-3</v>
      </c>
    </row>
    <row r="36" spans="1:31" ht="31.5">
      <c r="A36" s="339">
        <v>70</v>
      </c>
      <c r="B36" s="211" t="s">
        <v>743</v>
      </c>
      <c r="C36" s="681">
        <v>44112</v>
      </c>
      <c r="D36" s="295" t="s">
        <v>24</v>
      </c>
      <c r="E36" s="666" t="s">
        <v>744</v>
      </c>
      <c r="F36" s="619" t="s">
        <v>746</v>
      </c>
      <c r="G36" s="89" t="s">
        <v>752</v>
      </c>
      <c r="H36" s="166">
        <v>1</v>
      </c>
      <c r="I36" s="523" t="s">
        <v>207</v>
      </c>
      <c r="J36" s="677">
        <v>9.27</v>
      </c>
      <c r="K36" s="189" t="s">
        <v>197</v>
      </c>
      <c r="L36" s="167">
        <f t="shared" si="2"/>
        <v>9.27</v>
      </c>
      <c r="M36" s="1053"/>
      <c r="N36" s="681">
        <v>44113</v>
      </c>
      <c r="O36" s="198" t="s">
        <v>219</v>
      </c>
      <c r="P36" s="720">
        <v>303510394850</v>
      </c>
      <c r="Q36" s="21" t="s">
        <v>20</v>
      </c>
      <c r="R36" s="198" t="s">
        <v>4</v>
      </c>
      <c r="S36" s="342" t="s">
        <v>178</v>
      </c>
      <c r="T36" s="342" t="s">
        <v>178</v>
      </c>
      <c r="U36" s="1056"/>
      <c r="V36" s="1050"/>
      <c r="X36" s="239">
        <f t="shared" si="1"/>
        <v>9.2699999999999987E-3</v>
      </c>
    </row>
    <row r="37" spans="1:31" ht="15.75">
      <c r="A37" s="339">
        <v>70</v>
      </c>
      <c r="B37" s="211" t="s">
        <v>743</v>
      </c>
      <c r="C37" s="681">
        <v>44112</v>
      </c>
      <c r="D37" s="295" t="s">
        <v>24</v>
      </c>
      <c r="E37" s="666" t="s">
        <v>744</v>
      </c>
      <c r="F37" s="619" t="s">
        <v>374</v>
      </c>
      <c r="G37" s="89" t="s">
        <v>416</v>
      </c>
      <c r="H37" s="166">
        <v>1</v>
      </c>
      <c r="I37" s="523" t="s">
        <v>207</v>
      </c>
      <c r="J37" s="621">
        <v>20</v>
      </c>
      <c r="K37" s="189" t="s">
        <v>197</v>
      </c>
      <c r="L37" s="167">
        <f t="shared" si="2"/>
        <v>20</v>
      </c>
      <c r="M37" s="1053"/>
      <c r="N37" s="681">
        <v>44113</v>
      </c>
      <c r="O37" s="198" t="s">
        <v>219</v>
      </c>
      <c r="P37" s="720">
        <v>303510394850</v>
      </c>
      <c r="Q37" s="21" t="s">
        <v>20</v>
      </c>
      <c r="R37" s="198" t="s">
        <v>4</v>
      </c>
      <c r="S37" s="342" t="s">
        <v>178</v>
      </c>
      <c r="T37" s="342" t="s">
        <v>178</v>
      </c>
      <c r="U37" s="1056"/>
      <c r="V37" s="1050"/>
      <c r="X37" s="239">
        <f t="shared" si="1"/>
        <v>0.02</v>
      </c>
    </row>
    <row r="38" spans="1:31" ht="15.75">
      <c r="A38" s="339">
        <v>70</v>
      </c>
      <c r="B38" s="211" t="s">
        <v>743</v>
      </c>
      <c r="C38" s="681">
        <v>44112</v>
      </c>
      <c r="D38" s="295" t="s">
        <v>24</v>
      </c>
      <c r="E38" s="666" t="s">
        <v>744</v>
      </c>
      <c r="F38" s="619" t="s">
        <v>747</v>
      </c>
      <c r="G38" s="89" t="s">
        <v>156</v>
      </c>
      <c r="H38" s="166">
        <v>1</v>
      </c>
      <c r="I38" s="523" t="s">
        <v>207</v>
      </c>
      <c r="J38" s="677">
        <v>2.5</v>
      </c>
      <c r="K38" s="189" t="s">
        <v>197</v>
      </c>
      <c r="L38" s="167">
        <f t="shared" si="2"/>
        <v>2.5</v>
      </c>
      <c r="M38" s="1053"/>
      <c r="N38" s="681">
        <v>44113</v>
      </c>
      <c r="O38" s="198" t="s">
        <v>219</v>
      </c>
      <c r="P38" s="720">
        <v>303510394850</v>
      </c>
      <c r="Q38" s="21" t="s">
        <v>20</v>
      </c>
      <c r="R38" s="198" t="s">
        <v>4</v>
      </c>
      <c r="S38" s="342" t="s">
        <v>178</v>
      </c>
      <c r="T38" s="342" t="s">
        <v>178</v>
      </c>
      <c r="U38" s="1056"/>
      <c r="V38" s="1050"/>
      <c r="X38" s="239">
        <f t="shared" si="1"/>
        <v>2.5000000000000001E-3</v>
      </c>
    </row>
    <row r="39" spans="1:31" ht="15.75">
      <c r="A39" s="339">
        <v>70</v>
      </c>
      <c r="B39" s="211" t="s">
        <v>743</v>
      </c>
      <c r="C39" s="681">
        <v>44112</v>
      </c>
      <c r="D39" s="295" t="s">
        <v>24</v>
      </c>
      <c r="E39" s="666" t="s">
        <v>744</v>
      </c>
      <c r="F39" s="619" t="s">
        <v>748</v>
      </c>
      <c r="G39" s="89" t="s">
        <v>156</v>
      </c>
      <c r="H39" s="166">
        <v>1</v>
      </c>
      <c r="I39" s="523" t="s">
        <v>207</v>
      </c>
      <c r="J39" s="677">
        <v>2.5</v>
      </c>
      <c r="K39" s="189" t="s">
        <v>197</v>
      </c>
      <c r="L39" s="167">
        <f t="shared" si="2"/>
        <v>2.5</v>
      </c>
      <c r="M39" s="1053"/>
      <c r="N39" s="681">
        <v>44113</v>
      </c>
      <c r="O39" s="198" t="s">
        <v>219</v>
      </c>
      <c r="P39" s="720">
        <v>303510394850</v>
      </c>
      <c r="Q39" s="21" t="s">
        <v>20</v>
      </c>
      <c r="R39" s="198" t="s">
        <v>4</v>
      </c>
      <c r="S39" s="342" t="s">
        <v>178</v>
      </c>
      <c r="T39" s="342" t="s">
        <v>178</v>
      </c>
      <c r="U39" s="1056"/>
      <c r="V39" s="1050"/>
      <c r="X39" s="239">
        <f t="shared" si="1"/>
        <v>2.5000000000000001E-3</v>
      </c>
    </row>
    <row r="40" spans="1:31" ht="15.75">
      <c r="A40" s="339">
        <v>70</v>
      </c>
      <c r="B40" s="211" t="s">
        <v>743</v>
      </c>
      <c r="C40" s="681">
        <v>44112</v>
      </c>
      <c r="D40" s="295" t="s">
        <v>24</v>
      </c>
      <c r="E40" s="666" t="s">
        <v>744</v>
      </c>
      <c r="F40" s="619" t="s">
        <v>747</v>
      </c>
      <c r="G40" s="89" t="s">
        <v>156</v>
      </c>
      <c r="H40" s="166">
        <v>1</v>
      </c>
      <c r="I40" s="523" t="s">
        <v>207</v>
      </c>
      <c r="J40" s="677">
        <v>2.5</v>
      </c>
      <c r="K40" s="189" t="s">
        <v>197</v>
      </c>
      <c r="L40" s="167">
        <f t="shared" si="2"/>
        <v>2.5</v>
      </c>
      <c r="M40" s="1053"/>
      <c r="N40" s="681">
        <v>44113</v>
      </c>
      <c r="O40" s="198" t="s">
        <v>219</v>
      </c>
      <c r="P40" s="720">
        <v>303510394850</v>
      </c>
      <c r="Q40" s="21" t="s">
        <v>20</v>
      </c>
      <c r="R40" s="198" t="s">
        <v>4</v>
      </c>
      <c r="S40" s="342" t="s">
        <v>178</v>
      </c>
      <c r="T40" s="342" t="s">
        <v>178</v>
      </c>
      <c r="U40" s="1056"/>
      <c r="V40" s="1050"/>
      <c r="X40" s="239">
        <f t="shared" si="1"/>
        <v>2.5000000000000001E-3</v>
      </c>
    </row>
    <row r="41" spans="1:31" ht="15.75">
      <c r="A41" s="339">
        <v>70</v>
      </c>
      <c r="B41" s="211" t="s">
        <v>743</v>
      </c>
      <c r="C41" s="681">
        <v>44112</v>
      </c>
      <c r="D41" s="295" t="s">
        <v>24</v>
      </c>
      <c r="E41" s="666" t="s">
        <v>744</v>
      </c>
      <c r="F41" s="619" t="s">
        <v>748</v>
      </c>
      <c r="G41" s="89" t="s">
        <v>156</v>
      </c>
      <c r="H41" s="166">
        <v>1</v>
      </c>
      <c r="I41" s="523" t="s">
        <v>207</v>
      </c>
      <c r="J41" s="677">
        <v>2.5</v>
      </c>
      <c r="K41" s="189" t="s">
        <v>197</v>
      </c>
      <c r="L41" s="167">
        <f t="shared" si="2"/>
        <v>2.5</v>
      </c>
      <c r="M41" s="1053"/>
      <c r="N41" s="681">
        <v>44113</v>
      </c>
      <c r="O41" s="198" t="s">
        <v>219</v>
      </c>
      <c r="P41" s="720">
        <v>303510394850</v>
      </c>
      <c r="Q41" s="21" t="s">
        <v>20</v>
      </c>
      <c r="R41" s="198" t="s">
        <v>4</v>
      </c>
      <c r="S41" s="342" t="s">
        <v>178</v>
      </c>
      <c r="T41" s="342" t="s">
        <v>178</v>
      </c>
      <c r="U41" s="1056"/>
      <c r="V41" s="1050"/>
      <c r="X41" s="239">
        <f t="shared" si="1"/>
        <v>2.5000000000000001E-3</v>
      </c>
    </row>
    <row r="42" spans="1:31" ht="15.75">
      <c r="A42" s="339">
        <v>70</v>
      </c>
      <c r="B42" s="211" t="s">
        <v>743</v>
      </c>
      <c r="C42" s="681">
        <v>44112</v>
      </c>
      <c r="D42" s="295" t="s">
        <v>24</v>
      </c>
      <c r="E42" s="666" t="s">
        <v>744</v>
      </c>
      <c r="F42" s="619" t="s">
        <v>419</v>
      </c>
      <c r="G42" s="89" t="s">
        <v>204</v>
      </c>
      <c r="H42" s="166">
        <v>1</v>
      </c>
      <c r="I42" s="523" t="s">
        <v>207</v>
      </c>
      <c r="J42" s="677">
        <v>15</v>
      </c>
      <c r="K42" s="189" t="s">
        <v>197</v>
      </c>
      <c r="L42" s="167">
        <f t="shared" si="2"/>
        <v>15</v>
      </c>
      <c r="M42" s="1053"/>
      <c r="N42" s="681">
        <v>44113</v>
      </c>
      <c r="O42" s="198" t="s">
        <v>219</v>
      </c>
      <c r="P42" s="720">
        <v>303510394850</v>
      </c>
      <c r="Q42" s="21" t="s">
        <v>20</v>
      </c>
      <c r="R42" s="198" t="s">
        <v>4</v>
      </c>
      <c r="S42" s="342" t="s">
        <v>178</v>
      </c>
      <c r="T42" s="342" t="s">
        <v>178</v>
      </c>
      <c r="U42" s="1056"/>
      <c r="V42" s="1050"/>
      <c r="X42" s="239">
        <f t="shared" si="1"/>
        <v>1.4999999999999999E-2</v>
      </c>
    </row>
    <row r="43" spans="1:31" ht="15.75" customHeight="1">
      <c r="A43" s="339">
        <v>70</v>
      </c>
      <c r="B43" s="211" t="s">
        <v>743</v>
      </c>
      <c r="C43" s="681">
        <v>44112</v>
      </c>
      <c r="D43" s="295" t="s">
        <v>24</v>
      </c>
      <c r="E43" s="666" t="s">
        <v>744</v>
      </c>
      <c r="F43" s="619" t="s">
        <v>598</v>
      </c>
      <c r="G43" s="89" t="s">
        <v>351</v>
      </c>
      <c r="H43" s="166">
        <v>2</v>
      </c>
      <c r="I43" s="523" t="s">
        <v>207</v>
      </c>
      <c r="J43" s="677">
        <v>11</v>
      </c>
      <c r="K43" s="189" t="s">
        <v>197</v>
      </c>
      <c r="L43" s="167">
        <f t="shared" si="2"/>
        <v>22</v>
      </c>
      <c r="M43" s="1053"/>
      <c r="N43" s="681">
        <v>44113</v>
      </c>
      <c r="O43" s="198" t="s">
        <v>219</v>
      </c>
      <c r="P43" s="720">
        <v>303510394850</v>
      </c>
      <c r="Q43" s="21" t="s">
        <v>20</v>
      </c>
      <c r="R43" s="198" t="s">
        <v>4</v>
      </c>
      <c r="S43" s="342" t="s">
        <v>178</v>
      </c>
      <c r="T43" s="342" t="s">
        <v>178</v>
      </c>
      <c r="U43" s="1056"/>
      <c r="V43" s="1050"/>
      <c r="X43" s="239">
        <f t="shared" si="1"/>
        <v>2.1999999999999999E-2</v>
      </c>
    </row>
    <row r="44" spans="1:31" ht="15.75" customHeight="1">
      <c r="A44" s="339">
        <v>70</v>
      </c>
      <c r="B44" s="211" t="s">
        <v>743</v>
      </c>
      <c r="C44" s="681">
        <v>44112</v>
      </c>
      <c r="D44" s="295" t="s">
        <v>24</v>
      </c>
      <c r="E44" s="666" t="s">
        <v>744</v>
      </c>
      <c r="F44" s="619" t="s">
        <v>749</v>
      </c>
      <c r="G44" s="89" t="s">
        <v>416</v>
      </c>
      <c r="H44" s="166">
        <v>1</v>
      </c>
      <c r="I44" s="523" t="s">
        <v>207</v>
      </c>
      <c r="J44" s="677">
        <v>7</v>
      </c>
      <c r="K44" s="189" t="s">
        <v>197</v>
      </c>
      <c r="L44" s="167">
        <f t="shared" si="2"/>
        <v>7</v>
      </c>
      <c r="M44" s="1053"/>
      <c r="N44" s="681">
        <v>44113</v>
      </c>
      <c r="O44" s="198" t="s">
        <v>219</v>
      </c>
      <c r="P44" s="720">
        <v>303510394850</v>
      </c>
      <c r="Q44" s="21" t="s">
        <v>20</v>
      </c>
      <c r="R44" s="198" t="s">
        <v>4</v>
      </c>
      <c r="S44" s="342" t="s">
        <v>178</v>
      </c>
      <c r="T44" s="342" t="s">
        <v>178</v>
      </c>
      <c r="U44" s="1056"/>
      <c r="V44" s="1050"/>
      <c r="X44" s="239">
        <f t="shared" si="1"/>
        <v>7.0000000000000001E-3</v>
      </c>
    </row>
    <row r="45" spans="1:31" ht="15.75" customHeight="1">
      <c r="A45" s="339">
        <v>70</v>
      </c>
      <c r="B45" s="211" t="s">
        <v>743</v>
      </c>
      <c r="C45" s="681">
        <v>44112</v>
      </c>
      <c r="D45" s="295" t="s">
        <v>24</v>
      </c>
      <c r="E45" s="666" t="s">
        <v>744</v>
      </c>
      <c r="F45" s="619" t="s">
        <v>750</v>
      </c>
      <c r="G45" s="89" t="s">
        <v>290</v>
      </c>
      <c r="H45" s="166">
        <v>1</v>
      </c>
      <c r="I45" s="523" t="s">
        <v>207</v>
      </c>
      <c r="J45" s="677">
        <v>10</v>
      </c>
      <c r="K45" s="189" t="s">
        <v>197</v>
      </c>
      <c r="L45" s="167">
        <f t="shared" si="2"/>
        <v>10</v>
      </c>
      <c r="M45" s="1053"/>
      <c r="N45" s="681">
        <v>44113</v>
      </c>
      <c r="O45" s="198" t="s">
        <v>219</v>
      </c>
      <c r="P45" s="720">
        <v>303510394850</v>
      </c>
      <c r="Q45" s="21" t="s">
        <v>20</v>
      </c>
      <c r="R45" s="198" t="s">
        <v>4</v>
      </c>
      <c r="S45" s="342" t="s">
        <v>178</v>
      </c>
      <c r="T45" s="342" t="s">
        <v>178</v>
      </c>
      <c r="U45" s="1056"/>
      <c r="V45" s="1050"/>
      <c r="X45" s="239">
        <f t="shared" si="1"/>
        <v>0.01</v>
      </c>
    </row>
    <row r="46" spans="1:31" ht="15.75" customHeight="1">
      <c r="A46" s="339">
        <v>70</v>
      </c>
      <c r="B46" s="211" t="s">
        <v>743</v>
      </c>
      <c r="C46" s="681">
        <v>44112</v>
      </c>
      <c r="D46" s="295" t="s">
        <v>24</v>
      </c>
      <c r="E46" s="666" t="s">
        <v>744</v>
      </c>
      <c r="F46" s="619" t="s">
        <v>751</v>
      </c>
      <c r="G46" s="89" t="s">
        <v>179</v>
      </c>
      <c r="H46" s="166">
        <v>9</v>
      </c>
      <c r="I46" s="523" t="s">
        <v>207</v>
      </c>
      <c r="J46" s="677">
        <v>6</v>
      </c>
      <c r="K46" s="189" t="s">
        <v>197</v>
      </c>
      <c r="L46" s="167">
        <f t="shared" si="2"/>
        <v>54</v>
      </c>
      <c r="M46" s="1053"/>
      <c r="N46" s="681">
        <v>44113</v>
      </c>
      <c r="O46" s="198" t="s">
        <v>219</v>
      </c>
      <c r="P46" s="720">
        <v>303510394850</v>
      </c>
      <c r="Q46" s="21" t="s">
        <v>20</v>
      </c>
      <c r="R46" s="198" t="s">
        <v>4</v>
      </c>
      <c r="S46" s="342" t="s">
        <v>178</v>
      </c>
      <c r="T46" s="342" t="s">
        <v>178</v>
      </c>
      <c r="U46" s="1056"/>
      <c r="V46" s="1050"/>
      <c r="X46" s="239">
        <f t="shared" si="1"/>
        <v>5.3999999999999999E-2</v>
      </c>
    </row>
    <row r="47" spans="1:31" ht="15.75" customHeight="1">
      <c r="A47" s="340">
        <v>70</v>
      </c>
      <c r="B47" s="214" t="s">
        <v>743</v>
      </c>
      <c r="C47" s="682">
        <v>44112</v>
      </c>
      <c r="D47" s="309" t="s">
        <v>24</v>
      </c>
      <c r="E47" s="667" t="s">
        <v>744</v>
      </c>
      <c r="F47" s="678" t="s">
        <v>751</v>
      </c>
      <c r="G47" s="168" t="s">
        <v>179</v>
      </c>
      <c r="H47" s="169">
        <v>9</v>
      </c>
      <c r="I47" s="524" t="s">
        <v>207</v>
      </c>
      <c r="J47" s="679">
        <v>6</v>
      </c>
      <c r="K47" s="195" t="s">
        <v>197</v>
      </c>
      <c r="L47" s="170">
        <f t="shared" si="2"/>
        <v>54</v>
      </c>
      <c r="M47" s="1054"/>
      <c r="N47" s="682">
        <v>44113</v>
      </c>
      <c r="O47" s="201" t="s">
        <v>219</v>
      </c>
      <c r="P47" s="721">
        <v>303510394850</v>
      </c>
      <c r="Q47" s="22" t="s">
        <v>20</v>
      </c>
      <c r="R47" s="201" t="s">
        <v>4</v>
      </c>
      <c r="S47" s="181" t="s">
        <v>178</v>
      </c>
      <c r="T47" s="181" t="s">
        <v>178</v>
      </c>
      <c r="U47" s="1057"/>
      <c r="V47" s="1049"/>
      <c r="X47" s="239">
        <f t="shared" si="1"/>
        <v>5.3999999999999999E-2</v>
      </c>
    </row>
    <row r="48" spans="1:31" ht="15.75" customHeight="1">
      <c r="A48" s="338">
        <v>71</v>
      </c>
      <c r="B48" s="296" t="s">
        <v>753</v>
      </c>
      <c r="C48" s="680">
        <v>44119</v>
      </c>
      <c r="D48" s="297" t="s">
        <v>24</v>
      </c>
      <c r="E48" s="665" t="s">
        <v>754</v>
      </c>
      <c r="F48" s="454" t="s">
        <v>755</v>
      </c>
      <c r="G48" s="172" t="s">
        <v>416</v>
      </c>
      <c r="H48" s="164">
        <v>1</v>
      </c>
      <c r="I48" s="455" t="s">
        <v>207</v>
      </c>
      <c r="J48" s="559">
        <v>15</v>
      </c>
      <c r="K48" s="185" t="s">
        <v>197</v>
      </c>
      <c r="L48" s="165">
        <f t="shared" si="2"/>
        <v>15</v>
      </c>
      <c r="M48" s="1052">
        <v>10.65</v>
      </c>
      <c r="N48" s="680">
        <v>44119</v>
      </c>
      <c r="O48" s="197" t="s">
        <v>219</v>
      </c>
      <c r="P48" s="720">
        <v>310530399210</v>
      </c>
      <c r="Q48" s="21" t="s">
        <v>20</v>
      </c>
      <c r="R48" s="198" t="s">
        <v>4</v>
      </c>
      <c r="S48" s="341" t="s">
        <v>178</v>
      </c>
      <c r="T48" s="341" t="s">
        <v>178</v>
      </c>
      <c r="U48" s="1055">
        <f>124.21*U10</f>
        <v>2890366.6999999997</v>
      </c>
      <c r="V48" s="1048"/>
      <c r="X48" s="239">
        <f t="shared" si="1"/>
        <v>1.4999999999999999E-2</v>
      </c>
    </row>
    <row r="49" spans="1:24" ht="15.75" customHeight="1">
      <c r="A49" s="339">
        <v>71</v>
      </c>
      <c r="B49" s="211" t="s">
        <v>753</v>
      </c>
      <c r="C49" s="681">
        <v>44119</v>
      </c>
      <c r="D49" s="295" t="s">
        <v>24</v>
      </c>
      <c r="E49" s="666" t="s">
        <v>754</v>
      </c>
      <c r="F49" s="619" t="s">
        <v>756</v>
      </c>
      <c r="G49" s="89" t="s">
        <v>204</v>
      </c>
      <c r="H49" s="166">
        <v>1</v>
      </c>
      <c r="I49" s="523" t="s">
        <v>207</v>
      </c>
      <c r="J49" s="677">
        <v>9</v>
      </c>
      <c r="K49" s="189" t="s">
        <v>197</v>
      </c>
      <c r="L49" s="167">
        <f t="shared" si="2"/>
        <v>9</v>
      </c>
      <c r="M49" s="1053"/>
      <c r="N49" s="681">
        <v>44119</v>
      </c>
      <c r="O49" s="198" t="s">
        <v>219</v>
      </c>
      <c r="P49" s="720">
        <v>310530399210</v>
      </c>
      <c r="Q49" s="21" t="s">
        <v>20</v>
      </c>
      <c r="R49" s="198" t="s">
        <v>4</v>
      </c>
      <c r="S49" s="342" t="s">
        <v>178</v>
      </c>
      <c r="T49" s="342" t="s">
        <v>178</v>
      </c>
      <c r="U49" s="1056"/>
      <c r="V49" s="1050"/>
      <c r="X49" s="239">
        <f t="shared" si="1"/>
        <v>8.9999999999999993E-3</v>
      </c>
    </row>
    <row r="50" spans="1:24" ht="15.75" customHeight="1">
      <c r="A50" s="339">
        <v>71</v>
      </c>
      <c r="B50" s="211" t="s">
        <v>753</v>
      </c>
      <c r="C50" s="681">
        <v>44119</v>
      </c>
      <c r="D50" s="295" t="s">
        <v>24</v>
      </c>
      <c r="E50" s="666" t="s">
        <v>754</v>
      </c>
      <c r="F50" s="619" t="s">
        <v>757</v>
      </c>
      <c r="G50" s="89" t="s">
        <v>204</v>
      </c>
      <c r="H50" s="166">
        <v>1</v>
      </c>
      <c r="I50" s="523" t="s">
        <v>207</v>
      </c>
      <c r="J50" s="677">
        <v>9</v>
      </c>
      <c r="K50" s="189" t="s">
        <v>197</v>
      </c>
      <c r="L50" s="167">
        <f t="shared" si="2"/>
        <v>9</v>
      </c>
      <c r="M50" s="1053"/>
      <c r="N50" s="681">
        <v>44119</v>
      </c>
      <c r="O50" s="198" t="s">
        <v>219</v>
      </c>
      <c r="P50" s="720">
        <v>310530399210</v>
      </c>
      <c r="Q50" s="21" t="s">
        <v>20</v>
      </c>
      <c r="R50" s="198" t="s">
        <v>4</v>
      </c>
      <c r="S50" s="342" t="s">
        <v>178</v>
      </c>
      <c r="T50" s="342" t="s">
        <v>178</v>
      </c>
      <c r="U50" s="1056"/>
      <c r="V50" s="1050"/>
      <c r="X50" s="239">
        <f t="shared" si="1"/>
        <v>8.9999999999999993E-3</v>
      </c>
    </row>
    <row r="51" spans="1:24" ht="15.75">
      <c r="A51" s="340">
        <v>71</v>
      </c>
      <c r="B51" s="214" t="s">
        <v>753</v>
      </c>
      <c r="C51" s="682">
        <v>44119</v>
      </c>
      <c r="D51" s="309" t="s">
        <v>24</v>
      </c>
      <c r="E51" s="667" t="s">
        <v>754</v>
      </c>
      <c r="F51" s="678" t="s">
        <v>758</v>
      </c>
      <c r="G51" s="168" t="s">
        <v>416</v>
      </c>
      <c r="H51" s="169">
        <v>1</v>
      </c>
      <c r="I51" s="524" t="s">
        <v>207</v>
      </c>
      <c r="J51" s="679">
        <v>7</v>
      </c>
      <c r="K51" s="195" t="s">
        <v>197</v>
      </c>
      <c r="L51" s="170">
        <f t="shared" si="2"/>
        <v>7</v>
      </c>
      <c r="M51" s="1054"/>
      <c r="N51" s="682">
        <v>44119</v>
      </c>
      <c r="O51" s="201" t="s">
        <v>219</v>
      </c>
      <c r="P51" s="721">
        <v>310530399210</v>
      </c>
      <c r="Q51" s="22" t="s">
        <v>20</v>
      </c>
      <c r="R51" s="201" t="s">
        <v>4</v>
      </c>
      <c r="S51" s="181" t="s">
        <v>178</v>
      </c>
      <c r="T51" s="181" t="s">
        <v>178</v>
      </c>
      <c r="U51" s="1057"/>
      <c r="V51" s="1049"/>
      <c r="X51" s="239">
        <f t="shared" si="1"/>
        <v>7.0000000000000001E-3</v>
      </c>
    </row>
    <row r="52" spans="1:24" ht="15.75">
      <c r="A52" s="338">
        <v>72</v>
      </c>
      <c r="B52" s="296" t="s">
        <v>759</v>
      </c>
      <c r="C52" s="680">
        <v>44119</v>
      </c>
      <c r="D52" s="297" t="s">
        <v>24</v>
      </c>
      <c r="E52" s="665" t="s">
        <v>760</v>
      </c>
      <c r="F52" s="454" t="s">
        <v>761</v>
      </c>
      <c r="G52" s="172" t="s">
        <v>180</v>
      </c>
      <c r="H52" s="164">
        <v>10</v>
      </c>
      <c r="I52" s="455" t="s">
        <v>207</v>
      </c>
      <c r="J52" s="559">
        <v>1</v>
      </c>
      <c r="K52" s="185" t="s">
        <v>197</v>
      </c>
      <c r="L52" s="165">
        <f t="shared" si="2"/>
        <v>10</v>
      </c>
      <c r="M52" s="1052">
        <v>14</v>
      </c>
      <c r="N52" s="680">
        <v>44119</v>
      </c>
      <c r="O52" s="197" t="s">
        <v>219</v>
      </c>
      <c r="P52" s="719">
        <v>310530399100</v>
      </c>
      <c r="Q52" s="21" t="s">
        <v>20</v>
      </c>
      <c r="R52" s="197" t="s">
        <v>7</v>
      </c>
      <c r="S52" s="341" t="s">
        <v>178</v>
      </c>
      <c r="T52" s="341" t="s">
        <v>178</v>
      </c>
      <c r="U52" s="1048">
        <f>168.6*U10</f>
        <v>3923322</v>
      </c>
      <c r="V52" s="1048"/>
      <c r="X52" s="239">
        <f t="shared" si="1"/>
        <v>0.01</v>
      </c>
    </row>
    <row r="53" spans="1:24" ht="15.75">
      <c r="A53" s="339">
        <v>72</v>
      </c>
      <c r="B53" s="211" t="s">
        <v>759</v>
      </c>
      <c r="C53" s="681">
        <v>44119</v>
      </c>
      <c r="D53" s="295" t="s">
        <v>24</v>
      </c>
      <c r="E53" s="666" t="s">
        <v>760</v>
      </c>
      <c r="F53" s="619" t="s">
        <v>762</v>
      </c>
      <c r="G53" s="89" t="s">
        <v>180</v>
      </c>
      <c r="H53" s="166">
        <v>50</v>
      </c>
      <c r="I53" s="523" t="s">
        <v>207</v>
      </c>
      <c r="J53" s="677">
        <v>1</v>
      </c>
      <c r="K53" s="189" t="s">
        <v>197</v>
      </c>
      <c r="L53" s="167">
        <f t="shared" si="2"/>
        <v>50</v>
      </c>
      <c r="M53" s="1053"/>
      <c r="N53" s="681">
        <v>44119</v>
      </c>
      <c r="O53" s="198" t="s">
        <v>219</v>
      </c>
      <c r="P53" s="720">
        <v>310530399100</v>
      </c>
      <c r="Q53" s="21" t="s">
        <v>20</v>
      </c>
      <c r="R53" s="198" t="s">
        <v>7</v>
      </c>
      <c r="S53" s="342" t="s">
        <v>178</v>
      </c>
      <c r="T53" s="342" t="s">
        <v>178</v>
      </c>
      <c r="U53" s="1050"/>
      <c r="V53" s="1050"/>
      <c r="X53" s="239">
        <f t="shared" si="1"/>
        <v>0.05</v>
      </c>
    </row>
    <row r="54" spans="1:24" ht="15.75">
      <c r="A54" s="339">
        <v>72</v>
      </c>
      <c r="B54" s="211" t="s">
        <v>759</v>
      </c>
      <c r="C54" s="681">
        <v>44119</v>
      </c>
      <c r="D54" s="295" t="s">
        <v>24</v>
      </c>
      <c r="E54" s="666" t="s">
        <v>760</v>
      </c>
      <c r="F54" s="619" t="s">
        <v>763</v>
      </c>
      <c r="G54" s="89" t="s">
        <v>180</v>
      </c>
      <c r="H54" s="166">
        <v>50</v>
      </c>
      <c r="I54" s="523" t="s">
        <v>207</v>
      </c>
      <c r="J54" s="677">
        <v>1</v>
      </c>
      <c r="K54" s="189" t="s">
        <v>197</v>
      </c>
      <c r="L54" s="167">
        <f t="shared" si="2"/>
        <v>50</v>
      </c>
      <c r="M54" s="1053"/>
      <c r="N54" s="681">
        <v>44119</v>
      </c>
      <c r="O54" s="198" t="s">
        <v>219</v>
      </c>
      <c r="P54" s="720">
        <v>310530399100</v>
      </c>
      <c r="Q54" s="21" t="s">
        <v>20</v>
      </c>
      <c r="R54" s="198" t="s">
        <v>7</v>
      </c>
      <c r="S54" s="342" t="s">
        <v>178</v>
      </c>
      <c r="T54" s="342" t="s">
        <v>178</v>
      </c>
      <c r="U54" s="1050"/>
      <c r="V54" s="1050"/>
      <c r="X54" s="239">
        <f t="shared" si="1"/>
        <v>0.05</v>
      </c>
    </row>
    <row r="55" spans="1:24" ht="15.75" customHeight="1">
      <c r="A55" s="339">
        <v>72</v>
      </c>
      <c r="B55" s="211" t="s">
        <v>759</v>
      </c>
      <c r="C55" s="681">
        <v>44119</v>
      </c>
      <c r="D55" s="295" t="s">
        <v>24</v>
      </c>
      <c r="E55" s="666" t="s">
        <v>760</v>
      </c>
      <c r="F55" s="619" t="s">
        <v>764</v>
      </c>
      <c r="G55" s="687" t="s">
        <v>180</v>
      </c>
      <c r="H55" s="688">
        <v>28</v>
      </c>
      <c r="I55" s="523" t="s">
        <v>207</v>
      </c>
      <c r="J55" s="677">
        <v>1</v>
      </c>
      <c r="K55" s="189" t="s">
        <v>197</v>
      </c>
      <c r="L55" s="167">
        <f t="shared" si="2"/>
        <v>28</v>
      </c>
      <c r="M55" s="1053"/>
      <c r="N55" s="681">
        <v>44119</v>
      </c>
      <c r="O55" s="198" t="s">
        <v>219</v>
      </c>
      <c r="P55" s="720">
        <v>310530399100</v>
      </c>
      <c r="Q55" s="21" t="s">
        <v>20</v>
      </c>
      <c r="R55" s="198" t="s">
        <v>7</v>
      </c>
      <c r="S55" s="342" t="s">
        <v>178</v>
      </c>
      <c r="T55" s="342" t="s">
        <v>178</v>
      </c>
      <c r="U55" s="1050"/>
      <c r="V55" s="1050"/>
      <c r="X55" s="239">
        <f t="shared" si="1"/>
        <v>2.8000000000000001E-2</v>
      </c>
    </row>
    <row r="56" spans="1:24" ht="15.75" customHeight="1">
      <c r="A56" s="340">
        <v>72</v>
      </c>
      <c r="B56" s="214" t="s">
        <v>759</v>
      </c>
      <c r="C56" s="682">
        <v>44119</v>
      </c>
      <c r="D56" s="309" t="s">
        <v>24</v>
      </c>
      <c r="E56" s="667" t="s">
        <v>760</v>
      </c>
      <c r="F56" s="678" t="s">
        <v>765</v>
      </c>
      <c r="G56" s="689" t="s">
        <v>180</v>
      </c>
      <c r="H56" s="690">
        <v>23</v>
      </c>
      <c r="I56" s="524" t="s">
        <v>207</v>
      </c>
      <c r="J56" s="679">
        <v>1</v>
      </c>
      <c r="K56" s="195" t="s">
        <v>197</v>
      </c>
      <c r="L56" s="170">
        <f t="shared" si="2"/>
        <v>23</v>
      </c>
      <c r="M56" s="1054"/>
      <c r="N56" s="682">
        <v>44119</v>
      </c>
      <c r="O56" s="201" t="s">
        <v>219</v>
      </c>
      <c r="P56" s="721">
        <v>310530399100</v>
      </c>
      <c r="Q56" s="22" t="s">
        <v>20</v>
      </c>
      <c r="R56" s="201" t="s">
        <v>7</v>
      </c>
      <c r="S56" s="181" t="s">
        <v>178</v>
      </c>
      <c r="T56" s="181" t="s">
        <v>178</v>
      </c>
      <c r="U56" s="1049"/>
      <c r="V56" s="1049"/>
      <c r="X56" s="239">
        <f t="shared" si="1"/>
        <v>2.3E-2</v>
      </c>
    </row>
    <row r="57" spans="1:24" s="230" customFormat="1" ht="15.75" customHeight="1">
      <c r="A57" s="671">
        <v>73</v>
      </c>
      <c r="B57" s="672" t="s">
        <v>766</v>
      </c>
      <c r="C57" s="681">
        <v>44123</v>
      </c>
      <c r="D57" s="295" t="s">
        <v>24</v>
      </c>
      <c r="E57" s="673" t="s">
        <v>767</v>
      </c>
      <c r="F57" s="619" t="s">
        <v>758</v>
      </c>
      <c r="G57" s="89" t="s">
        <v>416</v>
      </c>
      <c r="H57" s="686">
        <v>1</v>
      </c>
      <c r="I57" s="674" t="s">
        <v>207</v>
      </c>
      <c r="J57" s="686">
        <v>7</v>
      </c>
      <c r="K57" s="189" t="s">
        <v>197</v>
      </c>
      <c r="L57" s="675">
        <f t="shared" si="2"/>
        <v>7</v>
      </c>
      <c r="M57" s="1052">
        <v>10.58</v>
      </c>
      <c r="N57" s="681">
        <v>44123</v>
      </c>
      <c r="O57" s="198" t="s">
        <v>219</v>
      </c>
      <c r="P57" s="722">
        <v>310532324650</v>
      </c>
      <c r="Q57" s="21" t="s">
        <v>20</v>
      </c>
      <c r="R57" s="198" t="s">
        <v>4</v>
      </c>
      <c r="S57" s="341" t="s">
        <v>178</v>
      </c>
      <c r="T57" s="341" t="s">
        <v>178</v>
      </c>
      <c r="U57" s="1048">
        <f>124.21*U10</f>
        <v>2890366.6999999997</v>
      </c>
      <c r="V57" s="1048"/>
      <c r="X57" s="694">
        <f t="shared" si="1"/>
        <v>7.0000000000000001E-3</v>
      </c>
    </row>
    <row r="58" spans="1:24" s="311" customFormat="1" ht="15.75" customHeight="1">
      <c r="A58" s="340">
        <v>73</v>
      </c>
      <c r="B58" s="214" t="s">
        <v>766</v>
      </c>
      <c r="C58" s="682">
        <v>44123</v>
      </c>
      <c r="D58" s="309" t="s">
        <v>24</v>
      </c>
      <c r="E58" s="668" t="s">
        <v>767</v>
      </c>
      <c r="F58" s="678" t="s">
        <v>768</v>
      </c>
      <c r="G58" s="168" t="s">
        <v>495</v>
      </c>
      <c r="H58" s="695">
        <v>4</v>
      </c>
      <c r="I58" s="594" t="s">
        <v>207</v>
      </c>
      <c r="J58" s="695">
        <v>5</v>
      </c>
      <c r="K58" s="195" t="s">
        <v>197</v>
      </c>
      <c r="L58" s="596">
        <f t="shared" si="2"/>
        <v>20</v>
      </c>
      <c r="M58" s="1054"/>
      <c r="N58" s="682">
        <v>44123</v>
      </c>
      <c r="O58" s="201" t="s">
        <v>219</v>
      </c>
      <c r="P58" s="723">
        <v>310532324650</v>
      </c>
      <c r="Q58" s="22" t="s">
        <v>20</v>
      </c>
      <c r="R58" s="201" t="s">
        <v>4</v>
      </c>
      <c r="S58" s="181" t="s">
        <v>178</v>
      </c>
      <c r="T58" s="181" t="s">
        <v>178</v>
      </c>
      <c r="U58" s="1049"/>
      <c r="V58" s="1049"/>
      <c r="X58" s="696">
        <f t="shared" si="1"/>
        <v>0.02</v>
      </c>
    </row>
    <row r="59" spans="1:24" ht="15.75" customHeight="1">
      <c r="A59" s="338">
        <v>74</v>
      </c>
      <c r="B59" s="296" t="s">
        <v>769</v>
      </c>
      <c r="C59" s="680">
        <v>44123</v>
      </c>
      <c r="D59" s="297" t="s">
        <v>24</v>
      </c>
      <c r="E59" s="691" t="s">
        <v>770</v>
      </c>
      <c r="F59" s="454" t="s">
        <v>282</v>
      </c>
      <c r="G59" s="703" t="s">
        <v>180</v>
      </c>
      <c r="H59" s="704">
        <v>6</v>
      </c>
      <c r="I59" s="455" t="s">
        <v>207</v>
      </c>
      <c r="J59" s="704">
        <v>1</v>
      </c>
      <c r="K59" s="185" t="s">
        <v>197</v>
      </c>
      <c r="L59" s="165">
        <f t="shared" si="2"/>
        <v>6</v>
      </c>
      <c r="M59" s="669">
        <v>1</v>
      </c>
      <c r="N59" s="680">
        <v>44123</v>
      </c>
      <c r="O59" s="197" t="s">
        <v>219</v>
      </c>
      <c r="P59" s="719">
        <v>310532324760</v>
      </c>
      <c r="Q59" s="19" t="s">
        <v>20</v>
      </c>
      <c r="R59" s="197" t="s">
        <v>7</v>
      </c>
      <c r="S59" s="341" t="s">
        <v>178</v>
      </c>
      <c r="T59" s="341" t="s">
        <v>178</v>
      </c>
      <c r="U59" s="670">
        <f>30.82*U10</f>
        <v>717181.4</v>
      </c>
      <c r="V59" s="341"/>
      <c r="X59" s="239">
        <f t="shared" si="1"/>
        <v>6.0000000000000001E-3</v>
      </c>
    </row>
    <row r="60" spans="1:24" s="552" customFormat="1" ht="15.75" customHeight="1">
      <c r="A60" s="338">
        <v>75</v>
      </c>
      <c r="B60" s="296" t="s">
        <v>771</v>
      </c>
      <c r="C60" s="680">
        <v>44127</v>
      </c>
      <c r="D60" s="297" t="s">
        <v>24</v>
      </c>
      <c r="E60" s="691" t="s">
        <v>772</v>
      </c>
      <c r="F60" s="454" t="s">
        <v>773</v>
      </c>
      <c r="G60" s="705" t="s">
        <v>416</v>
      </c>
      <c r="H60" s="704">
        <v>1</v>
      </c>
      <c r="I60" s="455" t="s">
        <v>207</v>
      </c>
      <c r="J60" s="704">
        <v>7</v>
      </c>
      <c r="K60" s="185" t="s">
        <v>197</v>
      </c>
      <c r="L60" s="165">
        <f t="shared" si="2"/>
        <v>7</v>
      </c>
      <c r="M60" s="1052">
        <v>7.9</v>
      </c>
      <c r="N60" s="680">
        <v>44127</v>
      </c>
      <c r="O60" s="197" t="s">
        <v>219</v>
      </c>
      <c r="P60" s="719">
        <v>310533406410</v>
      </c>
      <c r="Q60" s="19" t="s">
        <v>20</v>
      </c>
      <c r="R60" s="197" t="s">
        <v>4</v>
      </c>
      <c r="S60" s="341" t="s">
        <v>178</v>
      </c>
      <c r="T60" s="341" t="s">
        <v>178</v>
      </c>
      <c r="U60" s="1048">
        <f>124.21*U10</f>
        <v>2890366.6999999997</v>
      </c>
      <c r="V60" s="1048"/>
      <c r="X60" s="706">
        <f t="shared" si="1"/>
        <v>7.0000000000000001E-3</v>
      </c>
    </row>
    <row r="61" spans="1:24" s="230" customFormat="1" ht="15.75" customHeight="1">
      <c r="A61" s="339">
        <v>75</v>
      </c>
      <c r="B61" s="211" t="s">
        <v>771</v>
      </c>
      <c r="C61" s="681">
        <v>44127</v>
      </c>
      <c r="D61" s="295" t="s">
        <v>24</v>
      </c>
      <c r="E61" s="692" t="s">
        <v>772</v>
      </c>
      <c r="F61" s="619" t="s">
        <v>774</v>
      </c>
      <c r="G61" s="707" t="s">
        <v>416</v>
      </c>
      <c r="H61" s="677">
        <v>3</v>
      </c>
      <c r="I61" s="523" t="s">
        <v>207</v>
      </c>
      <c r="J61" s="677">
        <v>7</v>
      </c>
      <c r="K61" s="189" t="s">
        <v>197</v>
      </c>
      <c r="L61" s="167">
        <f t="shared" si="2"/>
        <v>21</v>
      </c>
      <c r="M61" s="1053"/>
      <c r="N61" s="681">
        <v>44127</v>
      </c>
      <c r="O61" s="198" t="s">
        <v>219</v>
      </c>
      <c r="P61" s="720">
        <v>310533406410</v>
      </c>
      <c r="Q61" s="21" t="s">
        <v>20</v>
      </c>
      <c r="R61" s="198" t="s">
        <v>4</v>
      </c>
      <c r="S61" s="342" t="s">
        <v>178</v>
      </c>
      <c r="T61" s="342" t="s">
        <v>178</v>
      </c>
      <c r="U61" s="1050"/>
      <c r="V61" s="1050"/>
      <c r="X61" s="694">
        <f t="shared" si="1"/>
        <v>2.1000000000000001E-2</v>
      </c>
    </row>
    <row r="62" spans="1:24" s="709" customFormat="1" ht="15.75" customHeight="1">
      <c r="A62" s="340">
        <v>75</v>
      </c>
      <c r="B62" s="214" t="s">
        <v>771</v>
      </c>
      <c r="C62" s="682">
        <v>44127</v>
      </c>
      <c r="D62" s="309" t="s">
        <v>24</v>
      </c>
      <c r="E62" s="693" t="s">
        <v>772</v>
      </c>
      <c r="F62" s="678" t="s">
        <v>775</v>
      </c>
      <c r="G62" s="708" t="s">
        <v>776</v>
      </c>
      <c r="H62" s="690">
        <v>1</v>
      </c>
      <c r="I62" s="524" t="s">
        <v>207</v>
      </c>
      <c r="J62" s="679">
        <v>32.96</v>
      </c>
      <c r="K62" s="195" t="s">
        <v>197</v>
      </c>
      <c r="L62" s="170">
        <f t="shared" si="2"/>
        <v>32.96</v>
      </c>
      <c r="M62" s="1054"/>
      <c r="N62" s="682">
        <v>44127</v>
      </c>
      <c r="O62" s="201" t="s">
        <v>219</v>
      </c>
      <c r="P62" s="721">
        <v>310533406410</v>
      </c>
      <c r="Q62" s="22" t="s">
        <v>20</v>
      </c>
      <c r="R62" s="201" t="s">
        <v>4</v>
      </c>
      <c r="S62" s="181" t="s">
        <v>178</v>
      </c>
      <c r="T62" s="342" t="s">
        <v>178</v>
      </c>
      <c r="U62" s="1049"/>
      <c r="V62" s="1049"/>
      <c r="X62" s="696">
        <f t="shared" si="1"/>
        <v>3.2960000000000003E-2</v>
      </c>
    </row>
    <row r="63" spans="1:24" s="19" customFormat="1" ht="15.75" customHeight="1">
      <c r="A63" s="338">
        <v>76</v>
      </c>
      <c r="B63" s="296" t="s">
        <v>777</v>
      </c>
      <c r="C63" s="680">
        <v>44131</v>
      </c>
      <c r="D63" s="297" t="s">
        <v>24</v>
      </c>
      <c r="E63" s="700" t="s">
        <v>778</v>
      </c>
      <c r="F63" s="454" t="s">
        <v>779</v>
      </c>
      <c r="G63" s="703" t="s">
        <v>179</v>
      </c>
      <c r="H63" s="710">
        <v>5</v>
      </c>
      <c r="I63" s="455" t="s">
        <v>207</v>
      </c>
      <c r="J63" s="559">
        <v>2</v>
      </c>
      <c r="K63" s="185" t="s">
        <v>197</v>
      </c>
      <c r="L63" s="165">
        <f t="shared" si="2"/>
        <v>10</v>
      </c>
      <c r="M63" s="1052">
        <v>4</v>
      </c>
      <c r="N63" s="680">
        <v>44131</v>
      </c>
      <c r="O63" s="197" t="s">
        <v>219</v>
      </c>
      <c r="P63" s="719">
        <v>310534872910</v>
      </c>
      <c r="Q63" s="19" t="s">
        <v>20</v>
      </c>
      <c r="R63" s="197" t="s">
        <v>4</v>
      </c>
      <c r="S63" s="341" t="s">
        <v>178</v>
      </c>
      <c r="T63" s="341" t="s">
        <v>178</v>
      </c>
      <c r="U63" s="1048">
        <f>56.96*U10</f>
        <v>1325459.2</v>
      </c>
      <c r="V63" s="1048"/>
      <c r="X63" s="711">
        <f t="shared" si="1"/>
        <v>0.01</v>
      </c>
    </row>
    <row r="64" spans="1:24" s="22" customFormat="1" ht="15.75" customHeight="1">
      <c r="A64" s="340">
        <v>76</v>
      </c>
      <c r="B64" s="214" t="s">
        <v>777</v>
      </c>
      <c r="C64" s="682">
        <v>44131</v>
      </c>
      <c r="D64" s="309" t="s">
        <v>24</v>
      </c>
      <c r="E64" s="702" t="s">
        <v>778</v>
      </c>
      <c r="F64" s="678" t="s">
        <v>780</v>
      </c>
      <c r="G64" s="689" t="s">
        <v>179</v>
      </c>
      <c r="H64" s="690">
        <v>3</v>
      </c>
      <c r="I64" s="524" t="s">
        <v>207</v>
      </c>
      <c r="J64" s="679">
        <v>6</v>
      </c>
      <c r="K64" s="195" t="s">
        <v>197</v>
      </c>
      <c r="L64" s="170">
        <f t="shared" si="2"/>
        <v>18</v>
      </c>
      <c r="M64" s="1054"/>
      <c r="N64" s="682">
        <v>44131</v>
      </c>
      <c r="O64" s="201" t="s">
        <v>219</v>
      </c>
      <c r="P64" s="721">
        <v>310534872910</v>
      </c>
      <c r="Q64" s="22" t="s">
        <v>20</v>
      </c>
      <c r="R64" s="201" t="s">
        <v>4</v>
      </c>
      <c r="S64" s="181" t="s">
        <v>178</v>
      </c>
      <c r="T64" s="181" t="s">
        <v>178</v>
      </c>
      <c r="U64" s="1049"/>
      <c r="V64" s="1049"/>
      <c r="X64" s="712">
        <f t="shared" si="1"/>
        <v>1.7999999999999999E-2</v>
      </c>
    </row>
    <row r="65" spans="1:24" s="19" customFormat="1" ht="15.75">
      <c r="A65" s="338">
        <v>77</v>
      </c>
      <c r="B65" s="296" t="s">
        <v>781</v>
      </c>
      <c r="C65" s="680">
        <v>44131</v>
      </c>
      <c r="D65" s="297" t="s">
        <v>24</v>
      </c>
      <c r="E65" s="700" t="s">
        <v>782</v>
      </c>
      <c r="F65" s="454" t="s">
        <v>783</v>
      </c>
      <c r="G65" s="703" t="s">
        <v>180</v>
      </c>
      <c r="H65" s="726">
        <v>20</v>
      </c>
      <c r="I65" s="455" t="s">
        <v>207</v>
      </c>
      <c r="J65" s="727">
        <v>1</v>
      </c>
      <c r="K65" s="185" t="s">
        <v>197</v>
      </c>
      <c r="L65" s="165">
        <f t="shared" si="2"/>
        <v>20</v>
      </c>
      <c r="M65" s="1052">
        <v>34</v>
      </c>
      <c r="N65" s="680">
        <v>44131</v>
      </c>
      <c r="O65" s="197" t="s">
        <v>219</v>
      </c>
      <c r="P65" s="719">
        <v>303546895430</v>
      </c>
      <c r="Q65" s="19" t="s">
        <v>20</v>
      </c>
      <c r="R65" s="197" t="s">
        <v>7</v>
      </c>
      <c r="S65" s="341" t="s">
        <v>178</v>
      </c>
      <c r="T65" s="341" t="s">
        <v>178</v>
      </c>
      <c r="U65" s="1048">
        <f>313.72*U10</f>
        <v>7300264.4000000004</v>
      </c>
      <c r="V65" s="1048"/>
      <c r="X65" s="711">
        <f t="shared" si="1"/>
        <v>0.02</v>
      </c>
    </row>
    <row r="66" spans="1:24" s="21" customFormat="1" ht="15.75">
      <c r="A66" s="339">
        <v>77</v>
      </c>
      <c r="B66" s="211" t="s">
        <v>781</v>
      </c>
      <c r="C66" s="681">
        <v>44131</v>
      </c>
      <c r="D66" s="295" t="s">
        <v>24</v>
      </c>
      <c r="E66" s="701" t="s">
        <v>782</v>
      </c>
      <c r="F66" s="619" t="s">
        <v>783</v>
      </c>
      <c r="G66" s="687" t="s">
        <v>180</v>
      </c>
      <c r="H66" s="728">
        <v>20</v>
      </c>
      <c r="I66" s="523" t="s">
        <v>207</v>
      </c>
      <c r="J66" s="729">
        <v>1</v>
      </c>
      <c r="K66" s="189" t="s">
        <v>197</v>
      </c>
      <c r="L66" s="167">
        <f t="shared" si="2"/>
        <v>20</v>
      </c>
      <c r="M66" s="1054"/>
      <c r="N66" s="681">
        <v>44131</v>
      </c>
      <c r="O66" s="198" t="s">
        <v>219</v>
      </c>
      <c r="P66" s="720">
        <v>303546895430</v>
      </c>
      <c r="Q66" s="21" t="s">
        <v>20</v>
      </c>
      <c r="R66" s="198" t="s">
        <v>7</v>
      </c>
      <c r="S66" s="342" t="s">
        <v>178</v>
      </c>
      <c r="T66" s="342" t="s">
        <v>178</v>
      </c>
      <c r="U66" s="1050"/>
      <c r="V66" s="1050"/>
      <c r="X66" s="730">
        <f t="shared" si="1"/>
        <v>0.02</v>
      </c>
    </row>
    <row r="67" spans="1:24" s="19" customFormat="1" ht="15.75">
      <c r="A67" s="338">
        <v>78</v>
      </c>
      <c r="B67" s="296" t="s">
        <v>784</v>
      </c>
      <c r="C67" s="680">
        <v>44133</v>
      </c>
      <c r="D67" s="297" t="s">
        <v>24</v>
      </c>
      <c r="E67" s="700" t="s">
        <v>785</v>
      </c>
      <c r="F67" s="454" t="s">
        <v>786</v>
      </c>
      <c r="G67" s="454" t="s">
        <v>204</v>
      </c>
      <c r="H67" s="731">
        <v>2</v>
      </c>
      <c r="I67" s="455" t="s">
        <v>207</v>
      </c>
      <c r="J67" s="731">
        <v>5</v>
      </c>
      <c r="K67" s="185" t="s">
        <v>197</v>
      </c>
      <c r="L67" s="165">
        <f t="shared" si="2"/>
        <v>10</v>
      </c>
      <c r="M67" s="1052">
        <v>17.2</v>
      </c>
      <c r="N67" s="680">
        <v>44133</v>
      </c>
      <c r="O67" s="197" t="s">
        <v>219</v>
      </c>
      <c r="P67" s="719">
        <v>310537490100</v>
      </c>
      <c r="Q67" s="19" t="s">
        <v>20</v>
      </c>
      <c r="R67" s="197" t="s">
        <v>4</v>
      </c>
      <c r="S67" s="341" t="s">
        <v>178</v>
      </c>
      <c r="T67" s="341" t="s">
        <v>178</v>
      </c>
      <c r="U67" s="1051">
        <f>192.17*U10</f>
        <v>4471795.8999999994</v>
      </c>
      <c r="V67" s="1051"/>
      <c r="X67" s="711">
        <f t="shared" si="1"/>
        <v>0.01</v>
      </c>
    </row>
    <row r="68" spans="1:24" s="21" customFormat="1" ht="15.75">
      <c r="A68" s="339">
        <v>78</v>
      </c>
      <c r="B68" s="211" t="s">
        <v>784</v>
      </c>
      <c r="C68" s="681">
        <v>44133</v>
      </c>
      <c r="D68" s="295" t="s">
        <v>24</v>
      </c>
      <c r="E68" s="701" t="s">
        <v>785</v>
      </c>
      <c r="F68" s="619" t="s">
        <v>787</v>
      </c>
      <c r="G68" s="619" t="s">
        <v>351</v>
      </c>
      <c r="H68" s="732">
        <v>2</v>
      </c>
      <c r="I68" s="523" t="s">
        <v>207</v>
      </c>
      <c r="J68" s="732">
        <v>11</v>
      </c>
      <c r="K68" s="189" t="s">
        <v>197</v>
      </c>
      <c r="L68" s="167">
        <f t="shared" si="2"/>
        <v>22</v>
      </c>
      <c r="M68" s="1053"/>
      <c r="N68" s="681">
        <v>44133</v>
      </c>
      <c r="O68" s="198" t="s">
        <v>219</v>
      </c>
      <c r="P68" s="720">
        <v>310537490100</v>
      </c>
      <c r="Q68" s="21" t="s">
        <v>20</v>
      </c>
      <c r="R68" s="198" t="s">
        <v>4</v>
      </c>
      <c r="S68" s="342" t="s">
        <v>178</v>
      </c>
      <c r="T68" s="342" t="s">
        <v>178</v>
      </c>
      <c r="U68" s="1051"/>
      <c r="V68" s="1051"/>
      <c r="X68" s="730">
        <f t="shared" si="1"/>
        <v>2.1999999999999999E-2</v>
      </c>
    </row>
    <row r="69" spans="1:24" s="21" customFormat="1" ht="15.75">
      <c r="A69" s="339">
        <v>78</v>
      </c>
      <c r="B69" s="211" t="s">
        <v>784</v>
      </c>
      <c r="C69" s="681">
        <v>44133</v>
      </c>
      <c r="D69" s="295" t="s">
        <v>24</v>
      </c>
      <c r="E69" s="701" t="s">
        <v>785</v>
      </c>
      <c r="F69" s="619" t="s">
        <v>788</v>
      </c>
      <c r="G69" s="619" t="s">
        <v>179</v>
      </c>
      <c r="H69" s="732">
        <v>2</v>
      </c>
      <c r="I69" s="523" t="s">
        <v>207</v>
      </c>
      <c r="J69" s="732">
        <v>6</v>
      </c>
      <c r="K69" s="189" t="s">
        <v>197</v>
      </c>
      <c r="L69" s="167">
        <f t="shared" si="2"/>
        <v>12</v>
      </c>
      <c r="M69" s="1053"/>
      <c r="N69" s="681">
        <v>44133</v>
      </c>
      <c r="O69" s="198" t="s">
        <v>219</v>
      </c>
      <c r="P69" s="720">
        <v>310537490100</v>
      </c>
      <c r="Q69" s="21" t="s">
        <v>20</v>
      </c>
      <c r="R69" s="198" t="s">
        <v>4</v>
      </c>
      <c r="S69" s="342" t="s">
        <v>178</v>
      </c>
      <c r="T69" s="342" t="s">
        <v>178</v>
      </c>
      <c r="U69" s="1051"/>
      <c r="V69" s="1051"/>
      <c r="X69" s="730">
        <f t="shared" si="1"/>
        <v>1.2E-2</v>
      </c>
    </row>
    <row r="70" spans="1:24" s="21" customFormat="1" ht="15.75">
      <c r="A70" s="339">
        <v>78</v>
      </c>
      <c r="B70" s="211" t="s">
        <v>784</v>
      </c>
      <c r="C70" s="681">
        <v>44133</v>
      </c>
      <c r="D70" s="295" t="s">
        <v>24</v>
      </c>
      <c r="E70" s="701" t="s">
        <v>785</v>
      </c>
      <c r="F70" s="619" t="s">
        <v>789</v>
      </c>
      <c r="G70" s="619" t="s">
        <v>373</v>
      </c>
      <c r="H70" s="732">
        <v>1</v>
      </c>
      <c r="I70" s="523" t="s">
        <v>207</v>
      </c>
      <c r="J70" s="732">
        <v>3</v>
      </c>
      <c r="K70" s="189" t="s">
        <v>197</v>
      </c>
      <c r="L70" s="167">
        <f t="shared" si="2"/>
        <v>3</v>
      </c>
      <c r="M70" s="1053"/>
      <c r="N70" s="681">
        <v>44133</v>
      </c>
      <c r="O70" s="198" t="s">
        <v>219</v>
      </c>
      <c r="P70" s="720">
        <v>310537490100</v>
      </c>
      <c r="Q70" s="21" t="s">
        <v>20</v>
      </c>
      <c r="R70" s="198" t="s">
        <v>4</v>
      </c>
      <c r="S70" s="342" t="s">
        <v>178</v>
      </c>
      <c r="T70" s="342" t="s">
        <v>178</v>
      </c>
      <c r="U70" s="1051"/>
      <c r="V70" s="1051"/>
      <c r="X70" s="730">
        <f t="shared" si="1"/>
        <v>3.0000000000000001E-3</v>
      </c>
    </row>
    <row r="71" spans="1:24" s="21" customFormat="1" ht="15.75">
      <c r="A71" s="339">
        <v>78</v>
      </c>
      <c r="B71" s="211" t="s">
        <v>784</v>
      </c>
      <c r="C71" s="681">
        <v>44133</v>
      </c>
      <c r="D71" s="295" t="s">
        <v>24</v>
      </c>
      <c r="E71" s="701" t="s">
        <v>785</v>
      </c>
      <c r="F71" s="619" t="s">
        <v>790</v>
      </c>
      <c r="G71" s="619" t="s">
        <v>792</v>
      </c>
      <c r="H71" s="732">
        <v>14</v>
      </c>
      <c r="I71" s="523" t="s">
        <v>207</v>
      </c>
      <c r="J71" s="732">
        <v>4</v>
      </c>
      <c r="K71" s="189" t="s">
        <v>197</v>
      </c>
      <c r="L71" s="167">
        <f t="shared" si="2"/>
        <v>56</v>
      </c>
      <c r="M71" s="1053"/>
      <c r="N71" s="681">
        <v>44133</v>
      </c>
      <c r="O71" s="198" t="s">
        <v>219</v>
      </c>
      <c r="P71" s="720">
        <v>310537490100</v>
      </c>
      <c r="Q71" s="21" t="s">
        <v>20</v>
      </c>
      <c r="R71" s="198" t="s">
        <v>4</v>
      </c>
      <c r="S71" s="342" t="s">
        <v>178</v>
      </c>
      <c r="T71" s="342" t="s">
        <v>178</v>
      </c>
      <c r="U71" s="1051"/>
      <c r="V71" s="1051"/>
      <c r="X71" s="730">
        <f t="shared" si="1"/>
        <v>5.6000000000000001E-2</v>
      </c>
    </row>
    <row r="72" spans="1:24" s="21" customFormat="1" ht="15.75">
      <c r="A72" s="339">
        <v>78</v>
      </c>
      <c r="B72" s="211" t="s">
        <v>784</v>
      </c>
      <c r="C72" s="681">
        <v>44133</v>
      </c>
      <c r="D72" s="295" t="s">
        <v>24</v>
      </c>
      <c r="E72" s="701" t="s">
        <v>785</v>
      </c>
      <c r="F72" s="619" t="s">
        <v>791</v>
      </c>
      <c r="G72" s="619" t="s">
        <v>416</v>
      </c>
      <c r="H72" s="732">
        <v>1</v>
      </c>
      <c r="I72" s="523" t="s">
        <v>207</v>
      </c>
      <c r="J72" s="732">
        <v>7</v>
      </c>
      <c r="K72" s="189" t="s">
        <v>197</v>
      </c>
      <c r="L72" s="167">
        <f t="shared" si="2"/>
        <v>7</v>
      </c>
      <c r="M72" s="1053"/>
      <c r="N72" s="681">
        <v>44133</v>
      </c>
      <c r="O72" s="198" t="s">
        <v>219</v>
      </c>
      <c r="P72" s="720">
        <v>310537490100</v>
      </c>
      <c r="Q72" s="21" t="s">
        <v>20</v>
      </c>
      <c r="R72" s="198" t="s">
        <v>4</v>
      </c>
      <c r="S72" s="342" t="s">
        <v>178</v>
      </c>
      <c r="T72" s="342" t="s">
        <v>178</v>
      </c>
      <c r="U72" s="1051"/>
      <c r="V72" s="1051"/>
      <c r="X72" s="730">
        <f t="shared" si="1"/>
        <v>7.0000000000000001E-3</v>
      </c>
    </row>
    <row r="73" spans="1:24" s="21" customFormat="1" ht="15.75">
      <c r="A73" s="339">
        <v>78</v>
      </c>
      <c r="B73" s="211" t="s">
        <v>784</v>
      </c>
      <c r="C73" s="681">
        <v>44133</v>
      </c>
      <c r="D73" s="295" t="s">
        <v>24</v>
      </c>
      <c r="E73" s="701" t="s">
        <v>785</v>
      </c>
      <c r="F73" s="619" t="s">
        <v>221</v>
      </c>
      <c r="G73" s="619" t="s">
        <v>213</v>
      </c>
      <c r="H73" s="732">
        <v>2</v>
      </c>
      <c r="I73" s="523" t="s">
        <v>207</v>
      </c>
      <c r="J73" s="732">
        <v>11</v>
      </c>
      <c r="K73" s="189" t="s">
        <v>197</v>
      </c>
      <c r="L73" s="167">
        <f t="shared" si="2"/>
        <v>22</v>
      </c>
      <c r="M73" s="1054"/>
      <c r="N73" s="681">
        <v>44133</v>
      </c>
      <c r="O73" s="198" t="s">
        <v>219</v>
      </c>
      <c r="P73" s="720">
        <v>310537490100</v>
      </c>
      <c r="Q73" s="21" t="s">
        <v>20</v>
      </c>
      <c r="R73" s="198" t="s">
        <v>4</v>
      </c>
      <c r="S73" s="342" t="s">
        <v>178</v>
      </c>
      <c r="T73" s="342" t="s">
        <v>178</v>
      </c>
      <c r="U73" s="1051"/>
      <c r="V73" s="1051"/>
      <c r="X73" s="730">
        <f t="shared" si="1"/>
        <v>2.1999999999999999E-2</v>
      </c>
    </row>
    <row r="74" spans="1:24" s="19" customFormat="1" ht="15.75">
      <c r="A74" s="338">
        <v>79</v>
      </c>
      <c r="B74" s="296" t="s">
        <v>793</v>
      </c>
      <c r="C74" s="680">
        <v>44134</v>
      </c>
      <c r="D74" s="297" t="s">
        <v>24</v>
      </c>
      <c r="E74" s="700" t="s">
        <v>794</v>
      </c>
      <c r="F74" s="454" t="s">
        <v>795</v>
      </c>
      <c r="G74" s="734" t="s">
        <v>180</v>
      </c>
      <c r="H74" s="731">
        <v>1</v>
      </c>
      <c r="I74" s="455" t="s">
        <v>207</v>
      </c>
      <c r="J74" s="731">
        <v>10</v>
      </c>
      <c r="K74" s="185" t="s">
        <v>197</v>
      </c>
      <c r="L74" s="165">
        <f t="shared" si="2"/>
        <v>10</v>
      </c>
      <c r="M74" s="1052">
        <v>1</v>
      </c>
      <c r="N74" s="680">
        <v>44134</v>
      </c>
      <c r="O74" s="197" t="s">
        <v>219</v>
      </c>
      <c r="P74" s="719">
        <v>310537490060</v>
      </c>
      <c r="Q74" s="19" t="s">
        <v>20</v>
      </c>
      <c r="R74" s="197" t="s">
        <v>7</v>
      </c>
      <c r="S74" s="341" t="s">
        <v>178</v>
      </c>
      <c r="T74" s="341" t="s">
        <v>178</v>
      </c>
      <c r="U74" s="1051">
        <f>35.99*U10</f>
        <v>837487.3</v>
      </c>
      <c r="V74" s="1051"/>
      <c r="X74" s="711">
        <f t="shared" si="1"/>
        <v>0.01</v>
      </c>
    </row>
    <row r="75" spans="1:24" s="22" customFormat="1" ht="15.75">
      <c r="A75" s="340">
        <v>79</v>
      </c>
      <c r="B75" s="214" t="s">
        <v>793</v>
      </c>
      <c r="C75" s="682">
        <v>44134</v>
      </c>
      <c r="D75" s="309" t="s">
        <v>24</v>
      </c>
      <c r="E75" s="702" t="s">
        <v>794</v>
      </c>
      <c r="F75" s="678" t="s">
        <v>796</v>
      </c>
      <c r="G75" s="735" t="s">
        <v>180</v>
      </c>
      <c r="H75" s="733">
        <v>1</v>
      </c>
      <c r="I75" s="524" t="s">
        <v>207</v>
      </c>
      <c r="J75" s="733">
        <v>10</v>
      </c>
      <c r="K75" s="195" t="s">
        <v>197</v>
      </c>
      <c r="L75" s="170">
        <f t="shared" si="2"/>
        <v>10</v>
      </c>
      <c r="M75" s="1054"/>
      <c r="N75" s="682">
        <v>44134</v>
      </c>
      <c r="O75" s="201" t="s">
        <v>219</v>
      </c>
      <c r="P75" s="721">
        <v>310537490060</v>
      </c>
      <c r="Q75" s="22" t="s">
        <v>20</v>
      </c>
      <c r="R75" s="201" t="s">
        <v>7</v>
      </c>
      <c r="S75" s="181" t="s">
        <v>178</v>
      </c>
      <c r="T75" s="181" t="s">
        <v>178</v>
      </c>
      <c r="U75" s="1051"/>
      <c r="V75" s="1051"/>
      <c r="X75" s="712">
        <f t="shared" si="1"/>
        <v>0.01</v>
      </c>
    </row>
    <row r="76" spans="1:24" s="256" customFormat="1" ht="28.5">
      <c r="A76" s="738">
        <v>63</v>
      </c>
      <c r="B76" s="739" t="s">
        <v>652</v>
      </c>
      <c r="C76" s="740">
        <v>44088</v>
      </c>
      <c r="D76" s="741" t="s">
        <v>24</v>
      </c>
      <c r="E76" s="742" t="s">
        <v>655</v>
      </c>
      <c r="F76" s="743" t="s">
        <v>653</v>
      </c>
      <c r="G76" s="744" t="s">
        <v>654</v>
      </c>
      <c r="H76" s="745">
        <v>1</v>
      </c>
      <c r="I76" s="746" t="s">
        <v>207</v>
      </c>
      <c r="J76" s="745">
        <v>500</v>
      </c>
      <c r="K76" s="747" t="s">
        <v>197</v>
      </c>
      <c r="L76" s="748">
        <v>500</v>
      </c>
      <c r="M76" s="749">
        <v>2.38</v>
      </c>
      <c r="N76" s="750">
        <v>44088</v>
      </c>
      <c r="O76" s="751" t="s">
        <v>675</v>
      </c>
      <c r="P76" s="752">
        <v>303458899830</v>
      </c>
      <c r="Q76" s="753" t="s">
        <v>20</v>
      </c>
      <c r="R76" s="751" t="s">
        <v>7</v>
      </c>
      <c r="S76" s="754" t="s">
        <v>29</v>
      </c>
      <c r="T76" s="754" t="s">
        <v>178</v>
      </c>
      <c r="U76" s="755">
        <f>36.15*U10</f>
        <v>841210.5</v>
      </c>
      <c r="V76" s="754"/>
      <c r="X76" s="756">
        <v>0.5</v>
      </c>
    </row>
    <row r="77" spans="1:24" ht="15.75">
      <c r="A77" s="573"/>
      <c r="B77" s="574"/>
      <c r="C77" s="575"/>
      <c r="D77" s="576"/>
      <c r="E77" s="577"/>
      <c r="F77" s="640"/>
      <c r="G77" s="652"/>
      <c r="H77" s="651"/>
      <c r="I77" s="581"/>
      <c r="J77" s="651"/>
      <c r="K77" s="583"/>
      <c r="L77" s="584">
        <f t="shared" si="2"/>
        <v>0</v>
      </c>
      <c r="M77" s="725"/>
      <c r="N77" s="682"/>
      <c r="O77" s="624"/>
      <c r="P77" s="724"/>
      <c r="Q77" s="639"/>
      <c r="R77" s="624"/>
      <c r="S77" s="585"/>
      <c r="T77" s="585"/>
      <c r="U77" s="737"/>
      <c r="V77" s="585"/>
      <c r="X77" s="239">
        <f t="shared" si="1"/>
        <v>0</v>
      </c>
    </row>
    <row r="78" spans="1:24" ht="15.75">
      <c r="A78" s="573"/>
      <c r="B78" s="574"/>
      <c r="C78" s="575"/>
      <c r="D78" s="576"/>
      <c r="E78" s="577"/>
      <c r="F78" s="640"/>
      <c r="G78" s="652"/>
      <c r="H78" s="651"/>
      <c r="I78" s="581"/>
      <c r="J78" s="651"/>
      <c r="K78" s="583"/>
      <c r="L78" s="584">
        <f t="shared" si="2"/>
        <v>0</v>
      </c>
      <c r="M78" s="725"/>
      <c r="N78" s="682"/>
      <c r="O78" s="624"/>
      <c r="P78" s="724"/>
      <c r="Q78" s="639"/>
      <c r="R78" s="624"/>
      <c r="S78" s="585"/>
      <c r="T78" s="585"/>
      <c r="U78" s="737"/>
      <c r="V78" s="585"/>
      <c r="X78" s="239">
        <f t="shared" ref="X78:X141" si="3">L78/1000</f>
        <v>0</v>
      </c>
    </row>
    <row r="79" spans="1:24" ht="15.75">
      <c r="A79" s="573"/>
      <c r="B79" s="574"/>
      <c r="C79" s="575"/>
      <c r="D79" s="576"/>
      <c r="E79" s="577"/>
      <c r="F79" s="640"/>
      <c r="G79" s="652"/>
      <c r="H79" s="651"/>
      <c r="I79" s="581"/>
      <c r="J79" s="651"/>
      <c r="K79" s="583"/>
      <c r="L79" s="584">
        <f t="shared" ref="L79:L107" si="4">J79*H79</f>
        <v>0</v>
      </c>
      <c r="M79" s="725"/>
      <c r="N79" s="682"/>
      <c r="O79" s="624"/>
      <c r="P79" s="724"/>
      <c r="Q79" s="639"/>
      <c r="R79" s="624"/>
      <c r="S79" s="585"/>
      <c r="T79" s="585"/>
      <c r="U79" s="737"/>
      <c r="V79" s="585"/>
      <c r="X79" s="239">
        <f t="shared" si="3"/>
        <v>0</v>
      </c>
    </row>
    <row r="80" spans="1:24" ht="15.75">
      <c r="A80" s="573"/>
      <c r="B80" s="574"/>
      <c r="C80" s="575"/>
      <c r="D80" s="576"/>
      <c r="E80" s="577"/>
      <c r="F80" s="640"/>
      <c r="G80" s="652"/>
      <c r="H80" s="651"/>
      <c r="I80" s="581"/>
      <c r="J80" s="651"/>
      <c r="K80" s="583"/>
      <c r="L80" s="584">
        <f t="shared" si="4"/>
        <v>0</v>
      </c>
      <c r="M80" s="725"/>
      <c r="N80" s="682"/>
      <c r="O80" s="624"/>
      <c r="P80" s="724"/>
      <c r="Q80" s="639"/>
      <c r="R80" s="624"/>
      <c r="S80" s="585"/>
      <c r="T80" s="585"/>
      <c r="U80" s="737"/>
      <c r="V80" s="585"/>
      <c r="X80" s="239">
        <f t="shared" si="3"/>
        <v>0</v>
      </c>
    </row>
    <row r="81" spans="1:31" ht="15.75">
      <c r="A81" s="573"/>
      <c r="B81" s="574"/>
      <c r="C81" s="575"/>
      <c r="D81" s="576"/>
      <c r="E81" s="577"/>
      <c r="F81" s="643"/>
      <c r="G81" s="643"/>
      <c r="H81" s="650"/>
      <c r="I81" s="581"/>
      <c r="J81" s="650"/>
      <c r="K81" s="583"/>
      <c r="L81" s="584">
        <f t="shared" si="4"/>
        <v>0</v>
      </c>
      <c r="M81" s="725"/>
      <c r="N81" s="682"/>
      <c r="O81" s="624"/>
      <c r="P81" s="724"/>
      <c r="Q81" s="639"/>
      <c r="R81" s="624"/>
      <c r="S81" s="585"/>
      <c r="T81" s="585"/>
      <c r="U81" s="737"/>
      <c r="V81" s="585"/>
      <c r="X81" s="239">
        <f t="shared" si="3"/>
        <v>0</v>
      </c>
    </row>
    <row r="82" spans="1:31" ht="15.75">
      <c r="A82" s="573"/>
      <c r="B82" s="574"/>
      <c r="C82" s="575"/>
      <c r="D82" s="576"/>
      <c r="E82" s="577"/>
      <c r="F82" s="578"/>
      <c r="G82" s="653"/>
      <c r="H82" s="649"/>
      <c r="I82" s="581"/>
      <c r="J82" s="650"/>
      <c r="K82" s="583"/>
      <c r="L82" s="584">
        <f t="shared" si="4"/>
        <v>0</v>
      </c>
      <c r="M82" s="725"/>
      <c r="N82" s="682"/>
      <c r="O82" s="624"/>
      <c r="P82" s="724"/>
      <c r="Q82" s="639"/>
      <c r="R82" s="624"/>
      <c r="S82" s="585"/>
      <c r="T82" s="585"/>
      <c r="U82" s="737"/>
      <c r="V82" s="585"/>
      <c r="X82" s="239">
        <f t="shared" si="3"/>
        <v>0</v>
      </c>
    </row>
    <row r="83" spans="1:31" s="7" customFormat="1" ht="15.75">
      <c r="A83" s="586"/>
      <c r="B83" s="587"/>
      <c r="C83" s="588"/>
      <c r="D83" s="589"/>
      <c r="E83" s="590"/>
      <c r="F83" s="591"/>
      <c r="G83" s="654"/>
      <c r="H83" s="655"/>
      <c r="I83" s="594"/>
      <c r="J83" s="656"/>
      <c r="K83" s="595"/>
      <c r="L83" s="596">
        <f t="shared" si="4"/>
        <v>0</v>
      </c>
      <c r="M83" s="683"/>
      <c r="N83" s="682"/>
      <c r="O83" s="628"/>
      <c r="P83" s="723"/>
      <c r="Q83" s="646"/>
      <c r="R83" s="628"/>
      <c r="S83" s="597"/>
      <c r="T83" s="597"/>
      <c r="U83" s="684"/>
      <c r="V83" s="597"/>
      <c r="W83"/>
      <c r="X83" s="239">
        <f t="shared" si="3"/>
        <v>0</v>
      </c>
      <c r="Y83"/>
      <c r="Z83"/>
      <c r="AA83"/>
      <c r="AB83"/>
      <c r="AC83"/>
      <c r="AD83"/>
      <c r="AE83"/>
    </row>
    <row r="84" spans="1:31" s="7" customFormat="1" ht="15.75">
      <c r="A84" s="339"/>
      <c r="B84" s="211"/>
      <c r="C84" s="352"/>
      <c r="D84" s="295"/>
      <c r="E84" s="662"/>
      <c r="F84" s="21"/>
      <c r="G84" s="21"/>
      <c r="H84" s="207"/>
      <c r="I84" s="177"/>
      <c r="J84" s="599"/>
      <c r="K84" s="189"/>
      <c r="L84" s="167">
        <f t="shared" si="4"/>
        <v>0</v>
      </c>
      <c r="M84" s="174"/>
      <c r="N84" s="352"/>
      <c r="O84" s="198"/>
      <c r="P84" s="720"/>
      <c r="Q84" s="21"/>
      <c r="R84" s="198"/>
      <c r="S84" s="342"/>
      <c r="T84" s="198"/>
      <c r="U84" s="423"/>
      <c r="V84" s="342"/>
      <c r="W84"/>
      <c r="X84" s="239">
        <f t="shared" si="3"/>
        <v>0</v>
      </c>
      <c r="Y84"/>
      <c r="Z84"/>
      <c r="AA84"/>
      <c r="AB84"/>
      <c r="AC84"/>
      <c r="AD84"/>
      <c r="AE84"/>
    </row>
    <row r="85" spans="1:31" ht="15.75">
      <c r="A85" s="339"/>
      <c r="B85" s="211"/>
      <c r="C85" s="352"/>
      <c r="D85" s="295"/>
      <c r="E85" s="662"/>
      <c r="F85" s="21"/>
      <c r="G85" s="21"/>
      <c r="H85" s="207"/>
      <c r="I85" s="177"/>
      <c r="J85" s="599"/>
      <c r="K85" s="189"/>
      <c r="L85" s="167">
        <f t="shared" si="4"/>
        <v>0</v>
      </c>
      <c r="M85" s="174"/>
      <c r="N85" s="352"/>
      <c r="O85" s="198"/>
      <c r="P85" s="720"/>
      <c r="Q85" s="21"/>
      <c r="R85" s="198"/>
      <c r="S85" s="342"/>
      <c r="T85" s="198"/>
      <c r="U85" s="423"/>
      <c r="V85" s="342"/>
      <c r="X85" s="239">
        <f t="shared" si="3"/>
        <v>0</v>
      </c>
    </row>
    <row r="86" spans="1:31" ht="15.75">
      <c r="A86" s="339"/>
      <c r="B86" s="211"/>
      <c r="C86" s="352"/>
      <c r="D86" s="295"/>
      <c r="E86" s="662"/>
      <c r="F86" s="21"/>
      <c r="G86" s="21"/>
      <c r="H86" s="207"/>
      <c r="I86" s="177"/>
      <c r="J86" s="599"/>
      <c r="K86" s="189"/>
      <c r="L86" s="167">
        <f t="shared" si="4"/>
        <v>0</v>
      </c>
      <c r="M86" s="174"/>
      <c r="N86" s="352"/>
      <c r="O86" s="198"/>
      <c r="P86" s="720"/>
      <c r="Q86" s="21"/>
      <c r="R86" s="198"/>
      <c r="S86" s="342"/>
      <c r="T86" s="198"/>
      <c r="U86" s="423"/>
      <c r="V86" s="342"/>
      <c r="X86" s="239">
        <f t="shared" si="3"/>
        <v>0</v>
      </c>
    </row>
    <row r="87" spans="1:31" ht="15.75">
      <c r="A87" s="339"/>
      <c r="B87" s="211"/>
      <c r="C87" s="352"/>
      <c r="D87" s="295"/>
      <c r="E87" s="662"/>
      <c r="F87" s="21"/>
      <c r="G87" s="21"/>
      <c r="H87" s="207"/>
      <c r="I87" s="177"/>
      <c r="J87" s="599"/>
      <c r="K87" s="189"/>
      <c r="L87" s="167">
        <f t="shared" si="4"/>
        <v>0</v>
      </c>
      <c r="M87" s="174"/>
      <c r="N87" s="352"/>
      <c r="O87" s="198"/>
      <c r="P87" s="720"/>
      <c r="Q87" s="21"/>
      <c r="R87" s="198"/>
      <c r="S87" s="342"/>
      <c r="T87" s="198"/>
      <c r="U87" s="423"/>
      <c r="V87" s="342"/>
      <c r="X87" s="239">
        <f t="shared" si="3"/>
        <v>0</v>
      </c>
    </row>
    <row r="88" spans="1:31" ht="15.75">
      <c r="A88" s="339"/>
      <c r="B88" s="211"/>
      <c r="C88" s="352"/>
      <c r="D88" s="295"/>
      <c r="E88" s="662"/>
      <c r="F88" s="21"/>
      <c r="G88" s="21"/>
      <c r="H88" s="207"/>
      <c r="I88" s="177"/>
      <c r="J88" s="599"/>
      <c r="K88" s="189"/>
      <c r="L88" s="167">
        <f t="shared" si="4"/>
        <v>0</v>
      </c>
      <c r="M88" s="174"/>
      <c r="N88" s="352"/>
      <c r="O88" s="198"/>
      <c r="P88" s="720"/>
      <c r="Q88" s="21"/>
      <c r="R88" s="198"/>
      <c r="S88" s="342"/>
      <c r="T88" s="198"/>
      <c r="U88" s="423"/>
      <c r="V88" s="342"/>
      <c r="X88" s="239">
        <f t="shared" si="3"/>
        <v>0</v>
      </c>
    </row>
    <row r="89" spans="1:31" ht="15.75">
      <c r="A89" s="339"/>
      <c r="B89" s="211"/>
      <c r="C89" s="352"/>
      <c r="D89" s="295"/>
      <c r="E89" s="662"/>
      <c r="F89" s="21"/>
      <c r="G89" s="21"/>
      <c r="H89" s="207"/>
      <c r="I89" s="177"/>
      <c r="J89" s="599"/>
      <c r="K89" s="189"/>
      <c r="L89" s="167">
        <f t="shared" si="4"/>
        <v>0</v>
      </c>
      <c r="M89" s="174"/>
      <c r="N89" s="352"/>
      <c r="O89" s="198"/>
      <c r="P89" s="720"/>
      <c r="Q89" s="21"/>
      <c r="R89" s="198"/>
      <c r="S89" s="342"/>
      <c r="T89" s="198"/>
      <c r="U89" s="423"/>
      <c r="V89" s="342"/>
      <c r="X89" s="239">
        <f t="shared" si="3"/>
        <v>0</v>
      </c>
    </row>
    <row r="90" spans="1:31" ht="15.75">
      <c r="A90" s="339"/>
      <c r="B90" s="211"/>
      <c r="C90" s="352"/>
      <c r="D90" s="295"/>
      <c r="E90" s="662"/>
      <c r="F90" s="21"/>
      <c r="G90" s="21"/>
      <c r="H90" s="207"/>
      <c r="I90" s="177"/>
      <c r="J90" s="599"/>
      <c r="K90" s="189"/>
      <c r="L90" s="167">
        <f t="shared" si="4"/>
        <v>0</v>
      </c>
      <c r="M90" s="174"/>
      <c r="N90" s="352"/>
      <c r="O90" s="198"/>
      <c r="P90" s="720"/>
      <c r="Q90" s="21"/>
      <c r="R90" s="198"/>
      <c r="S90" s="342"/>
      <c r="T90" s="198"/>
      <c r="U90" s="423"/>
      <c r="V90" s="342"/>
      <c r="X90" s="239">
        <f t="shared" si="3"/>
        <v>0</v>
      </c>
    </row>
    <row r="91" spans="1:31" ht="15.75">
      <c r="A91" s="339"/>
      <c r="B91" s="211"/>
      <c r="C91" s="352"/>
      <c r="D91" s="295"/>
      <c r="E91" s="662"/>
      <c r="F91" s="21"/>
      <c r="G91" s="21"/>
      <c r="H91" s="207"/>
      <c r="I91" s="177"/>
      <c r="J91" s="599"/>
      <c r="K91" s="189"/>
      <c r="L91" s="167">
        <f t="shared" si="4"/>
        <v>0</v>
      </c>
      <c r="M91" s="174"/>
      <c r="N91" s="352"/>
      <c r="O91" s="198"/>
      <c r="P91" s="720"/>
      <c r="Q91" s="21"/>
      <c r="R91" s="198"/>
      <c r="S91" s="342"/>
      <c r="T91" s="198"/>
      <c r="U91" s="423"/>
      <c r="V91" s="342"/>
      <c r="X91" s="239">
        <f t="shared" si="3"/>
        <v>0</v>
      </c>
    </row>
    <row r="92" spans="1:31" ht="15.75">
      <c r="A92" s="339"/>
      <c r="B92" s="211"/>
      <c r="C92" s="352"/>
      <c r="D92" s="295"/>
      <c r="E92" s="662"/>
      <c r="F92" s="21"/>
      <c r="G92" s="21"/>
      <c r="H92" s="207"/>
      <c r="I92" s="177"/>
      <c r="J92" s="599"/>
      <c r="K92" s="189"/>
      <c r="L92" s="167">
        <f t="shared" si="4"/>
        <v>0</v>
      </c>
      <c r="M92" s="174"/>
      <c r="N92" s="352"/>
      <c r="O92" s="198"/>
      <c r="P92" s="720"/>
      <c r="Q92" s="21"/>
      <c r="R92" s="198"/>
      <c r="S92" s="342"/>
      <c r="T92" s="198"/>
      <c r="U92" s="423"/>
      <c r="V92" s="342"/>
      <c r="X92" s="239">
        <f t="shared" si="3"/>
        <v>0</v>
      </c>
    </row>
    <row r="93" spans="1:31" ht="31.5" customHeight="1">
      <c r="A93" s="339"/>
      <c r="B93" s="211"/>
      <c r="C93" s="352"/>
      <c r="D93" s="295"/>
      <c r="E93" s="662"/>
      <c r="F93" s="21"/>
      <c r="G93" s="21"/>
      <c r="H93" s="207"/>
      <c r="I93" s="177"/>
      <c r="J93" s="599"/>
      <c r="K93" s="189"/>
      <c r="L93" s="167">
        <f t="shared" si="4"/>
        <v>0</v>
      </c>
      <c r="M93" s="174"/>
      <c r="N93" s="352"/>
      <c r="O93" s="198"/>
      <c r="P93" s="720"/>
      <c r="Q93" s="21"/>
      <c r="R93" s="198"/>
      <c r="S93" s="342"/>
      <c r="T93" s="198"/>
      <c r="U93" s="423"/>
      <c r="V93" s="342"/>
      <c r="X93" s="239">
        <f t="shared" si="3"/>
        <v>0</v>
      </c>
    </row>
    <row r="94" spans="1:31" ht="15.75">
      <c r="A94" s="339"/>
      <c r="B94" s="211"/>
      <c r="C94" s="352"/>
      <c r="D94" s="295"/>
      <c r="E94" s="662"/>
      <c r="F94" s="21"/>
      <c r="G94" s="21"/>
      <c r="H94" s="207"/>
      <c r="I94" s="177"/>
      <c r="J94" s="599"/>
      <c r="K94" s="189"/>
      <c r="L94" s="167">
        <f t="shared" si="4"/>
        <v>0</v>
      </c>
      <c r="M94" s="174"/>
      <c r="N94" s="352"/>
      <c r="O94" s="198"/>
      <c r="P94" s="720"/>
      <c r="Q94" s="21"/>
      <c r="R94" s="198"/>
      <c r="S94" s="342"/>
      <c r="T94" s="198"/>
      <c r="U94" s="423"/>
      <c r="V94" s="342"/>
      <c r="X94" s="239">
        <f t="shared" si="3"/>
        <v>0</v>
      </c>
    </row>
    <row r="95" spans="1:31" ht="15.75">
      <c r="A95" s="339"/>
      <c r="B95" s="211"/>
      <c r="C95" s="352"/>
      <c r="D95" s="295"/>
      <c r="E95" s="662"/>
      <c r="F95" s="21"/>
      <c r="G95" s="21"/>
      <c r="H95" s="207"/>
      <c r="I95" s="177"/>
      <c r="J95" s="599"/>
      <c r="K95" s="189"/>
      <c r="L95" s="167">
        <f t="shared" si="4"/>
        <v>0</v>
      </c>
      <c r="M95" s="174"/>
      <c r="N95" s="352"/>
      <c r="O95" s="198"/>
      <c r="P95" s="720"/>
      <c r="Q95" s="21"/>
      <c r="R95" s="198"/>
      <c r="S95" s="342"/>
      <c r="T95" s="198"/>
      <c r="U95" s="423"/>
      <c r="V95" s="342"/>
      <c r="X95" s="239">
        <f t="shared" si="3"/>
        <v>0</v>
      </c>
    </row>
    <row r="96" spans="1:31" ht="15.75">
      <c r="A96" s="339"/>
      <c r="B96" s="211"/>
      <c r="C96" s="352"/>
      <c r="D96" s="295"/>
      <c r="E96" s="662"/>
      <c r="F96" s="21"/>
      <c r="G96" s="21"/>
      <c r="H96" s="207"/>
      <c r="I96" s="177"/>
      <c r="J96" s="599"/>
      <c r="K96" s="189"/>
      <c r="L96" s="167">
        <f t="shared" si="4"/>
        <v>0</v>
      </c>
      <c r="M96" s="174"/>
      <c r="N96" s="352"/>
      <c r="O96" s="198"/>
      <c r="P96" s="720"/>
      <c r="Q96" s="21"/>
      <c r="R96" s="198"/>
      <c r="S96" s="342"/>
      <c r="T96" s="198"/>
      <c r="U96" s="423"/>
      <c r="V96" s="342"/>
      <c r="X96" s="239">
        <f t="shared" si="3"/>
        <v>0</v>
      </c>
    </row>
    <row r="97" spans="1:24" ht="15.75">
      <c r="A97" s="339"/>
      <c r="B97" s="211"/>
      <c r="C97" s="352"/>
      <c r="D97" s="295"/>
      <c r="E97" s="662"/>
      <c r="F97" s="21"/>
      <c r="G97" s="21"/>
      <c r="H97" s="207"/>
      <c r="I97" s="177"/>
      <c r="J97" s="599"/>
      <c r="K97" s="189"/>
      <c r="L97" s="167">
        <f t="shared" si="4"/>
        <v>0</v>
      </c>
      <c r="M97" s="174"/>
      <c r="N97" s="352"/>
      <c r="O97" s="198"/>
      <c r="P97" s="720"/>
      <c r="Q97" s="21"/>
      <c r="R97" s="198"/>
      <c r="S97" s="342"/>
      <c r="T97" s="198"/>
      <c r="U97" s="423"/>
      <c r="V97" s="342"/>
      <c r="X97" s="239">
        <f t="shared" si="3"/>
        <v>0</v>
      </c>
    </row>
    <row r="98" spans="1:24" ht="15.75">
      <c r="A98" s="339"/>
      <c r="B98" s="211"/>
      <c r="C98" s="352"/>
      <c r="D98" s="295"/>
      <c r="E98" s="662"/>
      <c r="F98" s="21"/>
      <c r="G98" s="21"/>
      <c r="H98" s="207"/>
      <c r="I98" s="177"/>
      <c r="J98" s="599"/>
      <c r="K98" s="189"/>
      <c r="L98" s="167">
        <f t="shared" si="4"/>
        <v>0</v>
      </c>
      <c r="M98" s="174"/>
      <c r="N98" s="352"/>
      <c r="O98" s="198"/>
      <c r="P98" s="720"/>
      <c r="Q98" s="21"/>
      <c r="R98" s="198"/>
      <c r="S98" s="342"/>
      <c r="T98" s="198"/>
      <c r="U98" s="423"/>
      <c r="V98" s="342"/>
      <c r="X98" s="239">
        <f t="shared" si="3"/>
        <v>0</v>
      </c>
    </row>
    <row r="99" spans="1:24" ht="15.75">
      <c r="A99" s="339"/>
      <c r="B99" s="211"/>
      <c r="C99" s="352"/>
      <c r="D99" s="295"/>
      <c r="E99" s="662"/>
      <c r="F99" s="21"/>
      <c r="G99" s="21"/>
      <c r="H99" s="207"/>
      <c r="I99" s="177"/>
      <c r="J99" s="599"/>
      <c r="K99" s="189"/>
      <c r="L99" s="167">
        <f t="shared" si="4"/>
        <v>0</v>
      </c>
      <c r="M99" s="174"/>
      <c r="N99" s="352"/>
      <c r="O99" s="198"/>
      <c r="P99" s="720"/>
      <c r="Q99" s="21"/>
      <c r="R99" s="198"/>
      <c r="S99" s="342"/>
      <c r="T99" s="198"/>
      <c r="U99" s="423"/>
      <c r="V99" s="342"/>
      <c r="X99" s="239">
        <f t="shared" si="3"/>
        <v>0</v>
      </c>
    </row>
    <row r="100" spans="1:24" ht="15.75">
      <c r="A100" s="339"/>
      <c r="B100" s="211"/>
      <c r="C100" s="352"/>
      <c r="D100" s="295"/>
      <c r="E100" s="662"/>
      <c r="F100" s="21"/>
      <c r="G100" s="21"/>
      <c r="H100" s="207"/>
      <c r="I100" s="177"/>
      <c r="J100" s="599"/>
      <c r="K100" s="189"/>
      <c r="L100" s="167">
        <f t="shared" si="4"/>
        <v>0</v>
      </c>
      <c r="M100" s="174"/>
      <c r="N100" s="352"/>
      <c r="O100" s="198"/>
      <c r="P100" s="720"/>
      <c r="Q100" s="21"/>
      <c r="R100" s="198"/>
      <c r="S100" s="342"/>
      <c r="T100" s="198"/>
      <c r="U100" s="423"/>
      <c r="V100" s="342"/>
      <c r="X100" s="239">
        <f t="shared" si="3"/>
        <v>0</v>
      </c>
    </row>
    <row r="101" spans="1:24" ht="15.75">
      <c r="A101" s="339"/>
      <c r="B101" s="211"/>
      <c r="C101" s="352"/>
      <c r="D101" s="295"/>
      <c r="E101" s="662"/>
      <c r="F101" s="21"/>
      <c r="G101" s="21"/>
      <c r="H101" s="207"/>
      <c r="I101" s="177"/>
      <c r="J101" s="599"/>
      <c r="K101" s="189"/>
      <c r="L101" s="167">
        <f t="shared" si="4"/>
        <v>0</v>
      </c>
      <c r="M101" s="174"/>
      <c r="N101" s="352"/>
      <c r="O101" s="198"/>
      <c r="P101" s="720"/>
      <c r="Q101" s="21"/>
      <c r="R101" s="198"/>
      <c r="S101" s="342"/>
      <c r="T101" s="198"/>
      <c r="U101" s="423"/>
      <c r="V101" s="342"/>
      <c r="X101" s="239">
        <f t="shared" si="3"/>
        <v>0</v>
      </c>
    </row>
    <row r="102" spans="1:24" ht="15.75">
      <c r="A102" s="339"/>
      <c r="B102" s="211"/>
      <c r="C102" s="352"/>
      <c r="D102" s="295"/>
      <c r="E102" s="662"/>
      <c r="F102" s="21"/>
      <c r="G102" s="21"/>
      <c r="H102" s="207"/>
      <c r="I102" s="177"/>
      <c r="J102" s="320"/>
      <c r="K102" s="189"/>
      <c r="L102" s="167">
        <f t="shared" si="4"/>
        <v>0</v>
      </c>
      <c r="M102" s="174"/>
      <c r="N102" s="352"/>
      <c r="O102" s="198"/>
      <c r="P102" s="720"/>
      <c r="Q102" s="21"/>
      <c r="R102" s="198"/>
      <c r="S102" s="342"/>
      <c r="T102" s="198"/>
      <c r="U102" s="423"/>
      <c r="V102" s="342"/>
      <c r="X102" s="239">
        <f t="shared" si="3"/>
        <v>0</v>
      </c>
    </row>
    <row r="103" spans="1:24" ht="15.75">
      <c r="A103" s="339"/>
      <c r="B103" s="211"/>
      <c r="C103" s="352"/>
      <c r="D103" s="295"/>
      <c r="E103" s="662"/>
      <c r="F103" s="21"/>
      <c r="G103" s="21"/>
      <c r="H103" s="207"/>
      <c r="I103" s="177"/>
      <c r="J103" s="320"/>
      <c r="K103" s="189"/>
      <c r="L103" s="167">
        <f t="shared" si="4"/>
        <v>0</v>
      </c>
      <c r="M103" s="174"/>
      <c r="N103" s="352"/>
      <c r="O103" s="198"/>
      <c r="P103" s="720"/>
      <c r="Q103" s="21"/>
      <c r="R103" s="198"/>
      <c r="S103" s="342"/>
      <c r="T103" s="198"/>
      <c r="U103" s="423"/>
      <c r="V103" s="342"/>
      <c r="X103" s="239">
        <f t="shared" si="3"/>
        <v>0</v>
      </c>
    </row>
    <row r="104" spans="1:24" ht="15.75">
      <c r="A104" s="339"/>
      <c r="B104" s="211"/>
      <c r="C104" s="352"/>
      <c r="D104" s="295"/>
      <c r="E104" s="662"/>
      <c r="F104" s="21"/>
      <c r="G104" s="21"/>
      <c r="H104" s="207"/>
      <c r="I104" s="177"/>
      <c r="J104" s="320"/>
      <c r="K104" s="189"/>
      <c r="L104" s="167">
        <f t="shared" si="4"/>
        <v>0</v>
      </c>
      <c r="M104" s="174"/>
      <c r="N104" s="352"/>
      <c r="O104" s="198"/>
      <c r="P104" s="720"/>
      <c r="Q104" s="21"/>
      <c r="R104" s="198"/>
      <c r="S104" s="342"/>
      <c r="T104" s="198"/>
      <c r="U104" s="423"/>
      <c r="V104" s="342"/>
      <c r="X104" s="239">
        <f t="shared" si="3"/>
        <v>0</v>
      </c>
    </row>
    <row r="105" spans="1:24" ht="15.75">
      <c r="A105" s="339"/>
      <c r="B105" s="211"/>
      <c r="C105" s="352"/>
      <c r="D105" s="295"/>
      <c r="E105" s="662"/>
      <c r="F105" s="21"/>
      <c r="G105" s="21"/>
      <c r="H105" s="207"/>
      <c r="I105" s="177"/>
      <c r="J105" s="320"/>
      <c r="K105" s="189"/>
      <c r="L105" s="167">
        <f t="shared" si="4"/>
        <v>0</v>
      </c>
      <c r="M105" s="174"/>
      <c r="N105" s="352"/>
      <c r="O105" s="198"/>
      <c r="P105" s="720"/>
      <c r="Q105" s="21"/>
      <c r="R105" s="198"/>
      <c r="S105" s="342"/>
      <c r="T105" s="198"/>
      <c r="U105" s="423"/>
      <c r="V105" s="342"/>
      <c r="X105" s="239">
        <f t="shared" si="3"/>
        <v>0</v>
      </c>
    </row>
    <row r="106" spans="1:24" ht="15.75">
      <c r="A106" s="339"/>
      <c r="B106" s="211"/>
      <c r="C106" s="352"/>
      <c r="D106" s="295"/>
      <c r="E106" s="662"/>
      <c r="F106" s="21"/>
      <c r="G106" s="21"/>
      <c r="H106" s="207"/>
      <c r="I106" s="177"/>
      <c r="J106" s="320"/>
      <c r="K106" s="189"/>
      <c r="L106" s="167">
        <f t="shared" si="4"/>
        <v>0</v>
      </c>
      <c r="M106" s="174"/>
      <c r="N106" s="352"/>
      <c r="O106" s="198"/>
      <c r="P106" s="720"/>
      <c r="Q106" s="21"/>
      <c r="R106" s="198"/>
      <c r="S106" s="342"/>
      <c r="T106" s="198"/>
      <c r="U106" s="423"/>
      <c r="V106" s="342"/>
      <c r="X106" s="239">
        <f t="shared" si="3"/>
        <v>0</v>
      </c>
    </row>
    <row r="107" spans="1:24" ht="15.75">
      <c r="A107" s="339"/>
      <c r="B107" s="211"/>
      <c r="C107" s="352"/>
      <c r="D107" s="295"/>
      <c r="E107" s="662"/>
      <c r="F107" s="21"/>
      <c r="G107" s="21"/>
      <c r="H107" s="207"/>
      <c r="I107" s="177"/>
      <c r="J107" s="320"/>
      <c r="K107" s="189"/>
      <c r="L107" s="167">
        <f t="shared" si="4"/>
        <v>0</v>
      </c>
      <c r="M107" s="174"/>
      <c r="N107" s="352"/>
      <c r="O107" s="198"/>
      <c r="P107" s="720"/>
      <c r="Q107" s="21"/>
      <c r="R107" s="198"/>
      <c r="S107" s="342"/>
      <c r="T107" s="198"/>
      <c r="U107" s="423"/>
      <c r="V107" s="342"/>
      <c r="X107" s="239">
        <f t="shared" si="3"/>
        <v>0</v>
      </c>
    </row>
    <row r="108" spans="1:24" ht="15.75">
      <c r="A108" s="339"/>
      <c r="B108" s="211"/>
      <c r="C108" s="352"/>
      <c r="D108" s="295"/>
      <c r="E108" s="662"/>
      <c r="F108" s="21"/>
      <c r="G108" s="21"/>
      <c r="H108" s="207"/>
      <c r="I108" s="177"/>
      <c r="J108" s="320"/>
      <c r="K108" s="189"/>
      <c r="L108" s="167"/>
      <c r="M108" s="174"/>
      <c r="N108" s="352"/>
      <c r="O108" s="198"/>
      <c r="P108" s="720"/>
      <c r="Q108" s="21"/>
      <c r="R108" s="198"/>
      <c r="S108" s="342"/>
      <c r="T108" s="198"/>
      <c r="U108" s="423"/>
      <c r="V108" s="342"/>
      <c r="X108" s="239">
        <f t="shared" si="3"/>
        <v>0</v>
      </c>
    </row>
    <row r="109" spans="1:24" ht="15.75">
      <c r="A109" s="339"/>
      <c r="B109" s="211"/>
      <c r="C109" s="352"/>
      <c r="D109" s="295"/>
      <c r="E109" s="662"/>
      <c r="F109" s="21"/>
      <c r="G109" s="21"/>
      <c r="H109" s="207"/>
      <c r="I109" s="177"/>
      <c r="J109" s="320"/>
      <c r="K109" s="189"/>
      <c r="L109" s="167"/>
      <c r="M109" s="174"/>
      <c r="N109" s="352"/>
      <c r="O109" s="198"/>
      <c r="P109" s="720"/>
      <c r="Q109" s="21"/>
      <c r="R109" s="198"/>
      <c r="S109" s="342"/>
      <c r="T109" s="198"/>
      <c r="U109" s="423"/>
      <c r="V109" s="342"/>
      <c r="X109" s="239">
        <f t="shared" si="3"/>
        <v>0</v>
      </c>
    </row>
    <row r="110" spans="1:24" ht="15.75">
      <c r="A110" s="339"/>
      <c r="B110" s="211"/>
      <c r="C110" s="352"/>
      <c r="D110" s="295"/>
      <c r="E110" s="662"/>
      <c r="F110" s="21"/>
      <c r="G110" s="21"/>
      <c r="H110" s="207"/>
      <c r="I110" s="177"/>
      <c r="J110" s="320"/>
      <c r="K110" s="189"/>
      <c r="L110" s="167"/>
      <c r="M110" s="174"/>
      <c r="N110" s="352"/>
      <c r="O110" s="198"/>
      <c r="P110" s="720"/>
      <c r="Q110" s="21"/>
      <c r="R110" s="198"/>
      <c r="S110" s="342"/>
      <c r="T110" s="198"/>
      <c r="U110" s="423"/>
      <c r="V110" s="342"/>
      <c r="X110" s="239">
        <f t="shared" si="3"/>
        <v>0</v>
      </c>
    </row>
    <row r="111" spans="1:24" ht="15.75">
      <c r="A111" s="339"/>
      <c r="B111" s="211"/>
      <c r="C111" s="352"/>
      <c r="D111" s="295"/>
      <c r="E111" s="662"/>
      <c r="F111" s="21"/>
      <c r="G111" s="21"/>
      <c r="H111" s="207"/>
      <c r="I111" s="177"/>
      <c r="J111" s="320"/>
      <c r="K111" s="189"/>
      <c r="L111" s="167"/>
      <c r="M111" s="174"/>
      <c r="N111" s="352"/>
      <c r="O111" s="198"/>
      <c r="P111" s="720"/>
      <c r="Q111" s="21"/>
      <c r="R111" s="198"/>
      <c r="S111" s="342"/>
      <c r="T111" s="198"/>
      <c r="U111" s="423"/>
      <c r="V111" s="342"/>
      <c r="X111" s="239">
        <f t="shared" si="3"/>
        <v>0</v>
      </c>
    </row>
    <row r="112" spans="1:24" ht="15.75">
      <c r="A112" s="339"/>
      <c r="B112" s="211"/>
      <c r="C112" s="352"/>
      <c r="D112" s="295"/>
      <c r="E112" s="662"/>
      <c r="F112" s="21"/>
      <c r="G112" s="21"/>
      <c r="H112" s="207"/>
      <c r="I112" s="177"/>
      <c r="J112" s="320"/>
      <c r="K112" s="189"/>
      <c r="L112" s="167"/>
      <c r="M112" s="174"/>
      <c r="N112" s="352"/>
      <c r="O112" s="198"/>
      <c r="P112" s="720"/>
      <c r="Q112" s="21"/>
      <c r="R112" s="198"/>
      <c r="S112" s="342"/>
      <c r="T112" s="198"/>
      <c r="U112" s="423"/>
      <c r="V112" s="342"/>
      <c r="X112" s="239">
        <f t="shared" si="3"/>
        <v>0</v>
      </c>
    </row>
    <row r="113" spans="1:24" ht="15.75">
      <c r="A113" s="339"/>
      <c r="B113" s="211"/>
      <c r="C113" s="352"/>
      <c r="D113" s="295"/>
      <c r="E113" s="662"/>
      <c r="F113" s="21"/>
      <c r="G113" s="21"/>
      <c r="H113" s="207"/>
      <c r="I113" s="177"/>
      <c r="J113" s="320"/>
      <c r="K113" s="189"/>
      <c r="L113" s="167"/>
      <c r="M113" s="174"/>
      <c r="N113" s="352"/>
      <c r="O113" s="198"/>
      <c r="P113" s="720"/>
      <c r="Q113" s="21"/>
      <c r="R113" s="198"/>
      <c r="S113" s="342"/>
      <c r="T113" s="198"/>
      <c r="U113" s="423"/>
      <c r="V113" s="342"/>
      <c r="X113" s="239">
        <f t="shared" si="3"/>
        <v>0</v>
      </c>
    </row>
    <row r="114" spans="1:24" ht="15.75">
      <c r="A114" s="339"/>
      <c r="B114" s="211"/>
      <c r="C114" s="352"/>
      <c r="D114" s="295"/>
      <c r="E114" s="662"/>
      <c r="F114" s="21"/>
      <c r="G114" s="21"/>
      <c r="H114" s="207"/>
      <c r="I114" s="177"/>
      <c r="J114" s="320"/>
      <c r="K114" s="189"/>
      <c r="L114" s="167"/>
      <c r="M114" s="174"/>
      <c r="N114" s="352"/>
      <c r="O114" s="198"/>
      <c r="P114" s="720"/>
      <c r="Q114" s="21"/>
      <c r="R114" s="198"/>
      <c r="S114" s="342"/>
      <c r="T114" s="198"/>
      <c r="U114" s="423"/>
      <c r="V114" s="342"/>
      <c r="X114" s="239">
        <f t="shared" si="3"/>
        <v>0</v>
      </c>
    </row>
    <row r="115" spans="1:24" ht="15.75">
      <c r="A115" s="339"/>
      <c r="B115" s="211"/>
      <c r="C115" s="352"/>
      <c r="D115" s="295"/>
      <c r="E115" s="662"/>
      <c r="F115" s="21"/>
      <c r="G115" s="21"/>
      <c r="H115" s="207"/>
      <c r="I115" s="177"/>
      <c r="J115" s="320"/>
      <c r="K115" s="189"/>
      <c r="L115" s="167"/>
      <c r="M115" s="174"/>
      <c r="N115" s="352"/>
      <c r="O115" s="198"/>
      <c r="P115" s="720"/>
      <c r="Q115" s="21"/>
      <c r="R115" s="198"/>
      <c r="S115" s="342"/>
      <c r="T115" s="198"/>
      <c r="U115" s="423"/>
      <c r="V115" s="342"/>
      <c r="X115" s="239">
        <f t="shared" si="3"/>
        <v>0</v>
      </c>
    </row>
    <row r="116" spans="1:24" ht="15.75">
      <c r="A116" s="339"/>
      <c r="B116" s="211"/>
      <c r="C116" s="352"/>
      <c r="D116" s="295"/>
      <c r="E116" s="662"/>
      <c r="F116" s="21"/>
      <c r="G116" s="21"/>
      <c r="H116" s="207"/>
      <c r="I116" s="177"/>
      <c r="J116" s="320"/>
      <c r="K116" s="189"/>
      <c r="L116" s="167"/>
      <c r="M116" s="174"/>
      <c r="N116" s="352"/>
      <c r="O116" s="198"/>
      <c r="P116" s="720"/>
      <c r="Q116" s="21"/>
      <c r="R116" s="198"/>
      <c r="S116" s="342"/>
      <c r="T116" s="198"/>
      <c r="U116" s="423"/>
      <c r="V116" s="342"/>
      <c r="X116" s="239">
        <f t="shared" si="3"/>
        <v>0</v>
      </c>
    </row>
    <row r="117" spans="1:24" ht="15.75">
      <c r="A117" s="339"/>
      <c r="B117" s="211"/>
      <c r="C117" s="352"/>
      <c r="D117" s="295"/>
      <c r="E117" s="662"/>
      <c r="F117" s="21"/>
      <c r="G117" s="21"/>
      <c r="H117" s="207"/>
      <c r="I117" s="177"/>
      <c r="J117" s="320"/>
      <c r="K117" s="189"/>
      <c r="L117" s="167"/>
      <c r="M117" s="174"/>
      <c r="N117" s="352"/>
      <c r="O117" s="198"/>
      <c r="P117" s="720"/>
      <c r="Q117" s="21"/>
      <c r="R117" s="198"/>
      <c r="S117" s="342"/>
      <c r="T117" s="198"/>
      <c r="U117" s="423"/>
      <c r="V117" s="342"/>
      <c r="X117" s="239">
        <f t="shared" si="3"/>
        <v>0</v>
      </c>
    </row>
    <row r="118" spans="1:24" ht="15.75">
      <c r="A118" s="339"/>
      <c r="B118" s="211"/>
      <c r="C118" s="352"/>
      <c r="D118" s="295"/>
      <c r="E118" s="662"/>
      <c r="F118" s="21"/>
      <c r="G118" s="21"/>
      <c r="H118" s="207"/>
      <c r="I118" s="177"/>
      <c r="J118" s="320"/>
      <c r="K118" s="189"/>
      <c r="L118" s="167"/>
      <c r="M118" s="174"/>
      <c r="N118" s="352"/>
      <c r="O118" s="198"/>
      <c r="P118" s="720"/>
      <c r="Q118" s="21"/>
      <c r="R118" s="198"/>
      <c r="S118" s="342"/>
      <c r="T118" s="198"/>
      <c r="U118" s="423"/>
      <c r="V118" s="342"/>
      <c r="X118" s="239">
        <f t="shared" si="3"/>
        <v>0</v>
      </c>
    </row>
    <row r="119" spans="1:24" ht="15.75">
      <c r="A119" s="339"/>
      <c r="B119" s="211"/>
      <c r="C119" s="352"/>
      <c r="D119" s="295"/>
      <c r="E119" s="662"/>
      <c r="F119" s="21"/>
      <c r="G119" s="21"/>
      <c r="H119" s="207"/>
      <c r="I119" s="177"/>
      <c r="J119" s="320"/>
      <c r="K119" s="189"/>
      <c r="L119" s="167"/>
      <c r="M119" s="174"/>
      <c r="N119" s="352"/>
      <c r="O119" s="198"/>
      <c r="P119" s="720"/>
      <c r="Q119" s="21"/>
      <c r="R119" s="198"/>
      <c r="S119" s="342"/>
      <c r="T119" s="198"/>
      <c r="U119" s="423"/>
      <c r="V119" s="342"/>
      <c r="X119" s="239">
        <f t="shared" si="3"/>
        <v>0</v>
      </c>
    </row>
    <row r="120" spans="1:24" ht="15.75">
      <c r="A120" s="339"/>
      <c r="B120" s="211"/>
      <c r="C120" s="352"/>
      <c r="D120" s="295"/>
      <c r="E120" s="662"/>
      <c r="F120" s="21"/>
      <c r="G120" s="21"/>
      <c r="H120" s="207"/>
      <c r="I120" s="177"/>
      <c r="J120" s="320"/>
      <c r="K120" s="189"/>
      <c r="L120" s="167"/>
      <c r="M120" s="174"/>
      <c r="N120" s="352"/>
      <c r="O120" s="198"/>
      <c r="P120" s="720"/>
      <c r="Q120" s="21"/>
      <c r="R120" s="198"/>
      <c r="S120" s="342"/>
      <c r="T120" s="198"/>
      <c r="U120" s="423"/>
      <c r="V120" s="342"/>
      <c r="X120" s="239">
        <f t="shared" si="3"/>
        <v>0</v>
      </c>
    </row>
    <row r="121" spans="1:24" ht="15.75">
      <c r="A121" s="339"/>
      <c r="B121" s="211"/>
      <c r="C121" s="352"/>
      <c r="D121" s="295"/>
      <c r="E121" s="662"/>
      <c r="F121" s="21"/>
      <c r="G121" s="21"/>
      <c r="H121" s="207"/>
      <c r="I121" s="177"/>
      <c r="J121" s="320"/>
      <c r="K121" s="189"/>
      <c r="L121" s="167"/>
      <c r="M121" s="174"/>
      <c r="N121" s="352"/>
      <c r="O121" s="198"/>
      <c r="P121" s="720"/>
      <c r="Q121" s="21"/>
      <c r="R121" s="198"/>
      <c r="S121" s="342"/>
      <c r="T121" s="198"/>
      <c r="U121" s="423"/>
      <c r="V121" s="342"/>
      <c r="X121" s="239">
        <f t="shared" si="3"/>
        <v>0</v>
      </c>
    </row>
    <row r="122" spans="1:24" ht="15.75">
      <c r="A122" s="339"/>
      <c r="B122" s="211"/>
      <c r="C122" s="352"/>
      <c r="D122" s="295"/>
      <c r="E122" s="662"/>
      <c r="F122" s="21"/>
      <c r="G122" s="21"/>
      <c r="H122" s="207"/>
      <c r="I122" s="177"/>
      <c r="J122" s="320"/>
      <c r="K122" s="189"/>
      <c r="L122" s="167"/>
      <c r="M122" s="174"/>
      <c r="N122" s="352"/>
      <c r="O122" s="198"/>
      <c r="P122" s="720"/>
      <c r="Q122" s="21"/>
      <c r="R122" s="198"/>
      <c r="S122" s="342"/>
      <c r="T122" s="198"/>
      <c r="U122" s="423"/>
      <c r="V122" s="342"/>
      <c r="X122" s="239">
        <f t="shared" si="3"/>
        <v>0</v>
      </c>
    </row>
    <row r="123" spans="1:24" ht="15.75">
      <c r="A123" s="339"/>
      <c r="B123" s="211"/>
      <c r="C123" s="352"/>
      <c r="D123" s="295"/>
      <c r="E123" s="662"/>
      <c r="F123" s="21"/>
      <c r="G123" s="21"/>
      <c r="H123" s="207"/>
      <c r="I123" s="177"/>
      <c r="J123" s="320"/>
      <c r="K123" s="189"/>
      <c r="L123" s="167"/>
      <c r="M123" s="174"/>
      <c r="N123" s="352"/>
      <c r="O123" s="198"/>
      <c r="P123" s="720"/>
      <c r="Q123" s="21"/>
      <c r="R123" s="198"/>
      <c r="S123" s="342"/>
      <c r="T123" s="198"/>
      <c r="U123" s="423"/>
      <c r="V123" s="342"/>
      <c r="X123" s="239">
        <f t="shared" si="3"/>
        <v>0</v>
      </c>
    </row>
    <row r="124" spans="1:24" ht="15.75">
      <c r="A124" s="339"/>
      <c r="B124" s="211"/>
      <c r="C124" s="352"/>
      <c r="D124" s="295"/>
      <c r="E124" s="662"/>
      <c r="F124" s="21"/>
      <c r="G124" s="21"/>
      <c r="H124" s="207"/>
      <c r="I124" s="177"/>
      <c r="J124" s="320"/>
      <c r="K124" s="189"/>
      <c r="L124" s="167"/>
      <c r="M124" s="174"/>
      <c r="N124" s="352"/>
      <c r="O124" s="198"/>
      <c r="P124" s="720"/>
      <c r="Q124" s="21"/>
      <c r="R124" s="198"/>
      <c r="S124" s="342"/>
      <c r="T124" s="198"/>
      <c r="U124" s="423"/>
      <c r="V124" s="342"/>
      <c r="X124" s="239">
        <f t="shared" si="3"/>
        <v>0</v>
      </c>
    </row>
    <row r="125" spans="1:24" ht="15.75">
      <c r="A125" s="339"/>
      <c r="B125" s="211"/>
      <c r="C125" s="352"/>
      <c r="D125" s="295"/>
      <c r="E125" s="662"/>
      <c r="F125" s="21"/>
      <c r="G125" s="21"/>
      <c r="H125" s="207"/>
      <c r="I125" s="177"/>
      <c r="J125" s="320"/>
      <c r="K125" s="189"/>
      <c r="L125" s="167"/>
      <c r="M125" s="174"/>
      <c r="N125" s="352"/>
      <c r="O125" s="198"/>
      <c r="P125" s="720"/>
      <c r="Q125" s="21"/>
      <c r="R125" s="198"/>
      <c r="S125" s="342"/>
      <c r="T125" s="198"/>
      <c r="U125" s="423"/>
      <c r="V125" s="342"/>
      <c r="X125" s="239">
        <f t="shared" si="3"/>
        <v>0</v>
      </c>
    </row>
    <row r="126" spans="1:24" ht="15.75">
      <c r="A126" s="339"/>
      <c r="B126" s="211"/>
      <c r="C126" s="352"/>
      <c r="D126" s="295"/>
      <c r="E126" s="662"/>
      <c r="F126" s="21"/>
      <c r="G126" s="21"/>
      <c r="H126" s="207"/>
      <c r="I126" s="177"/>
      <c r="J126" s="320"/>
      <c r="K126" s="189"/>
      <c r="L126" s="167"/>
      <c r="M126" s="174"/>
      <c r="N126" s="352"/>
      <c r="O126" s="198"/>
      <c r="P126" s="720"/>
      <c r="Q126" s="21"/>
      <c r="R126" s="198"/>
      <c r="S126" s="342"/>
      <c r="T126" s="198"/>
      <c r="U126" s="423"/>
      <c r="V126" s="342"/>
      <c r="X126" s="239">
        <f t="shared" si="3"/>
        <v>0</v>
      </c>
    </row>
    <row r="127" spans="1:24" ht="15.75">
      <c r="A127" s="339"/>
      <c r="B127" s="211"/>
      <c r="C127" s="352"/>
      <c r="D127" s="295"/>
      <c r="E127" s="662"/>
      <c r="F127" s="21"/>
      <c r="G127" s="21"/>
      <c r="H127" s="207"/>
      <c r="I127" s="177"/>
      <c r="J127" s="320"/>
      <c r="K127" s="189"/>
      <c r="L127" s="167"/>
      <c r="M127" s="174"/>
      <c r="N127" s="352"/>
      <c r="O127" s="198"/>
      <c r="P127" s="720"/>
      <c r="Q127" s="21"/>
      <c r="R127" s="198"/>
      <c r="S127" s="342"/>
      <c r="T127" s="198"/>
      <c r="U127" s="423"/>
      <c r="V127" s="342"/>
      <c r="X127" s="239">
        <f t="shared" si="3"/>
        <v>0</v>
      </c>
    </row>
    <row r="128" spans="1:24" ht="15.75">
      <c r="A128" s="339"/>
      <c r="B128" s="211"/>
      <c r="C128" s="352"/>
      <c r="D128" s="295"/>
      <c r="E128" s="662"/>
      <c r="F128" s="21"/>
      <c r="G128" s="21"/>
      <c r="H128" s="207"/>
      <c r="I128" s="177"/>
      <c r="J128" s="320"/>
      <c r="K128" s="189"/>
      <c r="L128" s="167"/>
      <c r="M128" s="174"/>
      <c r="N128" s="352"/>
      <c r="O128" s="198"/>
      <c r="P128" s="720"/>
      <c r="Q128" s="21"/>
      <c r="R128" s="198"/>
      <c r="S128" s="342"/>
      <c r="T128" s="198"/>
      <c r="U128" s="423"/>
      <c r="V128" s="342"/>
      <c r="X128" s="239">
        <f t="shared" si="3"/>
        <v>0</v>
      </c>
    </row>
    <row r="129" spans="1:24" ht="15.75">
      <c r="A129" s="339"/>
      <c r="B129" s="211"/>
      <c r="C129" s="352"/>
      <c r="D129" s="295"/>
      <c r="E129" s="662"/>
      <c r="F129" s="21"/>
      <c r="G129" s="21"/>
      <c r="H129" s="207"/>
      <c r="I129" s="177"/>
      <c r="J129" s="320"/>
      <c r="K129" s="189"/>
      <c r="L129" s="167"/>
      <c r="M129" s="174"/>
      <c r="N129" s="352"/>
      <c r="O129" s="198"/>
      <c r="P129" s="720"/>
      <c r="Q129" s="21"/>
      <c r="R129" s="198"/>
      <c r="S129" s="342"/>
      <c r="T129" s="198"/>
      <c r="U129" s="423"/>
      <c r="V129" s="342"/>
      <c r="X129" s="239">
        <f t="shared" si="3"/>
        <v>0</v>
      </c>
    </row>
    <row r="130" spans="1:24" ht="15.75">
      <c r="A130" s="339"/>
      <c r="B130" s="211"/>
      <c r="C130" s="352"/>
      <c r="D130" s="295"/>
      <c r="E130" s="662"/>
      <c r="F130" s="21"/>
      <c r="G130" s="21"/>
      <c r="H130" s="207"/>
      <c r="I130" s="177"/>
      <c r="J130" s="320"/>
      <c r="K130" s="189"/>
      <c r="L130" s="167"/>
      <c r="M130" s="174"/>
      <c r="N130" s="352"/>
      <c r="O130" s="198"/>
      <c r="P130" s="720"/>
      <c r="Q130" s="21"/>
      <c r="R130" s="198"/>
      <c r="S130" s="342"/>
      <c r="T130" s="198"/>
      <c r="U130" s="423"/>
      <c r="V130" s="342"/>
      <c r="X130" s="239">
        <f t="shared" si="3"/>
        <v>0</v>
      </c>
    </row>
    <row r="131" spans="1:24" ht="15.75">
      <c r="A131" s="339"/>
      <c r="B131" s="211"/>
      <c r="C131" s="352"/>
      <c r="D131" s="295"/>
      <c r="E131" s="662"/>
      <c r="F131" s="21"/>
      <c r="G131" s="21"/>
      <c r="H131" s="207"/>
      <c r="I131" s="177"/>
      <c r="J131" s="320"/>
      <c r="K131" s="189"/>
      <c r="L131" s="167"/>
      <c r="M131" s="174"/>
      <c r="N131" s="352"/>
      <c r="O131" s="198"/>
      <c r="P131" s="720"/>
      <c r="Q131" s="21"/>
      <c r="R131" s="198"/>
      <c r="S131" s="342"/>
      <c r="T131" s="198"/>
      <c r="U131" s="423"/>
      <c r="V131" s="342"/>
      <c r="X131" s="239">
        <f t="shared" si="3"/>
        <v>0</v>
      </c>
    </row>
    <row r="132" spans="1:24" ht="15.75">
      <c r="A132" s="339"/>
      <c r="B132" s="211"/>
      <c r="C132" s="352"/>
      <c r="D132" s="295"/>
      <c r="E132" s="662"/>
      <c r="F132" s="21"/>
      <c r="G132" s="21"/>
      <c r="H132" s="207"/>
      <c r="I132" s="177"/>
      <c r="J132" s="320"/>
      <c r="K132" s="189"/>
      <c r="L132" s="167"/>
      <c r="M132" s="174"/>
      <c r="N132" s="352"/>
      <c r="O132" s="198"/>
      <c r="P132" s="720"/>
      <c r="Q132" s="21"/>
      <c r="R132" s="198"/>
      <c r="S132" s="342"/>
      <c r="T132" s="198"/>
      <c r="U132" s="423"/>
      <c r="V132" s="342"/>
      <c r="X132" s="239">
        <f t="shared" si="3"/>
        <v>0</v>
      </c>
    </row>
    <row r="133" spans="1:24" ht="15.75">
      <c r="A133" s="339"/>
      <c r="B133" s="211"/>
      <c r="C133" s="352"/>
      <c r="D133" s="295"/>
      <c r="E133" s="662"/>
      <c r="F133" s="21"/>
      <c r="G133" s="21"/>
      <c r="H133" s="207"/>
      <c r="I133" s="177"/>
      <c r="J133" s="320"/>
      <c r="K133" s="189"/>
      <c r="L133" s="167"/>
      <c r="M133" s="174"/>
      <c r="N133" s="352"/>
      <c r="O133" s="198"/>
      <c r="P133" s="720"/>
      <c r="Q133" s="21"/>
      <c r="R133" s="198"/>
      <c r="S133" s="342"/>
      <c r="T133" s="198"/>
      <c r="U133" s="423"/>
      <c r="V133" s="342"/>
      <c r="X133" s="239">
        <f t="shared" si="3"/>
        <v>0</v>
      </c>
    </row>
    <row r="134" spans="1:24" ht="15.75">
      <c r="A134" s="339"/>
      <c r="B134" s="211"/>
      <c r="C134" s="352"/>
      <c r="D134" s="295"/>
      <c r="E134" s="662"/>
      <c r="F134" s="21"/>
      <c r="G134" s="21"/>
      <c r="H134" s="207"/>
      <c r="I134" s="177"/>
      <c r="J134" s="320"/>
      <c r="K134" s="189"/>
      <c r="L134" s="167"/>
      <c r="M134" s="174"/>
      <c r="N134" s="352"/>
      <c r="O134" s="198"/>
      <c r="P134" s="720"/>
      <c r="Q134" s="21"/>
      <c r="R134" s="198"/>
      <c r="S134" s="342"/>
      <c r="T134" s="198"/>
      <c r="U134" s="423"/>
      <c r="V134" s="342"/>
      <c r="X134" s="239">
        <f t="shared" si="3"/>
        <v>0</v>
      </c>
    </row>
    <row r="135" spans="1:24" ht="15.75">
      <c r="A135" s="339"/>
      <c r="B135" s="211"/>
      <c r="C135" s="352"/>
      <c r="D135" s="295"/>
      <c r="E135" s="662"/>
      <c r="F135" s="21"/>
      <c r="G135" s="21"/>
      <c r="H135" s="207"/>
      <c r="I135" s="177"/>
      <c r="J135" s="320"/>
      <c r="K135" s="189"/>
      <c r="L135" s="167"/>
      <c r="M135" s="174"/>
      <c r="N135" s="352"/>
      <c r="O135" s="198"/>
      <c r="P135" s="720"/>
      <c r="Q135" s="21"/>
      <c r="R135" s="198"/>
      <c r="S135" s="342"/>
      <c r="T135" s="198"/>
      <c r="U135" s="423"/>
      <c r="V135" s="342"/>
      <c r="X135" s="239">
        <f t="shared" si="3"/>
        <v>0</v>
      </c>
    </row>
    <row r="136" spans="1:24" ht="15.75">
      <c r="A136" s="339"/>
      <c r="B136" s="211"/>
      <c r="C136" s="352"/>
      <c r="D136" s="295"/>
      <c r="E136" s="662"/>
      <c r="F136" s="21"/>
      <c r="G136" s="21"/>
      <c r="H136" s="207"/>
      <c r="I136" s="177"/>
      <c r="J136" s="320"/>
      <c r="K136" s="189"/>
      <c r="L136" s="167"/>
      <c r="M136" s="174"/>
      <c r="N136" s="352"/>
      <c r="O136" s="198"/>
      <c r="P136" s="720"/>
      <c r="Q136" s="21"/>
      <c r="R136" s="198"/>
      <c r="S136" s="342"/>
      <c r="T136" s="198"/>
      <c r="U136" s="423"/>
      <c r="V136" s="342"/>
      <c r="X136" s="239">
        <f t="shared" si="3"/>
        <v>0</v>
      </c>
    </row>
    <row r="137" spans="1:24" ht="15.75">
      <c r="A137" s="339"/>
      <c r="B137" s="211"/>
      <c r="C137" s="352"/>
      <c r="D137" s="295"/>
      <c r="E137" s="662"/>
      <c r="F137" s="21"/>
      <c r="G137" s="21"/>
      <c r="H137" s="207"/>
      <c r="I137" s="177"/>
      <c r="J137" s="320"/>
      <c r="K137" s="189"/>
      <c r="L137" s="167"/>
      <c r="M137" s="174"/>
      <c r="N137" s="352"/>
      <c r="O137" s="198"/>
      <c r="P137" s="720"/>
      <c r="Q137" s="21"/>
      <c r="R137" s="198"/>
      <c r="S137" s="342"/>
      <c r="T137" s="198"/>
      <c r="U137" s="423"/>
      <c r="V137" s="342"/>
      <c r="X137" s="239">
        <f t="shared" si="3"/>
        <v>0</v>
      </c>
    </row>
    <row r="138" spans="1:24" ht="15.75">
      <c r="A138" s="339"/>
      <c r="B138" s="211"/>
      <c r="C138" s="352"/>
      <c r="D138" s="295"/>
      <c r="E138" s="662"/>
      <c r="F138" s="21"/>
      <c r="G138" s="21"/>
      <c r="H138" s="207"/>
      <c r="I138" s="177"/>
      <c r="J138" s="320"/>
      <c r="K138" s="189"/>
      <c r="L138" s="167"/>
      <c r="M138" s="174"/>
      <c r="N138" s="352"/>
      <c r="O138" s="198"/>
      <c r="P138" s="720"/>
      <c r="Q138" s="21"/>
      <c r="R138" s="198"/>
      <c r="S138" s="342"/>
      <c r="T138" s="198"/>
      <c r="U138" s="423"/>
      <c r="V138" s="342"/>
      <c r="X138" s="239">
        <f t="shared" si="3"/>
        <v>0</v>
      </c>
    </row>
    <row r="139" spans="1:24" ht="15.75">
      <c r="A139" s="339"/>
      <c r="B139" s="211"/>
      <c r="C139" s="352"/>
      <c r="D139" s="295"/>
      <c r="E139" s="662"/>
      <c r="F139" s="21"/>
      <c r="G139" s="21"/>
      <c r="H139" s="207"/>
      <c r="I139" s="177"/>
      <c r="J139" s="320"/>
      <c r="K139" s="189"/>
      <c r="L139" s="167"/>
      <c r="M139" s="174"/>
      <c r="N139" s="352"/>
      <c r="O139" s="198"/>
      <c r="P139" s="720"/>
      <c r="Q139" s="21"/>
      <c r="R139" s="198"/>
      <c r="S139" s="342"/>
      <c r="T139" s="198"/>
      <c r="U139" s="423"/>
      <c r="V139" s="342"/>
      <c r="X139" s="239">
        <f t="shared" si="3"/>
        <v>0</v>
      </c>
    </row>
    <row r="140" spans="1:24" ht="15.75">
      <c r="A140" s="339"/>
      <c r="B140" s="211"/>
      <c r="C140" s="352"/>
      <c r="D140" s="295"/>
      <c r="E140" s="662"/>
      <c r="F140" s="21"/>
      <c r="G140" s="21"/>
      <c r="H140" s="207"/>
      <c r="I140" s="177"/>
      <c r="J140" s="320"/>
      <c r="K140" s="189"/>
      <c r="L140" s="167"/>
      <c r="M140" s="174"/>
      <c r="N140" s="352"/>
      <c r="O140" s="198"/>
      <c r="P140" s="720"/>
      <c r="Q140" s="21"/>
      <c r="R140" s="198"/>
      <c r="S140" s="342"/>
      <c r="T140" s="198"/>
      <c r="U140" s="423"/>
      <c r="V140" s="342"/>
      <c r="X140" s="239">
        <f t="shared" si="3"/>
        <v>0</v>
      </c>
    </row>
    <row r="141" spans="1:24" ht="15.75">
      <c r="A141" s="339"/>
      <c r="B141" s="211"/>
      <c r="C141" s="352"/>
      <c r="D141" s="295"/>
      <c r="E141" s="662"/>
      <c r="F141" s="21"/>
      <c r="G141" s="21"/>
      <c r="H141" s="207"/>
      <c r="I141" s="177"/>
      <c r="J141" s="320"/>
      <c r="K141" s="189"/>
      <c r="L141" s="167"/>
      <c r="M141" s="174"/>
      <c r="N141" s="352"/>
      <c r="O141" s="198"/>
      <c r="P141" s="720"/>
      <c r="Q141" s="21"/>
      <c r="R141" s="198"/>
      <c r="S141" s="342"/>
      <c r="T141" s="198"/>
      <c r="U141" s="423"/>
      <c r="V141" s="342"/>
      <c r="X141" s="239">
        <f t="shared" si="3"/>
        <v>0</v>
      </c>
    </row>
    <row r="142" spans="1:24" ht="15.75">
      <c r="A142" s="339"/>
      <c r="B142" s="211"/>
      <c r="C142" s="352"/>
      <c r="D142" s="295"/>
      <c r="E142" s="662"/>
      <c r="F142" s="21"/>
      <c r="G142" s="21"/>
      <c r="H142" s="207"/>
      <c r="I142" s="177"/>
      <c r="J142" s="320"/>
      <c r="K142" s="189"/>
      <c r="L142" s="167"/>
      <c r="M142" s="174"/>
      <c r="N142" s="352"/>
      <c r="O142" s="198"/>
      <c r="P142" s="720"/>
      <c r="Q142" s="21"/>
      <c r="R142" s="198"/>
      <c r="S142" s="342"/>
      <c r="T142" s="198"/>
      <c r="U142" s="423"/>
      <c r="V142" s="342"/>
      <c r="X142" s="239">
        <f t="shared" ref="X142" si="5">L142/1000</f>
        <v>0</v>
      </c>
    </row>
    <row r="143" spans="1:24" ht="15.75">
      <c r="A143" s="339"/>
      <c r="B143" s="211"/>
      <c r="C143" s="352"/>
      <c r="D143" s="295"/>
      <c r="E143" s="662"/>
      <c r="F143" s="21"/>
      <c r="G143" s="21"/>
      <c r="H143" s="207"/>
      <c r="I143" s="177"/>
      <c r="J143" s="320"/>
      <c r="K143" s="189"/>
      <c r="L143" s="167"/>
      <c r="M143" s="174"/>
      <c r="N143" s="352"/>
      <c r="O143" s="198"/>
      <c r="P143" s="720"/>
      <c r="Q143" s="21"/>
      <c r="R143" s="198"/>
      <c r="S143" s="342"/>
      <c r="T143" s="198"/>
      <c r="U143" s="423"/>
      <c r="V143" s="342"/>
    </row>
  </sheetData>
  <autoFilter ref="A12:AE107"/>
  <dataConsolidate/>
  <mergeCells count="48">
    <mergeCell ref="M60:M62"/>
    <mergeCell ref="M63:M64"/>
    <mergeCell ref="M65:M66"/>
    <mergeCell ref="M67:M73"/>
    <mergeCell ref="M74:M75"/>
    <mergeCell ref="A1:C1"/>
    <mergeCell ref="AA3:AA4"/>
    <mergeCell ref="M57:M58"/>
    <mergeCell ref="M48:M51"/>
    <mergeCell ref="M52:M56"/>
    <mergeCell ref="M13:M30"/>
    <mergeCell ref="M35:M47"/>
    <mergeCell ref="T11:T12"/>
    <mergeCell ref="X11:X12"/>
    <mergeCell ref="P11:Q11"/>
    <mergeCell ref="R11:R12"/>
    <mergeCell ref="S11:S12"/>
    <mergeCell ref="U13:U30"/>
    <mergeCell ref="U31:U34"/>
    <mergeCell ref="V13:V30"/>
    <mergeCell ref="V31:V34"/>
    <mergeCell ref="AE3:AE4"/>
    <mergeCell ref="A11:A12"/>
    <mergeCell ref="B11:B12"/>
    <mergeCell ref="C11:C12"/>
    <mergeCell ref="D11:D12"/>
    <mergeCell ref="E11:E12"/>
    <mergeCell ref="N11:N12"/>
    <mergeCell ref="AB3:AD3"/>
    <mergeCell ref="M31:M34"/>
    <mergeCell ref="U35:U47"/>
    <mergeCell ref="V35:V47"/>
    <mergeCell ref="U48:U51"/>
    <mergeCell ref="V48:V51"/>
    <mergeCell ref="U52:U56"/>
    <mergeCell ref="V52:V56"/>
    <mergeCell ref="U57:U58"/>
    <mergeCell ref="V57:V58"/>
    <mergeCell ref="U60:U62"/>
    <mergeCell ref="V60:V62"/>
    <mergeCell ref="U63:U64"/>
    <mergeCell ref="V63:V64"/>
    <mergeCell ref="U65:U66"/>
    <mergeCell ref="U67:U73"/>
    <mergeCell ref="U74:U75"/>
    <mergeCell ref="V67:V73"/>
    <mergeCell ref="V65:V66"/>
    <mergeCell ref="V74:V75"/>
  </mergeCells>
  <conditionalFormatting sqref="Q13:Q47">
    <cfRule type="containsText" dxfId="35" priority="31" operator="containsText" text="Red">
      <formula>NOT(ISERROR(SEARCH("Red",Q13)))</formula>
    </cfRule>
    <cfRule type="containsText" dxfId="34" priority="32" operator="containsText" text="Yellow">
      <formula>NOT(ISERROR(SEARCH("Yellow",Q13)))</formula>
    </cfRule>
    <cfRule type="containsText" dxfId="33" priority="33" operator="containsText" text="Green">
      <formula>NOT(ISERROR(SEARCH("Green",Q13)))</formula>
    </cfRule>
  </conditionalFormatting>
  <conditionalFormatting sqref="Q48:Q51">
    <cfRule type="containsText" dxfId="32" priority="7" operator="containsText" text="Red">
      <formula>NOT(ISERROR(SEARCH("Red",Q48)))</formula>
    </cfRule>
    <cfRule type="containsText" dxfId="31" priority="8" operator="containsText" text="Yellow">
      <formula>NOT(ISERROR(SEARCH("Yellow",Q48)))</formula>
    </cfRule>
    <cfRule type="containsText" dxfId="30" priority="9" operator="containsText" text="Green">
      <formula>NOT(ISERROR(SEARCH("Green",Q48)))</formula>
    </cfRule>
  </conditionalFormatting>
  <conditionalFormatting sqref="Q53:Q75">
    <cfRule type="containsText" dxfId="29" priority="4" operator="containsText" text="Red">
      <formula>NOT(ISERROR(SEARCH("Red",Q53)))</formula>
    </cfRule>
    <cfRule type="containsText" dxfId="28" priority="5" operator="containsText" text="Yellow">
      <formula>NOT(ISERROR(SEARCH("Yellow",Q53)))</formula>
    </cfRule>
    <cfRule type="containsText" dxfId="27" priority="6" operator="containsText" text="Green">
      <formula>NOT(ISERROR(SEARCH("Green",Q53)))</formula>
    </cfRule>
  </conditionalFormatting>
  <conditionalFormatting sqref="Q52">
    <cfRule type="containsText" dxfId="26" priority="1" operator="containsText" text="Red">
      <formula>NOT(ISERROR(SEARCH("Red",Q52)))</formula>
    </cfRule>
    <cfRule type="containsText" dxfId="25" priority="2" operator="containsText" text="Yellow">
      <formula>NOT(ISERROR(SEARCH("Yellow",Q52)))</formula>
    </cfRule>
    <cfRule type="containsText" dxfId="24" priority="3" operator="containsText" text="Green">
      <formula>NOT(ISERROR(SEARCH("Green",Q52)))</formula>
    </cfRule>
  </conditionalFormatting>
  <dataValidations count="2">
    <dataValidation type="list" allowBlank="1" showInputMessage="1" showErrorMessage="1" sqref="R35:R51 R13:R30 R57:R58 R60:R64 R67:R73 R76:R83">
      <formula1>"Measurement, Material"</formula1>
    </dataValidation>
    <dataValidation type="list" allowBlank="1" showInputMessage="1" showErrorMessage="1" sqref="D1:D1048576">
      <formula1>"Commercial, Non-commercial"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3"/>
  <sheetViews>
    <sheetView topLeftCell="A10" zoomScale="70" zoomScaleNormal="70" workbookViewId="0">
      <pane xSplit="5" ySplit="3" topLeftCell="J19" activePane="bottomRight" state="frozen"/>
      <selection activeCell="A10" sqref="A10"/>
      <selection pane="topRight" activeCell="F10" sqref="F10"/>
      <selection pane="bottomLeft" activeCell="A13" sqref="A13"/>
      <selection pane="bottomRight" activeCell="A37" sqref="A37:XFD37"/>
    </sheetView>
  </sheetViews>
  <sheetFormatPr defaultRowHeight="15"/>
  <cols>
    <col min="1" max="1" width="9.140625" style="156" customWidth="1"/>
    <col min="2" max="2" width="22.28515625" customWidth="1"/>
    <col min="3" max="3" width="14.7109375" style="350" customWidth="1"/>
    <col min="4" max="4" width="22.42578125" customWidth="1"/>
    <col min="5" max="5" width="22.7109375" style="9" customWidth="1"/>
    <col min="6" max="6" width="41" customWidth="1"/>
    <col min="7" max="7" width="27.28515625" customWidth="1"/>
    <col min="8" max="8" width="14.85546875" customWidth="1"/>
    <col min="9" max="9" width="13" style="153" customWidth="1"/>
    <col min="10" max="10" width="14.7109375" style="267" customWidth="1"/>
    <col min="11" max="11" width="13.140625" customWidth="1"/>
    <col min="12" max="12" width="13" customWidth="1"/>
    <col min="13" max="13" width="12.42578125" style="162" customWidth="1"/>
    <col min="14" max="14" width="13.7109375" style="9" customWidth="1"/>
    <col min="15" max="15" width="32.140625" style="9" customWidth="1"/>
    <col min="16" max="16" width="23.85546875" style="1" customWidth="1"/>
    <col min="17" max="17" width="15.5703125" customWidth="1"/>
    <col min="18" max="18" width="17.7109375" style="9" customWidth="1"/>
    <col min="19" max="19" width="16.7109375" style="7" customWidth="1"/>
    <col min="20" max="20" width="18.7109375" style="404" customWidth="1"/>
    <col min="21" max="21" width="20.85546875" style="238" customWidth="1"/>
    <col min="22" max="22" width="15.140625" style="7" customWidth="1"/>
    <col min="24" max="24" width="16.7109375" customWidth="1"/>
    <col min="25" max="25" width="14.42578125" customWidth="1"/>
    <col min="26" max="26" width="13.7109375" customWidth="1"/>
    <col min="27" max="27" width="19.7109375" bestFit="1" customWidth="1"/>
    <col min="28" max="30" width="11" customWidth="1"/>
    <col min="31" max="31" width="13.28515625" customWidth="1"/>
    <col min="32" max="32" width="16.140625" customWidth="1"/>
  </cols>
  <sheetData>
    <row r="1" spans="1:31" ht="34.5" customHeight="1">
      <c r="A1" s="1023">
        <v>43891</v>
      </c>
      <c r="B1" s="1023"/>
      <c r="C1" s="1023"/>
      <c r="D1" s="2"/>
      <c r="E1" s="537"/>
      <c r="F1" s="2"/>
      <c r="G1" s="2"/>
      <c r="H1" s="2"/>
      <c r="I1" s="152"/>
      <c r="J1" s="152"/>
      <c r="K1" s="2"/>
      <c r="L1" s="2"/>
      <c r="M1" s="160"/>
      <c r="N1" s="537"/>
      <c r="O1" s="537"/>
      <c r="P1" s="8"/>
      <c r="Q1" s="2"/>
      <c r="R1" s="537"/>
      <c r="S1" s="537"/>
      <c r="T1" s="2"/>
      <c r="U1" s="233"/>
    </row>
    <row r="2" spans="1:31" ht="34.5" customHeight="1">
      <c r="A2" s="157"/>
      <c r="B2" s="44"/>
      <c r="C2" s="349"/>
      <c r="D2" s="2"/>
      <c r="E2" s="537"/>
      <c r="F2" s="2"/>
      <c r="G2" s="2"/>
      <c r="H2" s="2"/>
      <c r="I2" s="152"/>
      <c r="J2" s="152"/>
      <c r="K2" s="2"/>
      <c r="L2" s="2"/>
      <c r="M2" s="160"/>
      <c r="N2" s="537"/>
      <c r="O2" s="537"/>
      <c r="P2" s="8"/>
      <c r="Q2" s="2"/>
      <c r="R2" s="537"/>
      <c r="S2" s="537"/>
      <c r="T2" s="2"/>
      <c r="U2" s="233"/>
    </row>
    <row r="3" spans="1:31" ht="54.75" customHeight="1">
      <c r="A3" s="157"/>
      <c r="B3" s="44"/>
      <c r="C3" s="349"/>
      <c r="D3" s="2"/>
      <c r="E3" s="537"/>
      <c r="F3" s="2"/>
      <c r="G3" s="2"/>
      <c r="H3" s="2"/>
      <c r="I3" s="152"/>
      <c r="J3" s="152"/>
      <c r="K3" s="2"/>
      <c r="L3" s="2"/>
      <c r="M3" s="160"/>
      <c r="N3" s="539" t="s">
        <v>0</v>
      </c>
      <c r="O3" s="540" t="s">
        <v>16</v>
      </c>
      <c r="P3" s="540" t="s">
        <v>27</v>
      </c>
      <c r="Q3" s="540" t="s">
        <v>14</v>
      </c>
      <c r="R3" s="540" t="s">
        <v>31</v>
      </c>
      <c r="S3" s="540" t="s">
        <v>203</v>
      </c>
      <c r="T3" s="155" t="s">
        <v>46</v>
      </c>
      <c r="U3" s="234" t="s">
        <v>45</v>
      </c>
      <c r="AA3" s="1024" t="s">
        <v>14</v>
      </c>
      <c r="AB3" s="1026" t="s">
        <v>3</v>
      </c>
      <c r="AC3" s="1027"/>
      <c r="AD3" s="1028"/>
      <c r="AE3" s="1009" t="s">
        <v>21</v>
      </c>
    </row>
    <row r="4" spans="1:31" ht="46.5" customHeight="1">
      <c r="A4" s="157"/>
      <c r="B4" s="44"/>
      <c r="C4" s="349"/>
      <c r="D4" s="2"/>
      <c r="E4" s="537"/>
      <c r="F4" s="2"/>
      <c r="G4" s="2"/>
      <c r="H4" s="2"/>
      <c r="I4" s="152"/>
      <c r="J4" s="152"/>
      <c r="K4" s="2"/>
      <c r="L4" s="2"/>
      <c r="M4" s="160"/>
      <c r="N4" s="32">
        <v>1</v>
      </c>
      <c r="O4" s="32" t="s">
        <v>28</v>
      </c>
      <c r="P4" s="32">
        <v>7</v>
      </c>
      <c r="Q4" s="32" t="s">
        <v>24</v>
      </c>
      <c r="R4" s="32" t="s">
        <v>32</v>
      </c>
      <c r="S4" s="32" t="s">
        <v>4</v>
      </c>
      <c r="T4" s="101"/>
      <c r="U4" s="235" t="s">
        <v>178</v>
      </c>
      <c r="AA4" s="1025"/>
      <c r="AB4" s="118" t="s">
        <v>20</v>
      </c>
      <c r="AC4" s="119" t="s">
        <v>22</v>
      </c>
      <c r="AD4" s="120" t="s">
        <v>23</v>
      </c>
      <c r="AE4" s="1010"/>
    </row>
    <row r="5" spans="1:31" ht="48.75" customHeight="1">
      <c r="A5" s="157"/>
      <c r="B5" s="44"/>
      <c r="C5" s="349"/>
      <c r="D5" s="2"/>
      <c r="E5" s="537"/>
      <c r="F5" s="537"/>
      <c r="G5" s="2"/>
      <c r="H5" s="2"/>
      <c r="I5" s="152"/>
      <c r="J5" s="152"/>
      <c r="K5" s="2"/>
      <c r="L5" s="2"/>
      <c r="M5" s="160"/>
      <c r="N5" s="61">
        <v>2</v>
      </c>
      <c r="O5" s="61" t="s">
        <v>180</v>
      </c>
      <c r="P5" s="61">
        <v>4</v>
      </c>
      <c r="Q5" s="61" t="s">
        <v>24</v>
      </c>
      <c r="R5" s="61" t="s">
        <v>32</v>
      </c>
      <c r="S5" s="61" t="s">
        <v>7</v>
      </c>
      <c r="T5" s="403"/>
      <c r="U5" s="236" t="s">
        <v>178</v>
      </c>
      <c r="AA5" s="121" t="s">
        <v>24</v>
      </c>
      <c r="AB5" s="121"/>
      <c r="AC5" s="121"/>
      <c r="AD5" s="121"/>
      <c r="AE5" s="121">
        <f>SUM(AB5:AD5)</f>
        <v>0</v>
      </c>
    </row>
    <row r="6" spans="1:31" ht="37.5" customHeight="1">
      <c r="A6" s="157"/>
      <c r="B6" s="44"/>
      <c r="C6" s="349"/>
      <c r="D6" s="2"/>
      <c r="E6" s="537"/>
      <c r="F6" s="2"/>
      <c r="G6" s="2"/>
      <c r="H6" s="2"/>
      <c r="I6" s="152"/>
      <c r="J6" s="152"/>
      <c r="K6" s="2"/>
      <c r="L6" s="2"/>
      <c r="M6" s="160"/>
      <c r="N6" s="32">
        <v>3</v>
      </c>
      <c r="O6" s="32" t="s">
        <v>217</v>
      </c>
      <c r="P6" s="32">
        <v>1</v>
      </c>
      <c r="Q6" s="32" t="s">
        <v>218</v>
      </c>
      <c r="R6" s="32" t="s">
        <v>32</v>
      </c>
      <c r="S6" s="32"/>
      <c r="T6" s="101" t="s">
        <v>29</v>
      </c>
      <c r="U6" s="235" t="s">
        <v>29</v>
      </c>
      <c r="AA6" s="124" t="s">
        <v>171</v>
      </c>
      <c r="AB6" s="61"/>
      <c r="AC6" s="124"/>
      <c r="AD6" s="61"/>
      <c r="AE6" s="61">
        <f>+AB6+AC6+AD6</f>
        <v>0</v>
      </c>
    </row>
    <row r="7" spans="1:31" ht="38.25" customHeight="1">
      <c r="A7" s="157"/>
      <c r="B7" s="44"/>
      <c r="C7" s="349"/>
      <c r="D7" s="2"/>
      <c r="E7" s="537"/>
      <c r="F7" s="2"/>
      <c r="G7" s="2"/>
      <c r="H7" s="2"/>
      <c r="I7" s="152"/>
      <c r="J7" s="152"/>
      <c r="K7" s="2"/>
      <c r="L7" s="2"/>
      <c r="M7" s="160"/>
      <c r="N7" s="61"/>
      <c r="O7" s="61"/>
      <c r="P7" s="61"/>
      <c r="Q7" s="61"/>
      <c r="R7" s="61"/>
      <c r="S7" s="61"/>
      <c r="T7" s="403"/>
      <c r="U7" s="236"/>
      <c r="AA7" s="121" t="s">
        <v>21</v>
      </c>
      <c r="AB7" s="121">
        <f>AB5+AB6</f>
        <v>0</v>
      </c>
      <c r="AC7" s="121">
        <f>AC5+AC6</f>
        <v>0</v>
      </c>
      <c r="AD7" s="121">
        <f>AD5+AD6</f>
        <v>0</v>
      </c>
      <c r="AE7" s="121">
        <f>AE5+AE6</f>
        <v>0</v>
      </c>
    </row>
    <row r="8" spans="1:31" ht="34.5" customHeight="1">
      <c r="A8" s="157"/>
      <c r="B8" s="44"/>
      <c r="C8" s="349"/>
      <c r="D8" s="2"/>
      <c r="E8" s="537"/>
      <c r="F8" s="2"/>
      <c r="G8" s="2"/>
      <c r="H8" s="2"/>
      <c r="I8" s="152"/>
      <c r="J8" s="152"/>
      <c r="K8" s="2"/>
      <c r="L8" s="2"/>
      <c r="M8" s="160"/>
      <c r="N8" s="32"/>
      <c r="O8" s="32"/>
      <c r="P8" s="32"/>
      <c r="Q8" s="32"/>
      <c r="R8" s="32"/>
      <c r="S8" s="32"/>
      <c r="T8" s="101"/>
      <c r="U8" s="235"/>
      <c r="AB8" s="138" t="e">
        <f>+AB7/$AE$7</f>
        <v>#DIV/0!</v>
      </c>
      <c r="AC8" s="138" t="e">
        <f t="shared" ref="AC8:AD8" si="0">+AC7/$AE$7</f>
        <v>#DIV/0!</v>
      </c>
      <c r="AD8" s="138" t="e">
        <f t="shared" si="0"/>
        <v>#DIV/0!</v>
      </c>
    </row>
    <row r="9" spans="1:31" ht="34.5" customHeight="1">
      <c r="A9" s="157"/>
      <c r="B9" s="44"/>
      <c r="C9" s="349"/>
      <c r="D9" s="2"/>
      <c r="E9" s="537"/>
      <c r="F9" s="2"/>
      <c r="G9" s="2"/>
      <c r="H9" s="2"/>
      <c r="I9" s="152"/>
      <c r="J9" s="152"/>
      <c r="K9" s="2"/>
      <c r="L9" s="2"/>
      <c r="M9" s="160"/>
      <c r="N9" s="537"/>
      <c r="O9" s="537"/>
      <c r="P9" s="8"/>
      <c r="Q9" s="2"/>
      <c r="R9" s="537"/>
      <c r="S9" s="537"/>
      <c r="T9" s="2"/>
      <c r="U9" s="233"/>
    </row>
    <row r="10" spans="1:31" ht="26.25" customHeight="1">
      <c r="T10" s="404" t="s">
        <v>198</v>
      </c>
      <c r="U10" s="237">
        <v>23270</v>
      </c>
    </row>
    <row r="11" spans="1:31" ht="30" customHeight="1">
      <c r="A11" s="1011" t="s">
        <v>0</v>
      </c>
      <c r="B11" s="1013" t="s">
        <v>1</v>
      </c>
      <c r="C11" s="1015" t="s">
        <v>13</v>
      </c>
      <c r="D11" s="1013" t="s">
        <v>14</v>
      </c>
      <c r="E11" s="1013" t="s">
        <v>37</v>
      </c>
      <c r="F11" s="365" t="s">
        <v>9</v>
      </c>
      <c r="G11" s="366"/>
      <c r="H11" s="366"/>
      <c r="I11" s="366"/>
      <c r="J11" s="366"/>
      <c r="K11" s="366"/>
      <c r="L11" s="366"/>
      <c r="M11" s="367"/>
      <c r="N11" s="1017" t="s">
        <v>5</v>
      </c>
      <c r="O11" s="155" t="s">
        <v>205</v>
      </c>
      <c r="P11" s="1032" t="s">
        <v>10</v>
      </c>
      <c r="Q11" s="1033"/>
      <c r="R11" s="1034" t="s">
        <v>203</v>
      </c>
      <c r="S11" s="1013" t="s">
        <v>2</v>
      </c>
      <c r="T11" s="1019" t="s">
        <v>35</v>
      </c>
      <c r="U11" s="546" t="s">
        <v>190</v>
      </c>
      <c r="V11" s="542" t="s">
        <v>184</v>
      </c>
      <c r="X11" s="1021" t="s">
        <v>206</v>
      </c>
    </row>
    <row r="12" spans="1:31" ht="23.25" customHeight="1">
      <c r="A12" s="1012"/>
      <c r="B12" s="1014"/>
      <c r="C12" s="1016"/>
      <c r="D12" s="1014"/>
      <c r="E12" s="1014"/>
      <c r="F12" s="151" t="s">
        <v>15</v>
      </c>
      <c r="G12" s="151" t="s">
        <v>16</v>
      </c>
      <c r="H12" s="151" t="s">
        <v>193</v>
      </c>
      <c r="I12" s="154" t="s">
        <v>195</v>
      </c>
      <c r="J12" s="268" t="s">
        <v>194</v>
      </c>
      <c r="K12" s="151" t="s">
        <v>195</v>
      </c>
      <c r="L12" s="151" t="s">
        <v>21</v>
      </c>
      <c r="M12" s="161" t="s">
        <v>34</v>
      </c>
      <c r="N12" s="1018"/>
      <c r="O12" s="158"/>
      <c r="P12" s="538" t="s">
        <v>17</v>
      </c>
      <c r="Q12" s="539" t="s">
        <v>3</v>
      </c>
      <c r="R12" s="1013"/>
      <c r="S12" s="1014"/>
      <c r="T12" s="1020"/>
      <c r="U12" s="452"/>
      <c r="V12" s="541"/>
      <c r="X12" s="1022"/>
    </row>
    <row r="13" spans="1:31" s="9" customFormat="1" ht="15.75">
      <c r="A13" s="338">
        <v>57</v>
      </c>
      <c r="B13" s="296" t="s">
        <v>617</v>
      </c>
      <c r="C13" s="551">
        <v>44075</v>
      </c>
      <c r="D13" s="297" t="s">
        <v>24</v>
      </c>
      <c r="E13" s="543" t="s">
        <v>618</v>
      </c>
      <c r="F13" s="19" t="s">
        <v>455</v>
      </c>
      <c r="G13" s="19" t="s">
        <v>416</v>
      </c>
      <c r="H13" s="279">
        <v>2</v>
      </c>
      <c r="I13" s="175" t="s">
        <v>207</v>
      </c>
      <c r="J13" s="318">
        <v>9</v>
      </c>
      <c r="K13" s="185" t="s">
        <v>197</v>
      </c>
      <c r="L13" s="165">
        <f>J13*H13</f>
        <v>18</v>
      </c>
      <c r="M13" s="1052">
        <v>18.420000000000002</v>
      </c>
      <c r="N13" s="551">
        <v>44075</v>
      </c>
      <c r="O13" s="197" t="s">
        <v>219</v>
      </c>
      <c r="P13" s="176" t="s">
        <v>621</v>
      </c>
      <c r="Q13" s="552" t="s">
        <v>20</v>
      </c>
      <c r="R13" s="197" t="s">
        <v>4</v>
      </c>
      <c r="S13" s="341" t="s">
        <v>178</v>
      </c>
      <c r="T13" s="197" t="s">
        <v>178</v>
      </c>
      <c r="U13" s="1048">
        <v>4287497.5</v>
      </c>
      <c r="V13" s="341"/>
      <c r="W13"/>
      <c r="X13" s="239">
        <f>L13/1000</f>
        <v>1.7999999999999999E-2</v>
      </c>
      <c r="Y13"/>
      <c r="Z13"/>
      <c r="AA13"/>
      <c r="AB13"/>
      <c r="AC13"/>
      <c r="AD13"/>
      <c r="AE13"/>
    </row>
    <row r="14" spans="1:31" s="9" customFormat="1" ht="15.75">
      <c r="A14" s="340">
        <v>57</v>
      </c>
      <c r="B14" s="214" t="s">
        <v>617</v>
      </c>
      <c r="C14" s="553">
        <v>44075</v>
      </c>
      <c r="D14" s="309" t="s">
        <v>24</v>
      </c>
      <c r="E14" s="545" t="s">
        <v>618</v>
      </c>
      <c r="F14" s="22" t="s">
        <v>619</v>
      </c>
      <c r="G14" s="22" t="s">
        <v>620</v>
      </c>
      <c r="H14" s="209">
        <v>39</v>
      </c>
      <c r="I14" s="179" t="s">
        <v>207</v>
      </c>
      <c r="J14" s="321">
        <v>1.28</v>
      </c>
      <c r="K14" s="195" t="s">
        <v>197</v>
      </c>
      <c r="L14" s="170">
        <f>J14*H14</f>
        <v>49.92</v>
      </c>
      <c r="M14" s="1054"/>
      <c r="N14" s="553">
        <v>44075</v>
      </c>
      <c r="O14" s="201" t="s">
        <v>219</v>
      </c>
      <c r="P14" s="180" t="s">
        <v>621</v>
      </c>
      <c r="Q14" s="311" t="s">
        <v>20</v>
      </c>
      <c r="R14" s="201" t="s">
        <v>4</v>
      </c>
      <c r="S14" s="181" t="s">
        <v>178</v>
      </c>
      <c r="T14" s="201" t="s">
        <v>178</v>
      </c>
      <c r="U14" s="1049"/>
      <c r="V14" s="181"/>
      <c r="W14"/>
      <c r="X14" s="239">
        <f t="shared" ref="X14:X77" si="1">L14/1000</f>
        <v>4.9919999999999999E-2</v>
      </c>
      <c r="Y14"/>
      <c r="Z14"/>
      <c r="AA14"/>
      <c r="AB14"/>
      <c r="AC14"/>
      <c r="AD14"/>
      <c r="AE14"/>
    </row>
    <row r="15" spans="1:31" s="9" customFormat="1" ht="15.75">
      <c r="A15" s="338">
        <v>58</v>
      </c>
      <c r="B15" s="554" t="s">
        <v>622</v>
      </c>
      <c r="C15" s="351">
        <v>44078</v>
      </c>
      <c r="D15" s="297" t="s">
        <v>24</v>
      </c>
      <c r="E15" s="543" t="s">
        <v>623</v>
      </c>
      <c r="F15" s="19" t="s">
        <v>624</v>
      </c>
      <c r="G15" s="19" t="s">
        <v>204</v>
      </c>
      <c r="H15" s="279">
        <v>11</v>
      </c>
      <c r="I15" s="175" t="s">
        <v>629</v>
      </c>
      <c r="J15" s="318">
        <v>10</v>
      </c>
      <c r="K15" s="185" t="s">
        <v>197</v>
      </c>
      <c r="L15" s="165">
        <f t="shared" ref="L15:L78" si="2">J15*H15</f>
        <v>110</v>
      </c>
      <c r="M15" s="1052">
        <v>55.5</v>
      </c>
      <c r="N15" s="351">
        <v>44078</v>
      </c>
      <c r="O15" s="197" t="s">
        <v>219</v>
      </c>
      <c r="P15" s="52" t="s">
        <v>630</v>
      </c>
      <c r="Q15" s="552" t="s">
        <v>20</v>
      </c>
      <c r="R15" s="197" t="s">
        <v>4</v>
      </c>
      <c r="S15" s="341" t="s">
        <v>178</v>
      </c>
      <c r="T15" s="197" t="s">
        <v>178</v>
      </c>
      <c r="U15" s="1048">
        <v>11220095.9</v>
      </c>
      <c r="V15" s="341"/>
      <c r="W15"/>
      <c r="X15" s="239">
        <f t="shared" si="1"/>
        <v>0.11</v>
      </c>
      <c r="Y15"/>
      <c r="Z15"/>
      <c r="AA15"/>
      <c r="AB15"/>
      <c r="AC15"/>
      <c r="AD15"/>
      <c r="AE15"/>
    </row>
    <row r="16" spans="1:31" s="9" customFormat="1" ht="15.75">
      <c r="A16" s="339">
        <v>58</v>
      </c>
      <c r="B16" s="327" t="s">
        <v>622</v>
      </c>
      <c r="C16" s="352">
        <v>44078</v>
      </c>
      <c r="D16" s="295" t="s">
        <v>24</v>
      </c>
      <c r="E16" s="544" t="s">
        <v>623</v>
      </c>
      <c r="F16" s="21" t="s">
        <v>625</v>
      </c>
      <c r="G16" s="21" t="s">
        <v>204</v>
      </c>
      <c r="H16" s="207">
        <v>5</v>
      </c>
      <c r="I16" s="177" t="s">
        <v>629</v>
      </c>
      <c r="J16" s="320">
        <v>6</v>
      </c>
      <c r="K16" s="189" t="s">
        <v>197</v>
      </c>
      <c r="L16" s="167">
        <f t="shared" si="2"/>
        <v>30</v>
      </c>
      <c r="M16" s="1053"/>
      <c r="N16" s="352">
        <v>44078</v>
      </c>
      <c r="O16" s="198" t="s">
        <v>219</v>
      </c>
      <c r="P16" s="53" t="s">
        <v>630</v>
      </c>
      <c r="Q16" s="230" t="s">
        <v>20</v>
      </c>
      <c r="R16" s="198" t="s">
        <v>4</v>
      </c>
      <c r="S16" s="342" t="s">
        <v>178</v>
      </c>
      <c r="T16" s="198" t="s">
        <v>178</v>
      </c>
      <c r="U16" s="1050"/>
      <c r="V16" s="342"/>
      <c r="W16"/>
      <c r="X16" s="239">
        <f t="shared" si="1"/>
        <v>0.03</v>
      </c>
      <c r="Y16"/>
      <c r="Z16"/>
      <c r="AA16"/>
      <c r="AB16"/>
      <c r="AC16"/>
      <c r="AD16"/>
      <c r="AE16"/>
    </row>
    <row r="17" spans="1:31" s="9" customFormat="1" ht="15.75">
      <c r="A17" s="339">
        <v>58</v>
      </c>
      <c r="B17" s="327" t="s">
        <v>622</v>
      </c>
      <c r="C17" s="352">
        <v>44078</v>
      </c>
      <c r="D17" s="295" t="s">
        <v>24</v>
      </c>
      <c r="E17" s="544" t="s">
        <v>623</v>
      </c>
      <c r="F17" s="21" t="s">
        <v>624</v>
      </c>
      <c r="G17" s="21" t="s">
        <v>204</v>
      </c>
      <c r="H17" s="207">
        <v>15</v>
      </c>
      <c r="I17" s="177" t="s">
        <v>629</v>
      </c>
      <c r="J17" s="320">
        <v>10</v>
      </c>
      <c r="K17" s="189" t="s">
        <v>197</v>
      </c>
      <c r="L17" s="167">
        <f t="shared" si="2"/>
        <v>150</v>
      </c>
      <c r="M17" s="1053"/>
      <c r="N17" s="352">
        <v>44078</v>
      </c>
      <c r="O17" s="198" t="s">
        <v>219</v>
      </c>
      <c r="P17" s="53" t="s">
        <v>630</v>
      </c>
      <c r="Q17" s="230" t="s">
        <v>20</v>
      </c>
      <c r="R17" s="198" t="s">
        <v>4</v>
      </c>
      <c r="S17" s="342" t="s">
        <v>178</v>
      </c>
      <c r="T17" s="198" t="s">
        <v>178</v>
      </c>
      <c r="U17" s="1050"/>
      <c r="V17" s="342"/>
      <c r="W17"/>
      <c r="X17" s="239">
        <f t="shared" si="1"/>
        <v>0.15</v>
      </c>
      <c r="Y17"/>
      <c r="Z17"/>
      <c r="AA17"/>
      <c r="AB17"/>
      <c r="AC17"/>
      <c r="AD17"/>
      <c r="AE17"/>
    </row>
    <row r="18" spans="1:31" s="9" customFormat="1" ht="15.75">
      <c r="A18" s="339">
        <v>58</v>
      </c>
      <c r="B18" s="327" t="s">
        <v>622</v>
      </c>
      <c r="C18" s="352">
        <v>44078</v>
      </c>
      <c r="D18" s="295" t="s">
        <v>24</v>
      </c>
      <c r="E18" s="544" t="s">
        <v>623</v>
      </c>
      <c r="F18" s="21" t="s">
        <v>626</v>
      </c>
      <c r="G18" s="21" t="s">
        <v>416</v>
      </c>
      <c r="H18" s="207">
        <v>5</v>
      </c>
      <c r="I18" s="177" t="s">
        <v>629</v>
      </c>
      <c r="J18" s="320">
        <v>7</v>
      </c>
      <c r="K18" s="189" t="s">
        <v>197</v>
      </c>
      <c r="L18" s="167">
        <f t="shared" si="2"/>
        <v>35</v>
      </c>
      <c r="M18" s="1053"/>
      <c r="N18" s="352">
        <v>44078</v>
      </c>
      <c r="O18" s="198" t="s">
        <v>219</v>
      </c>
      <c r="P18" s="53" t="s">
        <v>630</v>
      </c>
      <c r="Q18" s="230" t="s">
        <v>20</v>
      </c>
      <c r="R18" s="198" t="s">
        <v>4</v>
      </c>
      <c r="S18" s="342" t="s">
        <v>178</v>
      </c>
      <c r="T18" s="198" t="s">
        <v>178</v>
      </c>
      <c r="U18" s="1050"/>
      <c r="V18" s="342"/>
      <c r="W18"/>
      <c r="X18" s="239">
        <f t="shared" si="1"/>
        <v>3.5000000000000003E-2</v>
      </c>
      <c r="Y18"/>
      <c r="Z18"/>
      <c r="AA18"/>
      <c r="AB18"/>
      <c r="AC18"/>
      <c r="AD18"/>
      <c r="AE18"/>
    </row>
    <row r="19" spans="1:31" s="9" customFormat="1" ht="15.75">
      <c r="A19" s="339">
        <v>58</v>
      </c>
      <c r="B19" s="327" t="s">
        <v>622</v>
      </c>
      <c r="C19" s="352">
        <v>44078</v>
      </c>
      <c r="D19" s="295" t="s">
        <v>24</v>
      </c>
      <c r="E19" s="544" t="s">
        <v>623</v>
      </c>
      <c r="F19" s="21" t="s">
        <v>583</v>
      </c>
      <c r="G19" s="21" t="s">
        <v>192</v>
      </c>
      <c r="H19" s="207">
        <v>2</v>
      </c>
      <c r="I19" s="177" t="s">
        <v>629</v>
      </c>
      <c r="J19" s="320">
        <v>4</v>
      </c>
      <c r="K19" s="189" t="s">
        <v>197</v>
      </c>
      <c r="L19" s="167">
        <f t="shared" si="2"/>
        <v>8</v>
      </c>
      <c r="M19" s="1053"/>
      <c r="N19" s="352">
        <v>44078</v>
      </c>
      <c r="O19" s="198" t="s">
        <v>219</v>
      </c>
      <c r="P19" s="53" t="s">
        <v>630</v>
      </c>
      <c r="Q19" s="230" t="s">
        <v>20</v>
      </c>
      <c r="R19" s="198" t="s">
        <v>4</v>
      </c>
      <c r="S19" s="342" t="s">
        <v>178</v>
      </c>
      <c r="T19" s="198" t="s">
        <v>178</v>
      </c>
      <c r="U19" s="1050"/>
      <c r="V19" s="342"/>
      <c r="W19"/>
      <c r="X19" s="239">
        <f t="shared" si="1"/>
        <v>8.0000000000000002E-3</v>
      </c>
      <c r="Y19"/>
      <c r="Z19"/>
      <c r="AA19"/>
      <c r="AB19"/>
      <c r="AC19"/>
      <c r="AD19"/>
      <c r="AE19"/>
    </row>
    <row r="20" spans="1:31" s="9" customFormat="1" ht="15.75">
      <c r="A20" s="339">
        <v>58</v>
      </c>
      <c r="B20" s="327" t="s">
        <v>622</v>
      </c>
      <c r="C20" s="352">
        <v>44078</v>
      </c>
      <c r="D20" s="295" t="s">
        <v>24</v>
      </c>
      <c r="E20" s="544" t="s">
        <v>623</v>
      </c>
      <c r="F20" s="21" t="s">
        <v>569</v>
      </c>
      <c r="G20" s="21" t="s">
        <v>416</v>
      </c>
      <c r="H20" s="207">
        <v>2</v>
      </c>
      <c r="I20" s="177" t="s">
        <v>629</v>
      </c>
      <c r="J20" s="320">
        <v>9</v>
      </c>
      <c r="K20" s="189" t="s">
        <v>197</v>
      </c>
      <c r="L20" s="167">
        <f t="shared" si="2"/>
        <v>18</v>
      </c>
      <c r="M20" s="1053"/>
      <c r="N20" s="352">
        <v>44078</v>
      </c>
      <c r="O20" s="198" t="s">
        <v>219</v>
      </c>
      <c r="P20" s="53" t="s">
        <v>630</v>
      </c>
      <c r="Q20" s="230" t="s">
        <v>20</v>
      </c>
      <c r="R20" s="198" t="s">
        <v>4</v>
      </c>
      <c r="S20" s="342" t="s">
        <v>178</v>
      </c>
      <c r="T20" s="198" t="s">
        <v>178</v>
      </c>
      <c r="U20" s="1050"/>
      <c r="V20" s="342"/>
      <c r="W20"/>
      <c r="X20" s="239">
        <f t="shared" si="1"/>
        <v>1.7999999999999999E-2</v>
      </c>
      <c r="Y20"/>
      <c r="Z20"/>
      <c r="AA20"/>
      <c r="AB20"/>
      <c r="AC20"/>
      <c r="AD20"/>
      <c r="AE20"/>
    </row>
    <row r="21" spans="1:31" s="9" customFormat="1" ht="15.75">
      <c r="A21" s="339">
        <v>58</v>
      </c>
      <c r="B21" s="327" t="s">
        <v>622</v>
      </c>
      <c r="C21" s="352">
        <v>44078</v>
      </c>
      <c r="D21" s="295" t="s">
        <v>24</v>
      </c>
      <c r="E21" s="544" t="s">
        <v>623</v>
      </c>
      <c r="F21" s="21" t="s">
        <v>584</v>
      </c>
      <c r="G21" s="21" t="s">
        <v>416</v>
      </c>
      <c r="H21" s="207">
        <v>2</v>
      </c>
      <c r="I21" s="177" t="s">
        <v>629</v>
      </c>
      <c r="J21" s="320">
        <v>7</v>
      </c>
      <c r="K21" s="189" t="s">
        <v>197</v>
      </c>
      <c r="L21" s="167">
        <f t="shared" si="2"/>
        <v>14</v>
      </c>
      <c r="M21" s="1053"/>
      <c r="N21" s="352">
        <v>44078</v>
      </c>
      <c r="O21" s="198" t="s">
        <v>219</v>
      </c>
      <c r="P21" s="53" t="s">
        <v>630</v>
      </c>
      <c r="Q21" s="230" t="s">
        <v>20</v>
      </c>
      <c r="R21" s="198" t="s">
        <v>4</v>
      </c>
      <c r="S21" s="342" t="s">
        <v>178</v>
      </c>
      <c r="T21" s="198" t="s">
        <v>178</v>
      </c>
      <c r="U21" s="1050"/>
      <c r="V21" s="342"/>
      <c r="W21"/>
      <c r="X21" s="239">
        <f t="shared" si="1"/>
        <v>1.4E-2</v>
      </c>
      <c r="Y21"/>
      <c r="Z21"/>
      <c r="AA21"/>
      <c r="AB21"/>
      <c r="AC21"/>
      <c r="AD21"/>
      <c r="AE21"/>
    </row>
    <row r="22" spans="1:31" s="327" customFormat="1" ht="15.75">
      <c r="A22" s="339">
        <v>58</v>
      </c>
      <c r="B22" s="327" t="s">
        <v>622</v>
      </c>
      <c r="C22" s="352">
        <v>44078</v>
      </c>
      <c r="D22" s="295" t="s">
        <v>24</v>
      </c>
      <c r="E22" s="544" t="s">
        <v>623</v>
      </c>
      <c r="F22" s="21" t="s">
        <v>627</v>
      </c>
      <c r="G22" s="21" t="s">
        <v>628</v>
      </c>
      <c r="H22" s="207">
        <v>1</v>
      </c>
      <c r="I22" s="177" t="s">
        <v>629</v>
      </c>
      <c r="J22" s="320">
        <v>11</v>
      </c>
      <c r="K22" s="189" t="s">
        <v>197</v>
      </c>
      <c r="L22" s="167">
        <f t="shared" si="2"/>
        <v>11</v>
      </c>
      <c r="M22" s="1053"/>
      <c r="N22" s="352">
        <v>44078</v>
      </c>
      <c r="O22" s="198" t="s">
        <v>219</v>
      </c>
      <c r="P22" s="53" t="s">
        <v>630</v>
      </c>
      <c r="Q22" s="230" t="s">
        <v>20</v>
      </c>
      <c r="R22" s="198" t="s">
        <v>4</v>
      </c>
      <c r="S22" s="342" t="s">
        <v>178</v>
      </c>
      <c r="T22" s="198" t="s">
        <v>178</v>
      </c>
      <c r="U22" s="1050"/>
      <c r="V22" s="342"/>
      <c r="W22" s="230"/>
      <c r="X22" s="239">
        <f t="shared" si="1"/>
        <v>1.0999999999999999E-2</v>
      </c>
      <c r="Y22" s="230"/>
      <c r="Z22" s="230"/>
      <c r="AA22" s="230"/>
      <c r="AB22" s="230"/>
      <c r="AC22" s="230"/>
      <c r="AD22" s="230"/>
      <c r="AE22" s="230"/>
    </row>
    <row r="23" spans="1:31" s="327" customFormat="1" ht="15.75">
      <c r="A23" s="340">
        <v>58</v>
      </c>
      <c r="B23" s="329" t="s">
        <v>622</v>
      </c>
      <c r="C23" s="353">
        <v>44078</v>
      </c>
      <c r="D23" s="309" t="s">
        <v>24</v>
      </c>
      <c r="E23" s="545" t="s">
        <v>623</v>
      </c>
      <c r="F23" s="22" t="s">
        <v>497</v>
      </c>
      <c r="G23" s="22" t="s">
        <v>271</v>
      </c>
      <c r="H23" s="209">
        <v>1</v>
      </c>
      <c r="I23" s="179" t="s">
        <v>629</v>
      </c>
      <c r="J23" s="321">
        <v>15</v>
      </c>
      <c r="K23" s="195" t="s">
        <v>197</v>
      </c>
      <c r="L23" s="170">
        <f t="shared" si="2"/>
        <v>15</v>
      </c>
      <c r="M23" s="1054"/>
      <c r="N23" s="353">
        <v>44078</v>
      </c>
      <c r="O23" s="201" t="s">
        <v>219</v>
      </c>
      <c r="P23" s="54" t="s">
        <v>630</v>
      </c>
      <c r="Q23" s="311" t="s">
        <v>20</v>
      </c>
      <c r="R23" s="201" t="s">
        <v>4</v>
      </c>
      <c r="S23" s="181" t="s">
        <v>178</v>
      </c>
      <c r="T23" s="201" t="s">
        <v>178</v>
      </c>
      <c r="U23" s="1049"/>
      <c r="V23" s="181"/>
      <c r="W23" s="230"/>
      <c r="X23" s="239">
        <f t="shared" si="1"/>
        <v>1.4999999999999999E-2</v>
      </c>
      <c r="Y23" s="230"/>
      <c r="Z23" s="230"/>
      <c r="AA23" s="230"/>
      <c r="AB23" s="230"/>
      <c r="AC23" s="230"/>
      <c r="AD23" s="230"/>
      <c r="AE23" s="230"/>
    </row>
    <row r="24" spans="1:31" s="327" customFormat="1" ht="15.75">
      <c r="A24" s="517">
        <v>59</v>
      </c>
      <c r="B24" s="219" t="s">
        <v>631</v>
      </c>
      <c r="C24" s="518">
        <v>44078</v>
      </c>
      <c r="D24" s="290" t="s">
        <v>24</v>
      </c>
      <c r="E24" s="16" t="s">
        <v>632</v>
      </c>
      <c r="F24" s="4" t="s">
        <v>282</v>
      </c>
      <c r="G24" s="4" t="s">
        <v>180</v>
      </c>
      <c r="H24" s="217">
        <v>8</v>
      </c>
      <c r="I24" s="549" t="s">
        <v>207</v>
      </c>
      <c r="J24" s="550">
        <v>1.5</v>
      </c>
      <c r="K24" s="203" t="s">
        <v>197</v>
      </c>
      <c r="L24" s="159">
        <f t="shared" si="2"/>
        <v>12</v>
      </c>
      <c r="M24" s="536">
        <v>1.07</v>
      </c>
      <c r="N24" s="518">
        <v>44078</v>
      </c>
      <c r="O24" s="204" t="s">
        <v>219</v>
      </c>
      <c r="P24" s="535" t="s">
        <v>633</v>
      </c>
      <c r="Q24" s="555" t="s">
        <v>20</v>
      </c>
      <c r="R24" s="204" t="s">
        <v>7</v>
      </c>
      <c r="S24" s="521" t="s">
        <v>178</v>
      </c>
      <c r="T24" s="204" t="s">
        <v>178</v>
      </c>
      <c r="U24" s="522">
        <v>833996.80000000005</v>
      </c>
      <c r="V24" s="521"/>
      <c r="W24" s="230"/>
      <c r="X24" s="239">
        <f t="shared" si="1"/>
        <v>1.2E-2</v>
      </c>
      <c r="Y24" s="230"/>
      <c r="Z24" s="230"/>
      <c r="AA24" s="230"/>
      <c r="AB24" s="230"/>
      <c r="AC24" s="230"/>
      <c r="AD24" s="230"/>
      <c r="AE24" s="230"/>
    </row>
    <row r="25" spans="1:31" s="327" customFormat="1" ht="15.75">
      <c r="A25" s="339">
        <v>60</v>
      </c>
      <c r="B25" s="211" t="s">
        <v>634</v>
      </c>
      <c r="C25" s="352">
        <v>44082</v>
      </c>
      <c r="D25" s="295" t="s">
        <v>24</v>
      </c>
      <c r="E25" s="544" t="s">
        <v>638</v>
      </c>
      <c r="F25" s="556" t="s">
        <v>525</v>
      </c>
      <c r="G25" s="84" t="s">
        <v>204</v>
      </c>
      <c r="H25" s="427">
        <v>6</v>
      </c>
      <c r="I25" s="515" t="s">
        <v>207</v>
      </c>
      <c r="J25" s="557">
        <v>10</v>
      </c>
      <c r="K25" s="185" t="s">
        <v>197</v>
      </c>
      <c r="L25" s="167">
        <f t="shared" si="2"/>
        <v>60</v>
      </c>
      <c r="M25" s="1052">
        <v>17.57</v>
      </c>
      <c r="N25" s="352">
        <v>44082</v>
      </c>
      <c r="O25" s="197" t="s">
        <v>219</v>
      </c>
      <c r="P25" s="53" t="s">
        <v>639</v>
      </c>
      <c r="Q25" s="552" t="s">
        <v>20</v>
      </c>
      <c r="R25" s="197" t="s">
        <v>4</v>
      </c>
      <c r="S25" s="341" t="s">
        <v>178</v>
      </c>
      <c r="T25" s="197" t="s">
        <v>178</v>
      </c>
      <c r="U25" s="1048">
        <v>4212102.7</v>
      </c>
      <c r="V25" s="342"/>
      <c r="W25" s="230"/>
      <c r="X25" s="239">
        <f t="shared" si="1"/>
        <v>0.06</v>
      </c>
      <c r="Y25" s="230"/>
      <c r="Z25" s="230"/>
      <c r="AA25" s="230"/>
      <c r="AB25" s="230"/>
      <c r="AC25" s="230"/>
      <c r="AD25" s="230"/>
      <c r="AE25" s="230"/>
    </row>
    <row r="26" spans="1:31" s="327" customFormat="1" ht="15.75">
      <c r="A26" s="339">
        <v>60</v>
      </c>
      <c r="B26" s="211" t="s">
        <v>634</v>
      </c>
      <c r="C26" s="352">
        <v>44082</v>
      </c>
      <c r="D26" s="295" t="s">
        <v>24</v>
      </c>
      <c r="E26" s="547" t="s">
        <v>638</v>
      </c>
      <c r="F26" s="556" t="s">
        <v>635</v>
      </c>
      <c r="G26" s="84" t="s">
        <v>637</v>
      </c>
      <c r="H26" s="427">
        <v>3</v>
      </c>
      <c r="I26" s="515" t="s">
        <v>207</v>
      </c>
      <c r="J26" s="557">
        <v>4</v>
      </c>
      <c r="K26" s="189" t="s">
        <v>197</v>
      </c>
      <c r="L26" s="167">
        <f t="shared" si="2"/>
        <v>12</v>
      </c>
      <c r="M26" s="1053"/>
      <c r="N26" s="352">
        <v>44082</v>
      </c>
      <c r="O26" s="198" t="s">
        <v>219</v>
      </c>
      <c r="P26" s="53" t="s">
        <v>639</v>
      </c>
      <c r="Q26" s="230" t="s">
        <v>20</v>
      </c>
      <c r="R26" s="198" t="s">
        <v>4</v>
      </c>
      <c r="S26" s="342" t="s">
        <v>178</v>
      </c>
      <c r="T26" s="198" t="s">
        <v>178</v>
      </c>
      <c r="U26" s="1050"/>
      <c r="V26" s="342"/>
      <c r="W26" s="230"/>
      <c r="X26" s="239">
        <f t="shared" si="1"/>
        <v>1.2E-2</v>
      </c>
      <c r="Y26" s="230"/>
      <c r="Z26" s="230"/>
      <c r="AA26" s="230"/>
      <c r="AB26" s="230"/>
      <c r="AC26" s="230"/>
      <c r="AD26" s="230"/>
      <c r="AE26" s="230"/>
    </row>
    <row r="27" spans="1:31" s="327" customFormat="1" ht="15.75">
      <c r="A27" s="339">
        <v>60</v>
      </c>
      <c r="B27" s="211" t="s">
        <v>634</v>
      </c>
      <c r="C27" s="352">
        <v>44082</v>
      </c>
      <c r="D27" s="295" t="s">
        <v>24</v>
      </c>
      <c r="E27" s="547" t="s">
        <v>638</v>
      </c>
      <c r="F27" s="556" t="s">
        <v>636</v>
      </c>
      <c r="G27" s="84" t="s">
        <v>156</v>
      </c>
      <c r="H27" s="427">
        <v>1</v>
      </c>
      <c r="I27" s="515" t="s">
        <v>207</v>
      </c>
      <c r="J27" s="557">
        <v>7</v>
      </c>
      <c r="K27" s="189" t="s">
        <v>197</v>
      </c>
      <c r="L27" s="167">
        <f t="shared" si="2"/>
        <v>7</v>
      </c>
      <c r="M27" s="1053"/>
      <c r="N27" s="352">
        <v>44082</v>
      </c>
      <c r="O27" s="198" t="s">
        <v>219</v>
      </c>
      <c r="P27" s="53" t="s">
        <v>639</v>
      </c>
      <c r="Q27" s="230" t="s">
        <v>20</v>
      </c>
      <c r="R27" s="198" t="s">
        <v>4</v>
      </c>
      <c r="S27" s="342" t="s">
        <v>178</v>
      </c>
      <c r="T27" s="198" t="s">
        <v>178</v>
      </c>
      <c r="U27" s="1050"/>
      <c r="V27" s="342"/>
      <c r="W27" s="230"/>
      <c r="X27" s="239">
        <f t="shared" si="1"/>
        <v>7.0000000000000001E-3</v>
      </c>
      <c r="Y27" s="230"/>
      <c r="Z27" s="230"/>
      <c r="AA27" s="230"/>
      <c r="AB27" s="230"/>
      <c r="AC27" s="230"/>
      <c r="AD27" s="230"/>
      <c r="AE27" s="230"/>
    </row>
    <row r="28" spans="1:31" s="327" customFormat="1" ht="15.75">
      <c r="A28" s="339">
        <v>60</v>
      </c>
      <c r="B28" s="211" t="s">
        <v>634</v>
      </c>
      <c r="C28" s="352">
        <v>44082</v>
      </c>
      <c r="D28" s="295" t="s">
        <v>24</v>
      </c>
      <c r="E28" s="547" t="s">
        <v>638</v>
      </c>
      <c r="F28" s="454" t="s">
        <v>220</v>
      </c>
      <c r="G28" s="558" t="s">
        <v>156</v>
      </c>
      <c r="H28" s="164">
        <v>1</v>
      </c>
      <c r="I28" s="455" t="s">
        <v>207</v>
      </c>
      <c r="J28" s="559">
        <v>5</v>
      </c>
      <c r="K28" s="189" t="s">
        <v>197</v>
      </c>
      <c r="L28" s="167">
        <f t="shared" si="2"/>
        <v>5</v>
      </c>
      <c r="M28" s="1053"/>
      <c r="N28" s="352">
        <v>44082</v>
      </c>
      <c r="O28" s="198" t="s">
        <v>219</v>
      </c>
      <c r="P28" s="53" t="s">
        <v>639</v>
      </c>
      <c r="Q28" s="230" t="s">
        <v>20</v>
      </c>
      <c r="R28" s="198" t="s">
        <v>4</v>
      </c>
      <c r="S28" s="342" t="s">
        <v>178</v>
      </c>
      <c r="T28" s="198" t="s">
        <v>178</v>
      </c>
      <c r="U28" s="1050"/>
      <c r="V28" s="342"/>
      <c r="W28" s="230"/>
      <c r="X28" s="239">
        <f t="shared" si="1"/>
        <v>5.0000000000000001E-3</v>
      </c>
      <c r="Y28" s="230"/>
      <c r="Z28" s="230"/>
      <c r="AA28" s="230"/>
      <c r="AB28" s="230"/>
      <c r="AC28" s="230"/>
      <c r="AD28" s="230"/>
      <c r="AE28" s="230"/>
    </row>
    <row r="29" spans="1:31" s="327" customFormat="1" ht="15.75">
      <c r="A29" s="560">
        <v>61</v>
      </c>
      <c r="B29" s="561" t="s">
        <v>640</v>
      </c>
      <c r="C29" s="562">
        <v>44085</v>
      </c>
      <c r="D29" s="563" t="s">
        <v>24</v>
      </c>
      <c r="E29" s="564" t="s">
        <v>648</v>
      </c>
      <c r="F29" s="565" t="s">
        <v>641</v>
      </c>
      <c r="G29" s="566" t="s">
        <v>156</v>
      </c>
      <c r="H29" s="567">
        <v>1</v>
      </c>
      <c r="I29" s="568" t="s">
        <v>207</v>
      </c>
      <c r="J29" s="569">
        <v>5</v>
      </c>
      <c r="K29" s="570" t="s">
        <v>197</v>
      </c>
      <c r="L29" s="571">
        <f t="shared" si="2"/>
        <v>5</v>
      </c>
      <c r="M29" s="1061">
        <v>18.09</v>
      </c>
      <c r="N29" s="562">
        <v>44085</v>
      </c>
      <c r="O29" s="197" t="s">
        <v>219</v>
      </c>
      <c r="P29" s="598">
        <v>310515779340</v>
      </c>
      <c r="Q29" s="552" t="s">
        <v>20</v>
      </c>
      <c r="R29" s="197" t="s">
        <v>4</v>
      </c>
      <c r="S29" s="341" t="s">
        <v>178</v>
      </c>
      <c r="T29" s="341" t="s">
        <v>178</v>
      </c>
      <c r="U29" s="1048">
        <v>4541140.5</v>
      </c>
      <c r="V29" s="572"/>
      <c r="W29" s="230"/>
      <c r="X29" s="239">
        <f t="shared" si="1"/>
        <v>5.0000000000000001E-3</v>
      </c>
      <c r="Y29" s="230"/>
      <c r="Z29" s="230"/>
      <c r="AA29" s="230"/>
      <c r="AB29" s="230"/>
      <c r="AC29" s="230"/>
      <c r="AD29" s="230"/>
      <c r="AE29" s="230"/>
    </row>
    <row r="30" spans="1:31" s="327" customFormat="1" ht="15.75">
      <c r="A30" s="573">
        <v>61</v>
      </c>
      <c r="B30" s="574" t="s">
        <v>640</v>
      </c>
      <c r="C30" s="575">
        <v>44085</v>
      </c>
      <c r="D30" s="576" t="s">
        <v>24</v>
      </c>
      <c r="E30" s="577" t="s">
        <v>648</v>
      </c>
      <c r="F30" s="578" t="s">
        <v>642</v>
      </c>
      <c r="G30" s="579" t="s">
        <v>156</v>
      </c>
      <c r="H30" s="580">
        <v>4</v>
      </c>
      <c r="I30" s="581" t="s">
        <v>207</v>
      </c>
      <c r="J30" s="582">
        <v>2</v>
      </c>
      <c r="K30" s="583" t="s">
        <v>197</v>
      </c>
      <c r="L30" s="584">
        <f t="shared" si="2"/>
        <v>8</v>
      </c>
      <c r="M30" s="1062"/>
      <c r="N30" s="575">
        <v>44085</v>
      </c>
      <c r="O30" s="198" t="s">
        <v>219</v>
      </c>
      <c r="P30" s="598">
        <v>310515779340</v>
      </c>
      <c r="Q30" s="230" t="s">
        <v>20</v>
      </c>
      <c r="R30" s="197" t="s">
        <v>4</v>
      </c>
      <c r="S30" s="341" t="s">
        <v>178</v>
      </c>
      <c r="T30" s="341" t="s">
        <v>178</v>
      </c>
      <c r="U30" s="1050"/>
      <c r="V30" s="585"/>
      <c r="W30" s="230"/>
      <c r="X30" s="239">
        <f t="shared" si="1"/>
        <v>8.0000000000000002E-3</v>
      </c>
      <c r="Y30" s="230"/>
      <c r="Z30" s="230"/>
      <c r="AA30" s="230"/>
      <c r="AB30" s="230"/>
      <c r="AC30" s="230"/>
      <c r="AD30" s="230"/>
      <c r="AE30" s="230"/>
    </row>
    <row r="31" spans="1:31" s="9" customFormat="1" ht="15.75">
      <c r="A31" s="573">
        <v>61</v>
      </c>
      <c r="B31" s="574" t="s">
        <v>640</v>
      </c>
      <c r="C31" s="575">
        <v>44085</v>
      </c>
      <c r="D31" s="576" t="s">
        <v>24</v>
      </c>
      <c r="E31" s="577" t="s">
        <v>648</v>
      </c>
      <c r="F31" s="578" t="s">
        <v>636</v>
      </c>
      <c r="G31" s="579" t="s">
        <v>156</v>
      </c>
      <c r="H31" s="580">
        <v>1</v>
      </c>
      <c r="I31" s="581" t="s">
        <v>207</v>
      </c>
      <c r="J31" s="582">
        <v>7</v>
      </c>
      <c r="K31" s="583" t="s">
        <v>197</v>
      </c>
      <c r="L31" s="584">
        <f t="shared" si="2"/>
        <v>7</v>
      </c>
      <c r="M31" s="1062"/>
      <c r="N31" s="575">
        <v>44085</v>
      </c>
      <c r="O31" s="198" t="s">
        <v>219</v>
      </c>
      <c r="P31" s="598">
        <v>310515779340</v>
      </c>
      <c r="Q31" s="230" t="s">
        <v>20</v>
      </c>
      <c r="R31" s="197" t="s">
        <v>4</v>
      </c>
      <c r="S31" s="341" t="s">
        <v>178</v>
      </c>
      <c r="T31" s="341" t="s">
        <v>178</v>
      </c>
      <c r="U31" s="1050"/>
      <c r="V31" s="585"/>
      <c r="W31"/>
      <c r="X31" s="239">
        <f t="shared" si="1"/>
        <v>7.0000000000000001E-3</v>
      </c>
      <c r="Y31"/>
      <c r="Z31"/>
      <c r="AA31"/>
      <c r="AB31"/>
      <c r="AC31"/>
      <c r="AD31"/>
      <c r="AE31"/>
    </row>
    <row r="32" spans="1:31" s="9" customFormat="1" ht="15.75">
      <c r="A32" s="573">
        <v>61</v>
      </c>
      <c r="B32" s="574" t="s">
        <v>640</v>
      </c>
      <c r="C32" s="575">
        <v>44085</v>
      </c>
      <c r="D32" s="576" t="s">
        <v>24</v>
      </c>
      <c r="E32" s="577" t="s">
        <v>648</v>
      </c>
      <c r="F32" s="578" t="s">
        <v>643</v>
      </c>
      <c r="G32" s="579" t="s">
        <v>156</v>
      </c>
      <c r="H32" s="580">
        <v>9</v>
      </c>
      <c r="I32" s="581" t="s">
        <v>207</v>
      </c>
      <c r="J32" s="582">
        <v>3</v>
      </c>
      <c r="K32" s="583" t="s">
        <v>197</v>
      </c>
      <c r="L32" s="584">
        <f t="shared" si="2"/>
        <v>27</v>
      </c>
      <c r="M32" s="1062"/>
      <c r="N32" s="575">
        <v>44085</v>
      </c>
      <c r="O32" s="198" t="s">
        <v>219</v>
      </c>
      <c r="P32" s="598">
        <v>310515779340</v>
      </c>
      <c r="Q32" s="230" t="s">
        <v>20</v>
      </c>
      <c r="R32" s="197" t="s">
        <v>4</v>
      </c>
      <c r="S32" s="341" t="s">
        <v>178</v>
      </c>
      <c r="T32" s="341" t="s">
        <v>178</v>
      </c>
      <c r="U32" s="1050"/>
      <c r="V32" s="585"/>
      <c r="W32"/>
      <c r="X32" s="239">
        <f t="shared" si="1"/>
        <v>2.7E-2</v>
      </c>
      <c r="Y32"/>
      <c r="Z32"/>
      <c r="AA32"/>
      <c r="AB32"/>
      <c r="AC32"/>
      <c r="AD32"/>
      <c r="AE32"/>
    </row>
    <row r="33" spans="1:31" s="9" customFormat="1" ht="15.75">
      <c r="A33" s="573">
        <v>61</v>
      </c>
      <c r="B33" s="574" t="s">
        <v>640</v>
      </c>
      <c r="C33" s="575">
        <v>44085</v>
      </c>
      <c r="D33" s="576" t="s">
        <v>24</v>
      </c>
      <c r="E33" s="577" t="s">
        <v>648</v>
      </c>
      <c r="F33" s="578" t="s">
        <v>644</v>
      </c>
      <c r="G33" s="579" t="s">
        <v>351</v>
      </c>
      <c r="H33" s="580">
        <v>3</v>
      </c>
      <c r="I33" s="581" t="s">
        <v>207</v>
      </c>
      <c r="J33" s="582">
        <v>9</v>
      </c>
      <c r="K33" s="583" t="s">
        <v>197</v>
      </c>
      <c r="L33" s="584">
        <f t="shared" si="2"/>
        <v>27</v>
      </c>
      <c r="M33" s="1062"/>
      <c r="N33" s="575">
        <v>44085</v>
      </c>
      <c r="O33" s="198" t="s">
        <v>219</v>
      </c>
      <c r="P33" s="598">
        <v>310515779340</v>
      </c>
      <c r="Q33" s="230" t="s">
        <v>20</v>
      </c>
      <c r="R33" s="197" t="s">
        <v>4</v>
      </c>
      <c r="S33" s="341" t="s">
        <v>178</v>
      </c>
      <c r="T33" s="341" t="s">
        <v>178</v>
      </c>
      <c r="U33" s="1050"/>
      <c r="V33" s="585"/>
      <c r="W33"/>
      <c r="X33" s="239">
        <f t="shared" si="1"/>
        <v>2.7E-2</v>
      </c>
      <c r="Y33"/>
      <c r="Z33"/>
      <c r="AA33"/>
      <c r="AB33"/>
      <c r="AC33"/>
      <c r="AD33"/>
      <c r="AE33"/>
    </row>
    <row r="34" spans="1:31" ht="15.75">
      <c r="A34" s="573">
        <v>61</v>
      </c>
      <c r="B34" s="574" t="s">
        <v>640</v>
      </c>
      <c r="C34" s="575">
        <v>44085</v>
      </c>
      <c r="D34" s="576" t="s">
        <v>24</v>
      </c>
      <c r="E34" s="577" t="s">
        <v>648</v>
      </c>
      <c r="F34" s="578" t="s">
        <v>645</v>
      </c>
      <c r="G34" s="579" t="s">
        <v>156</v>
      </c>
      <c r="H34" s="580">
        <v>10</v>
      </c>
      <c r="I34" s="581" t="s">
        <v>207</v>
      </c>
      <c r="J34" s="582">
        <v>2.5</v>
      </c>
      <c r="K34" s="583" t="s">
        <v>197</v>
      </c>
      <c r="L34" s="584">
        <f t="shared" si="2"/>
        <v>25</v>
      </c>
      <c r="M34" s="1062"/>
      <c r="N34" s="575">
        <v>44085</v>
      </c>
      <c r="O34" s="198" t="s">
        <v>219</v>
      </c>
      <c r="P34" s="598">
        <v>310515779340</v>
      </c>
      <c r="Q34" s="230" t="s">
        <v>20</v>
      </c>
      <c r="R34" s="197" t="s">
        <v>4</v>
      </c>
      <c r="S34" s="341" t="s">
        <v>178</v>
      </c>
      <c r="T34" s="341" t="s">
        <v>178</v>
      </c>
      <c r="U34" s="1050"/>
      <c r="V34" s="585"/>
      <c r="X34" s="239">
        <f t="shared" si="1"/>
        <v>2.5000000000000001E-2</v>
      </c>
    </row>
    <row r="35" spans="1:31" ht="15.75">
      <c r="A35" s="602">
        <v>61</v>
      </c>
      <c r="B35" s="603" t="s">
        <v>640</v>
      </c>
      <c r="C35" s="604">
        <v>44085</v>
      </c>
      <c r="D35" s="605" t="s">
        <v>24</v>
      </c>
      <c r="E35" s="606" t="s">
        <v>648</v>
      </c>
      <c r="F35" s="607" t="s">
        <v>646</v>
      </c>
      <c r="G35" s="608" t="s">
        <v>647</v>
      </c>
      <c r="H35" s="609">
        <v>5</v>
      </c>
      <c r="I35" s="610" t="s">
        <v>207</v>
      </c>
      <c r="J35" s="611">
        <v>4</v>
      </c>
      <c r="K35" s="612" t="s">
        <v>197</v>
      </c>
      <c r="L35" s="613">
        <f t="shared" si="2"/>
        <v>20</v>
      </c>
      <c r="M35" s="1063"/>
      <c r="N35" s="604">
        <v>44085</v>
      </c>
      <c r="O35" s="198" t="s">
        <v>219</v>
      </c>
      <c r="P35" s="614">
        <v>310515779340</v>
      </c>
      <c r="Q35" s="230" t="s">
        <v>20</v>
      </c>
      <c r="R35" s="197" t="s">
        <v>4</v>
      </c>
      <c r="S35" s="341" t="s">
        <v>178</v>
      </c>
      <c r="T35" s="341" t="s">
        <v>178</v>
      </c>
      <c r="U35" s="1050"/>
      <c r="V35" s="615"/>
      <c r="X35" s="239">
        <f t="shared" si="1"/>
        <v>0.02</v>
      </c>
    </row>
    <row r="36" spans="1:31" ht="28.5">
      <c r="A36" s="517">
        <v>62</v>
      </c>
      <c r="B36" s="219" t="s">
        <v>649</v>
      </c>
      <c r="C36" s="518">
        <v>44085</v>
      </c>
      <c r="D36" s="290" t="s">
        <v>24</v>
      </c>
      <c r="E36" s="16" t="s">
        <v>651</v>
      </c>
      <c r="F36" s="556" t="s">
        <v>650</v>
      </c>
      <c r="G36" s="84" t="s">
        <v>180</v>
      </c>
      <c r="H36" s="427">
        <v>24</v>
      </c>
      <c r="I36" s="515" t="s">
        <v>207</v>
      </c>
      <c r="J36" s="557">
        <v>1</v>
      </c>
      <c r="K36" s="203" t="s">
        <v>197</v>
      </c>
      <c r="L36" s="159">
        <f t="shared" si="2"/>
        <v>24</v>
      </c>
      <c r="M36" s="536">
        <v>1.57</v>
      </c>
      <c r="N36" s="518">
        <v>44085</v>
      </c>
      <c r="O36" s="204" t="s">
        <v>219</v>
      </c>
      <c r="P36" s="616">
        <v>310515807560</v>
      </c>
      <c r="Q36" s="617" t="s">
        <v>20</v>
      </c>
      <c r="R36" s="204" t="s">
        <v>7</v>
      </c>
      <c r="S36" s="521" t="s">
        <v>178</v>
      </c>
      <c r="T36" s="521" t="s">
        <v>178</v>
      </c>
      <c r="U36" s="618">
        <v>912184</v>
      </c>
      <c r="V36" s="521"/>
      <c r="X36" s="239">
        <f t="shared" si="1"/>
        <v>2.4E-2</v>
      </c>
    </row>
    <row r="37" spans="1:31" ht="28.5">
      <c r="A37" s="339">
        <v>63</v>
      </c>
      <c r="B37" s="211" t="s">
        <v>652</v>
      </c>
      <c r="C37" s="352">
        <v>44088</v>
      </c>
      <c r="D37" s="295" t="s">
        <v>24</v>
      </c>
      <c r="E37" s="544" t="s">
        <v>655</v>
      </c>
      <c r="F37" s="619" t="s">
        <v>653</v>
      </c>
      <c r="G37" s="620" t="s">
        <v>654</v>
      </c>
      <c r="H37" s="166">
        <v>1</v>
      </c>
      <c r="I37" s="523" t="s">
        <v>207</v>
      </c>
      <c r="J37" s="621">
        <v>500</v>
      </c>
      <c r="K37" s="189" t="s">
        <v>197</v>
      </c>
      <c r="L37" s="167">
        <f t="shared" si="2"/>
        <v>500</v>
      </c>
      <c r="M37" s="548">
        <v>2.38</v>
      </c>
      <c r="N37" s="352">
        <v>44088</v>
      </c>
      <c r="O37" s="198" t="s">
        <v>675</v>
      </c>
      <c r="P37" s="600">
        <v>303458899830</v>
      </c>
      <c r="Q37" s="230" t="s">
        <v>20</v>
      </c>
      <c r="R37" s="198" t="s">
        <v>7</v>
      </c>
      <c r="S37" s="342" t="s">
        <v>29</v>
      </c>
      <c r="T37" s="342" t="s">
        <v>178</v>
      </c>
      <c r="U37" s="601">
        <v>2314434.2000000002</v>
      </c>
      <c r="V37" s="657">
        <v>260000</v>
      </c>
      <c r="X37" s="239">
        <f t="shared" si="1"/>
        <v>0.5</v>
      </c>
    </row>
    <row r="38" spans="1:31" ht="15.75">
      <c r="A38" s="560">
        <v>64</v>
      </c>
      <c r="B38" s="561" t="s">
        <v>656</v>
      </c>
      <c r="C38" s="562">
        <v>44096</v>
      </c>
      <c r="D38" s="563" t="s">
        <v>24</v>
      </c>
      <c r="E38" s="564" t="s">
        <v>657</v>
      </c>
      <c r="F38" s="565" t="s">
        <v>525</v>
      </c>
      <c r="G38" s="566" t="s">
        <v>416</v>
      </c>
      <c r="H38" s="567">
        <v>1</v>
      </c>
      <c r="I38" s="568" t="s">
        <v>207</v>
      </c>
      <c r="J38" s="569">
        <v>10</v>
      </c>
      <c r="K38" s="570" t="s">
        <v>197</v>
      </c>
      <c r="L38" s="571">
        <f t="shared" si="2"/>
        <v>10</v>
      </c>
      <c r="M38" s="1061">
        <v>22.6</v>
      </c>
      <c r="N38" s="562">
        <v>44096</v>
      </c>
      <c r="O38" s="622" t="s">
        <v>219</v>
      </c>
      <c r="P38" s="598">
        <v>310520197850</v>
      </c>
      <c r="Q38" s="623" t="s">
        <v>20</v>
      </c>
      <c r="R38" s="622" t="s">
        <v>4</v>
      </c>
      <c r="S38" s="572" t="s">
        <v>178</v>
      </c>
      <c r="T38" s="572" t="s">
        <v>178</v>
      </c>
      <c r="U38" s="1065">
        <v>5380024</v>
      </c>
      <c r="V38" s="572"/>
      <c r="X38" s="239">
        <f t="shared" si="1"/>
        <v>0.01</v>
      </c>
    </row>
    <row r="39" spans="1:31" ht="15.75">
      <c r="A39" s="573">
        <v>64</v>
      </c>
      <c r="B39" s="574" t="s">
        <v>656</v>
      </c>
      <c r="C39" s="575">
        <v>44096</v>
      </c>
      <c r="D39" s="576" t="s">
        <v>24</v>
      </c>
      <c r="E39" s="577" t="s">
        <v>657</v>
      </c>
      <c r="F39" s="578" t="s">
        <v>658</v>
      </c>
      <c r="G39" s="579" t="s">
        <v>156</v>
      </c>
      <c r="H39" s="580">
        <v>1</v>
      </c>
      <c r="I39" s="581" t="s">
        <v>207</v>
      </c>
      <c r="J39" s="582">
        <v>3</v>
      </c>
      <c r="K39" s="583" t="s">
        <v>197</v>
      </c>
      <c r="L39" s="584">
        <f t="shared" si="2"/>
        <v>3</v>
      </c>
      <c r="M39" s="1062"/>
      <c r="N39" s="575">
        <v>44096</v>
      </c>
      <c r="O39" s="624" t="s">
        <v>219</v>
      </c>
      <c r="P39" s="625">
        <v>310520197850</v>
      </c>
      <c r="Q39" s="626" t="s">
        <v>20</v>
      </c>
      <c r="R39" s="624" t="s">
        <v>4</v>
      </c>
      <c r="S39" s="585" t="s">
        <v>178</v>
      </c>
      <c r="T39" s="585" t="s">
        <v>178</v>
      </c>
      <c r="U39" s="1066"/>
      <c r="V39" s="585"/>
      <c r="X39" s="239">
        <f t="shared" si="1"/>
        <v>3.0000000000000001E-3</v>
      </c>
    </row>
    <row r="40" spans="1:31" ht="15.75">
      <c r="A40" s="573">
        <v>64</v>
      </c>
      <c r="B40" s="574" t="s">
        <v>656</v>
      </c>
      <c r="C40" s="575">
        <v>44096</v>
      </c>
      <c r="D40" s="576" t="s">
        <v>24</v>
      </c>
      <c r="E40" s="577" t="s">
        <v>657</v>
      </c>
      <c r="F40" s="578" t="s">
        <v>646</v>
      </c>
      <c r="G40" s="579" t="s">
        <v>647</v>
      </c>
      <c r="H40" s="580">
        <v>25</v>
      </c>
      <c r="I40" s="581" t="s">
        <v>207</v>
      </c>
      <c r="J40" s="582">
        <v>4</v>
      </c>
      <c r="K40" s="583" t="s">
        <v>197</v>
      </c>
      <c r="L40" s="584">
        <f t="shared" si="2"/>
        <v>100</v>
      </c>
      <c r="M40" s="1062"/>
      <c r="N40" s="575">
        <v>44096</v>
      </c>
      <c r="O40" s="624" t="s">
        <v>219</v>
      </c>
      <c r="P40" s="625">
        <v>310520197850</v>
      </c>
      <c r="Q40" s="626" t="s">
        <v>20</v>
      </c>
      <c r="R40" s="624" t="s">
        <v>4</v>
      </c>
      <c r="S40" s="585" t="s">
        <v>178</v>
      </c>
      <c r="T40" s="585" t="s">
        <v>178</v>
      </c>
      <c r="U40" s="1066"/>
      <c r="V40" s="585"/>
      <c r="X40" s="239">
        <f t="shared" si="1"/>
        <v>0.1</v>
      </c>
    </row>
    <row r="41" spans="1:31" ht="15.75">
      <c r="A41" s="573">
        <v>64</v>
      </c>
      <c r="B41" s="574" t="s">
        <v>656</v>
      </c>
      <c r="C41" s="575">
        <v>44096</v>
      </c>
      <c r="D41" s="576" t="s">
        <v>24</v>
      </c>
      <c r="E41" s="577" t="s">
        <v>657</v>
      </c>
      <c r="F41" s="578" t="s">
        <v>659</v>
      </c>
      <c r="G41" s="579" t="s">
        <v>669</v>
      </c>
      <c r="H41" s="580">
        <v>2</v>
      </c>
      <c r="I41" s="581" t="s">
        <v>207</v>
      </c>
      <c r="J41" s="582">
        <v>5</v>
      </c>
      <c r="K41" s="583" t="s">
        <v>197</v>
      </c>
      <c r="L41" s="584">
        <f t="shared" si="2"/>
        <v>10</v>
      </c>
      <c r="M41" s="1062"/>
      <c r="N41" s="575">
        <v>44096</v>
      </c>
      <c r="O41" s="624" t="s">
        <v>219</v>
      </c>
      <c r="P41" s="625">
        <v>310520197850</v>
      </c>
      <c r="Q41" s="626" t="s">
        <v>20</v>
      </c>
      <c r="R41" s="624" t="s">
        <v>4</v>
      </c>
      <c r="S41" s="585" t="s">
        <v>178</v>
      </c>
      <c r="T41" s="585" t="s">
        <v>178</v>
      </c>
      <c r="U41" s="1066"/>
      <c r="V41" s="585"/>
      <c r="X41" s="239">
        <f t="shared" si="1"/>
        <v>0.01</v>
      </c>
    </row>
    <row r="42" spans="1:31" ht="15.75">
      <c r="A42" s="573">
        <v>64</v>
      </c>
      <c r="B42" s="574" t="s">
        <v>656</v>
      </c>
      <c r="C42" s="575">
        <v>44096</v>
      </c>
      <c r="D42" s="576" t="s">
        <v>24</v>
      </c>
      <c r="E42" s="577" t="s">
        <v>657</v>
      </c>
      <c r="F42" s="578" t="s">
        <v>660</v>
      </c>
      <c r="G42" s="579" t="s">
        <v>670</v>
      </c>
      <c r="H42" s="580">
        <v>3</v>
      </c>
      <c r="I42" s="581" t="s">
        <v>207</v>
      </c>
      <c r="J42" s="582">
        <v>4</v>
      </c>
      <c r="K42" s="583" t="s">
        <v>197</v>
      </c>
      <c r="L42" s="584">
        <f t="shared" si="2"/>
        <v>12</v>
      </c>
      <c r="M42" s="1062"/>
      <c r="N42" s="575">
        <v>44096</v>
      </c>
      <c r="O42" s="624" t="s">
        <v>219</v>
      </c>
      <c r="P42" s="625">
        <v>310520197850</v>
      </c>
      <c r="Q42" s="626" t="s">
        <v>20</v>
      </c>
      <c r="R42" s="624" t="s">
        <v>4</v>
      </c>
      <c r="S42" s="585" t="s">
        <v>178</v>
      </c>
      <c r="T42" s="585" t="s">
        <v>178</v>
      </c>
      <c r="U42" s="1066"/>
      <c r="V42" s="585"/>
      <c r="X42" s="239">
        <f t="shared" si="1"/>
        <v>1.2E-2</v>
      </c>
    </row>
    <row r="43" spans="1:31" ht="15.75" customHeight="1">
      <c r="A43" s="573">
        <v>64</v>
      </c>
      <c r="B43" s="574" t="s">
        <v>656</v>
      </c>
      <c r="C43" s="575">
        <v>44096</v>
      </c>
      <c r="D43" s="576" t="s">
        <v>24</v>
      </c>
      <c r="E43" s="577" t="s">
        <v>657</v>
      </c>
      <c r="F43" s="578" t="s">
        <v>661</v>
      </c>
      <c r="G43" s="579" t="s">
        <v>546</v>
      </c>
      <c r="H43" s="580">
        <v>1</v>
      </c>
      <c r="I43" s="581" t="s">
        <v>207</v>
      </c>
      <c r="J43" s="582">
        <v>2.5</v>
      </c>
      <c r="K43" s="583" t="s">
        <v>197</v>
      </c>
      <c r="L43" s="584">
        <f t="shared" si="2"/>
        <v>2.5</v>
      </c>
      <c r="M43" s="1062"/>
      <c r="N43" s="575">
        <v>44096</v>
      </c>
      <c r="O43" s="624" t="s">
        <v>219</v>
      </c>
      <c r="P43" s="625">
        <v>310520197850</v>
      </c>
      <c r="Q43" s="626" t="s">
        <v>20</v>
      </c>
      <c r="R43" s="624" t="s">
        <v>4</v>
      </c>
      <c r="S43" s="585" t="s">
        <v>178</v>
      </c>
      <c r="T43" s="585" t="s">
        <v>178</v>
      </c>
      <c r="U43" s="1066"/>
      <c r="V43" s="585"/>
      <c r="X43" s="239">
        <f t="shared" si="1"/>
        <v>2.5000000000000001E-3</v>
      </c>
    </row>
    <row r="44" spans="1:31" ht="15.75" customHeight="1">
      <c r="A44" s="573">
        <v>64</v>
      </c>
      <c r="B44" s="574" t="s">
        <v>656</v>
      </c>
      <c r="C44" s="575">
        <v>44096</v>
      </c>
      <c r="D44" s="576" t="s">
        <v>24</v>
      </c>
      <c r="E44" s="577" t="s">
        <v>657</v>
      </c>
      <c r="F44" s="578" t="s">
        <v>662</v>
      </c>
      <c r="G44" s="579" t="s">
        <v>548</v>
      </c>
      <c r="H44" s="580">
        <v>1</v>
      </c>
      <c r="I44" s="581" t="s">
        <v>207</v>
      </c>
      <c r="J44" s="582">
        <v>2</v>
      </c>
      <c r="K44" s="583" t="s">
        <v>197</v>
      </c>
      <c r="L44" s="584">
        <f t="shared" si="2"/>
        <v>2</v>
      </c>
      <c r="M44" s="1062"/>
      <c r="N44" s="575">
        <v>44096</v>
      </c>
      <c r="O44" s="624" t="s">
        <v>219</v>
      </c>
      <c r="P44" s="625">
        <v>310520197850</v>
      </c>
      <c r="Q44" s="626" t="s">
        <v>20</v>
      </c>
      <c r="R44" s="624" t="s">
        <v>4</v>
      </c>
      <c r="S44" s="585" t="s">
        <v>178</v>
      </c>
      <c r="T44" s="585" t="s">
        <v>178</v>
      </c>
      <c r="U44" s="1066"/>
      <c r="V44" s="585"/>
      <c r="X44" s="239">
        <f t="shared" si="1"/>
        <v>2E-3</v>
      </c>
    </row>
    <row r="45" spans="1:31" ht="15.75" customHeight="1">
      <c r="A45" s="573">
        <v>64</v>
      </c>
      <c r="B45" s="574" t="s">
        <v>656</v>
      </c>
      <c r="C45" s="575">
        <v>44096</v>
      </c>
      <c r="D45" s="576" t="s">
        <v>24</v>
      </c>
      <c r="E45" s="577" t="s">
        <v>657</v>
      </c>
      <c r="F45" s="578" t="s">
        <v>663</v>
      </c>
      <c r="G45" s="579" t="s">
        <v>179</v>
      </c>
      <c r="H45" s="580">
        <v>2</v>
      </c>
      <c r="I45" s="581" t="s">
        <v>207</v>
      </c>
      <c r="J45" s="582">
        <v>6</v>
      </c>
      <c r="K45" s="583" t="s">
        <v>197</v>
      </c>
      <c r="L45" s="584">
        <f t="shared" si="2"/>
        <v>12</v>
      </c>
      <c r="M45" s="1062"/>
      <c r="N45" s="575">
        <v>44096</v>
      </c>
      <c r="O45" s="624" t="s">
        <v>219</v>
      </c>
      <c r="P45" s="625">
        <v>310520197850</v>
      </c>
      <c r="Q45" s="626" t="s">
        <v>20</v>
      </c>
      <c r="R45" s="624" t="s">
        <v>4</v>
      </c>
      <c r="S45" s="585" t="s">
        <v>178</v>
      </c>
      <c r="T45" s="585" t="s">
        <v>178</v>
      </c>
      <c r="U45" s="1066"/>
      <c r="V45" s="585"/>
      <c r="X45" s="239">
        <f t="shared" si="1"/>
        <v>1.2E-2</v>
      </c>
    </row>
    <row r="46" spans="1:31" ht="15.75" customHeight="1">
      <c r="A46" s="573">
        <v>64</v>
      </c>
      <c r="B46" s="574" t="s">
        <v>656</v>
      </c>
      <c r="C46" s="575">
        <v>44096</v>
      </c>
      <c r="D46" s="576" t="s">
        <v>24</v>
      </c>
      <c r="E46" s="577" t="s">
        <v>657</v>
      </c>
      <c r="F46" s="578" t="s">
        <v>664</v>
      </c>
      <c r="G46" s="579" t="s">
        <v>671</v>
      </c>
      <c r="H46" s="580">
        <v>1</v>
      </c>
      <c r="I46" s="581" t="s">
        <v>207</v>
      </c>
      <c r="J46" s="582">
        <v>5</v>
      </c>
      <c r="K46" s="583" t="s">
        <v>197</v>
      </c>
      <c r="L46" s="584">
        <f t="shared" si="2"/>
        <v>5</v>
      </c>
      <c r="M46" s="1062"/>
      <c r="N46" s="575">
        <v>44096</v>
      </c>
      <c r="O46" s="624" t="s">
        <v>219</v>
      </c>
      <c r="P46" s="625">
        <v>310520197850</v>
      </c>
      <c r="Q46" s="626" t="s">
        <v>20</v>
      </c>
      <c r="R46" s="624" t="s">
        <v>4</v>
      </c>
      <c r="S46" s="585" t="s">
        <v>178</v>
      </c>
      <c r="T46" s="585" t="s">
        <v>178</v>
      </c>
      <c r="U46" s="1066"/>
      <c r="V46" s="585"/>
      <c r="X46" s="239">
        <f t="shared" si="1"/>
        <v>5.0000000000000001E-3</v>
      </c>
    </row>
    <row r="47" spans="1:31" ht="15.75" customHeight="1">
      <c r="A47" s="573">
        <v>64</v>
      </c>
      <c r="B47" s="574" t="s">
        <v>656</v>
      </c>
      <c r="C47" s="575">
        <v>44096</v>
      </c>
      <c r="D47" s="576" t="s">
        <v>24</v>
      </c>
      <c r="E47" s="577" t="s">
        <v>657</v>
      </c>
      <c r="F47" s="578" t="s">
        <v>665</v>
      </c>
      <c r="G47" s="579" t="s">
        <v>672</v>
      </c>
      <c r="H47" s="580">
        <v>1</v>
      </c>
      <c r="I47" s="581" t="s">
        <v>207</v>
      </c>
      <c r="J47" s="582">
        <v>5</v>
      </c>
      <c r="K47" s="583" t="s">
        <v>197</v>
      </c>
      <c r="L47" s="584">
        <f t="shared" si="2"/>
        <v>5</v>
      </c>
      <c r="M47" s="1062"/>
      <c r="N47" s="575">
        <v>44096</v>
      </c>
      <c r="O47" s="624" t="s">
        <v>219</v>
      </c>
      <c r="P47" s="625">
        <v>310520197850</v>
      </c>
      <c r="Q47" s="626" t="s">
        <v>20</v>
      </c>
      <c r="R47" s="624" t="s">
        <v>4</v>
      </c>
      <c r="S47" s="585" t="s">
        <v>178</v>
      </c>
      <c r="T47" s="585" t="s">
        <v>178</v>
      </c>
      <c r="U47" s="1066"/>
      <c r="V47" s="585"/>
      <c r="X47" s="239">
        <f t="shared" si="1"/>
        <v>5.0000000000000001E-3</v>
      </c>
    </row>
    <row r="48" spans="1:31" ht="15.75" customHeight="1">
      <c r="A48" s="573">
        <v>64</v>
      </c>
      <c r="B48" s="574" t="s">
        <v>656</v>
      </c>
      <c r="C48" s="575">
        <v>44096</v>
      </c>
      <c r="D48" s="576" t="s">
        <v>24</v>
      </c>
      <c r="E48" s="577" t="s">
        <v>657</v>
      </c>
      <c r="F48" s="578" t="s">
        <v>666</v>
      </c>
      <c r="G48" s="579" t="s">
        <v>416</v>
      </c>
      <c r="H48" s="580">
        <v>4</v>
      </c>
      <c r="I48" s="581" t="s">
        <v>207</v>
      </c>
      <c r="J48" s="582">
        <v>5</v>
      </c>
      <c r="K48" s="583" t="s">
        <v>197</v>
      </c>
      <c r="L48" s="584">
        <f t="shared" si="2"/>
        <v>20</v>
      </c>
      <c r="M48" s="1062"/>
      <c r="N48" s="575">
        <v>44096</v>
      </c>
      <c r="O48" s="624" t="s">
        <v>219</v>
      </c>
      <c r="P48" s="625">
        <v>310520197850</v>
      </c>
      <c r="Q48" s="626" t="s">
        <v>20</v>
      </c>
      <c r="R48" s="624" t="s">
        <v>4</v>
      </c>
      <c r="S48" s="585" t="s">
        <v>178</v>
      </c>
      <c r="T48" s="585" t="s">
        <v>178</v>
      </c>
      <c r="U48" s="1066"/>
      <c r="V48" s="585"/>
      <c r="X48" s="239">
        <f t="shared" si="1"/>
        <v>0.02</v>
      </c>
    </row>
    <row r="49" spans="1:24" ht="15.75" customHeight="1">
      <c r="A49" s="573">
        <v>64</v>
      </c>
      <c r="B49" s="574" t="s">
        <v>656</v>
      </c>
      <c r="C49" s="575">
        <v>44096</v>
      </c>
      <c r="D49" s="576" t="s">
        <v>24</v>
      </c>
      <c r="E49" s="577" t="s">
        <v>657</v>
      </c>
      <c r="F49" s="578" t="s">
        <v>667</v>
      </c>
      <c r="G49" s="579" t="s">
        <v>673</v>
      </c>
      <c r="H49" s="580">
        <v>4</v>
      </c>
      <c r="I49" s="581" t="s">
        <v>207</v>
      </c>
      <c r="J49" s="582">
        <v>3.5</v>
      </c>
      <c r="K49" s="583" t="s">
        <v>197</v>
      </c>
      <c r="L49" s="584">
        <f t="shared" si="2"/>
        <v>14</v>
      </c>
      <c r="M49" s="1062"/>
      <c r="N49" s="575">
        <v>44096</v>
      </c>
      <c r="O49" s="624" t="s">
        <v>219</v>
      </c>
      <c r="P49" s="625">
        <v>310520197850</v>
      </c>
      <c r="Q49" s="626" t="s">
        <v>20</v>
      </c>
      <c r="R49" s="624" t="s">
        <v>4</v>
      </c>
      <c r="S49" s="585" t="s">
        <v>178</v>
      </c>
      <c r="T49" s="585" t="s">
        <v>178</v>
      </c>
      <c r="U49" s="1066"/>
      <c r="V49" s="585"/>
      <c r="X49" s="239">
        <f t="shared" si="1"/>
        <v>1.4E-2</v>
      </c>
    </row>
    <row r="50" spans="1:24" ht="15.75" customHeight="1">
      <c r="A50" s="586">
        <v>64</v>
      </c>
      <c r="B50" s="587" t="s">
        <v>656</v>
      </c>
      <c r="C50" s="588">
        <v>44096</v>
      </c>
      <c r="D50" s="589" t="s">
        <v>24</v>
      </c>
      <c r="E50" s="590" t="s">
        <v>657</v>
      </c>
      <c r="F50" s="591" t="s">
        <v>668</v>
      </c>
      <c r="G50" s="592" t="s">
        <v>674</v>
      </c>
      <c r="H50" s="593">
        <v>2</v>
      </c>
      <c r="I50" s="594" t="s">
        <v>207</v>
      </c>
      <c r="J50" s="627">
        <v>2</v>
      </c>
      <c r="K50" s="595" t="s">
        <v>197</v>
      </c>
      <c r="L50" s="596">
        <f t="shared" si="2"/>
        <v>4</v>
      </c>
      <c r="M50" s="1064"/>
      <c r="N50" s="588">
        <v>44096</v>
      </c>
      <c r="O50" s="628" t="s">
        <v>219</v>
      </c>
      <c r="P50" s="629">
        <v>310520197850</v>
      </c>
      <c r="Q50" s="630" t="s">
        <v>20</v>
      </c>
      <c r="R50" s="628" t="s">
        <v>4</v>
      </c>
      <c r="S50" s="597" t="s">
        <v>178</v>
      </c>
      <c r="T50" s="597" t="s">
        <v>178</v>
      </c>
      <c r="U50" s="1067"/>
      <c r="V50" s="597"/>
      <c r="X50" s="239">
        <f t="shared" si="1"/>
        <v>4.0000000000000001E-3</v>
      </c>
    </row>
    <row r="51" spans="1:24" ht="15.75">
      <c r="A51" s="560">
        <v>65</v>
      </c>
      <c r="B51" s="561" t="s">
        <v>676</v>
      </c>
      <c r="C51" s="562">
        <v>44099</v>
      </c>
      <c r="D51" s="563" t="s">
        <v>24</v>
      </c>
      <c r="E51" s="564" t="s">
        <v>679</v>
      </c>
      <c r="F51" s="565" t="s">
        <v>677</v>
      </c>
      <c r="G51" s="566" t="s">
        <v>677</v>
      </c>
      <c r="H51" s="567">
        <v>62</v>
      </c>
      <c r="I51" s="568" t="s">
        <v>207</v>
      </c>
      <c r="J51" s="569">
        <v>1</v>
      </c>
      <c r="K51" s="570" t="s">
        <v>197</v>
      </c>
      <c r="L51" s="571">
        <f t="shared" si="2"/>
        <v>62</v>
      </c>
      <c r="M51" s="1061">
        <v>17.88</v>
      </c>
      <c r="N51" s="562">
        <v>44099</v>
      </c>
      <c r="O51" s="622" t="s">
        <v>219</v>
      </c>
      <c r="P51" s="631"/>
      <c r="Q51" s="623" t="s">
        <v>20</v>
      </c>
      <c r="R51" s="622" t="s">
        <v>7</v>
      </c>
      <c r="S51" s="572" t="s">
        <v>178</v>
      </c>
      <c r="T51" s="572" t="s">
        <v>178</v>
      </c>
      <c r="U51" s="1065">
        <v>4212102.7</v>
      </c>
      <c r="V51" s="572"/>
      <c r="X51" s="239">
        <f t="shared" si="1"/>
        <v>6.2E-2</v>
      </c>
    </row>
    <row r="52" spans="1:24" ht="15.75">
      <c r="A52" s="573">
        <v>65</v>
      </c>
      <c r="B52" s="574" t="s">
        <v>676</v>
      </c>
      <c r="C52" s="575">
        <v>44099</v>
      </c>
      <c r="D52" s="576" t="s">
        <v>24</v>
      </c>
      <c r="E52" s="577" t="s">
        <v>679</v>
      </c>
      <c r="F52" s="578" t="s">
        <v>212</v>
      </c>
      <c r="G52" s="579" t="s">
        <v>180</v>
      </c>
      <c r="H52" s="580">
        <v>8</v>
      </c>
      <c r="I52" s="581" t="s">
        <v>207</v>
      </c>
      <c r="J52" s="582">
        <v>1</v>
      </c>
      <c r="K52" s="583" t="s">
        <v>197</v>
      </c>
      <c r="L52" s="584">
        <f t="shared" si="2"/>
        <v>8</v>
      </c>
      <c r="M52" s="1062"/>
      <c r="N52" s="575">
        <v>44099</v>
      </c>
      <c r="O52" s="624" t="s">
        <v>219</v>
      </c>
      <c r="P52" s="632"/>
      <c r="Q52" s="626" t="s">
        <v>20</v>
      </c>
      <c r="R52" s="624" t="s">
        <v>7</v>
      </c>
      <c r="S52" s="585" t="s">
        <v>178</v>
      </c>
      <c r="T52" s="585" t="s">
        <v>178</v>
      </c>
      <c r="U52" s="1066"/>
      <c r="V52" s="585"/>
      <c r="X52" s="239">
        <f t="shared" si="1"/>
        <v>8.0000000000000002E-3</v>
      </c>
    </row>
    <row r="53" spans="1:24" ht="15.75">
      <c r="A53" s="573">
        <v>65</v>
      </c>
      <c r="B53" s="574" t="s">
        <v>676</v>
      </c>
      <c r="C53" s="575">
        <v>44099</v>
      </c>
      <c r="D53" s="576" t="s">
        <v>24</v>
      </c>
      <c r="E53" s="577" t="s">
        <v>679</v>
      </c>
      <c r="F53" s="578" t="s">
        <v>678</v>
      </c>
      <c r="G53" s="579" t="s">
        <v>180</v>
      </c>
      <c r="H53" s="580">
        <v>4</v>
      </c>
      <c r="I53" s="581" t="s">
        <v>207</v>
      </c>
      <c r="J53" s="582">
        <v>1</v>
      </c>
      <c r="K53" s="583" t="s">
        <v>197</v>
      </c>
      <c r="L53" s="584">
        <f t="shared" si="2"/>
        <v>4</v>
      </c>
      <c r="M53" s="1062"/>
      <c r="N53" s="575">
        <v>44099</v>
      </c>
      <c r="O53" s="624" t="s">
        <v>219</v>
      </c>
      <c r="P53" s="632"/>
      <c r="Q53" s="626" t="s">
        <v>20</v>
      </c>
      <c r="R53" s="624" t="s">
        <v>7</v>
      </c>
      <c r="S53" s="585" t="s">
        <v>178</v>
      </c>
      <c r="T53" s="585" t="s">
        <v>178</v>
      </c>
      <c r="U53" s="1066"/>
      <c r="V53" s="585"/>
      <c r="X53" s="239">
        <f t="shared" si="1"/>
        <v>4.0000000000000001E-3</v>
      </c>
    </row>
    <row r="54" spans="1:24" ht="15.75">
      <c r="A54" s="586">
        <v>65</v>
      </c>
      <c r="B54" s="587" t="s">
        <v>676</v>
      </c>
      <c r="C54" s="588">
        <v>44099</v>
      </c>
      <c r="D54" s="589" t="s">
        <v>24</v>
      </c>
      <c r="E54" s="590" t="s">
        <v>679</v>
      </c>
      <c r="F54" s="591" t="s">
        <v>282</v>
      </c>
      <c r="G54" s="592" t="s">
        <v>180</v>
      </c>
      <c r="H54" s="593">
        <v>4</v>
      </c>
      <c r="I54" s="594" t="s">
        <v>207</v>
      </c>
      <c r="J54" s="627">
        <v>1</v>
      </c>
      <c r="K54" s="595" t="s">
        <v>197</v>
      </c>
      <c r="L54" s="596">
        <f t="shared" si="2"/>
        <v>4</v>
      </c>
      <c r="M54" s="1064"/>
      <c r="N54" s="588">
        <v>44099</v>
      </c>
      <c r="O54" s="628" t="s">
        <v>219</v>
      </c>
      <c r="P54" s="633"/>
      <c r="Q54" s="630" t="s">
        <v>20</v>
      </c>
      <c r="R54" s="628" t="s">
        <v>7</v>
      </c>
      <c r="S54" s="597" t="s">
        <v>178</v>
      </c>
      <c r="T54" s="597" t="s">
        <v>178</v>
      </c>
      <c r="U54" s="1067"/>
      <c r="V54" s="597"/>
      <c r="X54" s="239">
        <f t="shared" si="1"/>
        <v>4.0000000000000001E-3</v>
      </c>
    </row>
    <row r="55" spans="1:24" ht="15.75" customHeight="1">
      <c r="A55" s="560">
        <v>66</v>
      </c>
      <c r="B55" s="561" t="s">
        <v>680</v>
      </c>
      <c r="C55" s="562">
        <v>44099</v>
      </c>
      <c r="D55" s="563" t="s">
        <v>24</v>
      </c>
      <c r="E55" s="564" t="s">
        <v>692</v>
      </c>
      <c r="F55" s="565" t="s">
        <v>681</v>
      </c>
      <c r="G55" s="634" t="s">
        <v>351</v>
      </c>
      <c r="H55" s="635">
        <v>4</v>
      </c>
      <c r="I55" s="568" t="s">
        <v>207</v>
      </c>
      <c r="J55" s="569">
        <v>9</v>
      </c>
      <c r="K55" s="570" t="s">
        <v>197</v>
      </c>
      <c r="L55" s="571">
        <f t="shared" si="2"/>
        <v>36</v>
      </c>
      <c r="M55" s="1061">
        <v>32</v>
      </c>
      <c r="N55" s="562">
        <v>44099</v>
      </c>
      <c r="O55" s="622" t="s">
        <v>219</v>
      </c>
      <c r="P55" s="631"/>
      <c r="Q55" s="636"/>
      <c r="R55" s="622" t="s">
        <v>4</v>
      </c>
      <c r="S55" s="572" t="s">
        <v>178</v>
      </c>
      <c r="T55" s="572" t="s">
        <v>178</v>
      </c>
      <c r="U55" s="1065">
        <v>7169254.2999999998</v>
      </c>
      <c r="V55" s="572"/>
      <c r="X55" s="239">
        <f t="shared" si="1"/>
        <v>3.5999999999999997E-2</v>
      </c>
    </row>
    <row r="56" spans="1:24" ht="15.75" customHeight="1">
      <c r="A56" s="573">
        <v>66</v>
      </c>
      <c r="B56" s="574" t="s">
        <v>680</v>
      </c>
      <c r="C56" s="575">
        <v>44099</v>
      </c>
      <c r="D56" s="576" t="s">
        <v>24</v>
      </c>
      <c r="E56" s="577" t="s">
        <v>692</v>
      </c>
      <c r="F56" s="578" t="s">
        <v>682</v>
      </c>
      <c r="G56" s="637" t="s">
        <v>156</v>
      </c>
      <c r="H56" s="638">
        <v>1</v>
      </c>
      <c r="I56" s="581" t="s">
        <v>207</v>
      </c>
      <c r="J56" s="582">
        <v>2.5</v>
      </c>
      <c r="K56" s="583" t="s">
        <v>197</v>
      </c>
      <c r="L56" s="584">
        <f t="shared" si="2"/>
        <v>2.5</v>
      </c>
      <c r="M56" s="1062"/>
      <c r="N56" s="575">
        <v>44099</v>
      </c>
      <c r="O56" s="624" t="s">
        <v>219</v>
      </c>
      <c r="P56" s="632"/>
      <c r="Q56" s="639"/>
      <c r="R56" s="624" t="s">
        <v>4</v>
      </c>
      <c r="S56" s="585" t="s">
        <v>178</v>
      </c>
      <c r="T56" s="585" t="s">
        <v>178</v>
      </c>
      <c r="U56" s="1066"/>
      <c r="V56" s="585"/>
      <c r="X56" s="239">
        <f t="shared" si="1"/>
        <v>2.5000000000000001E-3</v>
      </c>
    </row>
    <row r="57" spans="1:24" ht="15.75" customHeight="1">
      <c r="A57" s="573">
        <v>66</v>
      </c>
      <c r="B57" s="574" t="s">
        <v>680</v>
      </c>
      <c r="C57" s="575">
        <v>44099</v>
      </c>
      <c r="D57" s="576" t="s">
        <v>24</v>
      </c>
      <c r="E57" s="577" t="s">
        <v>692</v>
      </c>
      <c r="F57" s="640" t="s">
        <v>683</v>
      </c>
      <c r="G57" s="641" t="s">
        <v>156</v>
      </c>
      <c r="H57" s="642">
        <v>1</v>
      </c>
      <c r="I57" s="581" t="s">
        <v>207</v>
      </c>
      <c r="J57" s="642">
        <v>2.5</v>
      </c>
      <c r="K57" s="583" t="s">
        <v>197</v>
      </c>
      <c r="L57" s="584">
        <f t="shared" si="2"/>
        <v>2.5</v>
      </c>
      <c r="M57" s="1062"/>
      <c r="N57" s="575">
        <v>44099</v>
      </c>
      <c r="O57" s="624" t="s">
        <v>219</v>
      </c>
      <c r="P57" s="632"/>
      <c r="Q57" s="639"/>
      <c r="R57" s="624" t="s">
        <v>4</v>
      </c>
      <c r="S57" s="585" t="s">
        <v>178</v>
      </c>
      <c r="T57" s="585" t="s">
        <v>178</v>
      </c>
      <c r="U57" s="1066"/>
      <c r="V57" s="585"/>
      <c r="X57" s="239">
        <f t="shared" si="1"/>
        <v>2.5000000000000001E-3</v>
      </c>
    </row>
    <row r="58" spans="1:24" ht="15.75" customHeight="1">
      <c r="A58" s="573">
        <v>66</v>
      </c>
      <c r="B58" s="574" t="s">
        <v>680</v>
      </c>
      <c r="C58" s="575">
        <v>44099</v>
      </c>
      <c r="D58" s="576" t="s">
        <v>24</v>
      </c>
      <c r="E58" s="577" t="s">
        <v>692</v>
      </c>
      <c r="F58" s="640" t="s">
        <v>684</v>
      </c>
      <c r="G58" s="641" t="s">
        <v>416</v>
      </c>
      <c r="H58" s="642">
        <v>1</v>
      </c>
      <c r="I58" s="581" t="s">
        <v>207</v>
      </c>
      <c r="J58" s="642">
        <v>10</v>
      </c>
      <c r="K58" s="583" t="s">
        <v>197</v>
      </c>
      <c r="L58" s="584">
        <f t="shared" si="2"/>
        <v>10</v>
      </c>
      <c r="M58" s="1062"/>
      <c r="N58" s="575">
        <v>44099</v>
      </c>
      <c r="O58" s="624" t="s">
        <v>219</v>
      </c>
      <c r="P58" s="632"/>
      <c r="Q58" s="639"/>
      <c r="R58" s="624" t="s">
        <v>4</v>
      </c>
      <c r="S58" s="585" t="s">
        <v>178</v>
      </c>
      <c r="T58" s="585" t="s">
        <v>178</v>
      </c>
      <c r="U58" s="1066"/>
      <c r="V58" s="585"/>
      <c r="X58" s="239">
        <f t="shared" si="1"/>
        <v>0.01</v>
      </c>
    </row>
    <row r="59" spans="1:24" ht="15.75" customHeight="1">
      <c r="A59" s="573">
        <v>66</v>
      </c>
      <c r="B59" s="574" t="s">
        <v>680</v>
      </c>
      <c r="C59" s="575">
        <v>44099</v>
      </c>
      <c r="D59" s="576" t="s">
        <v>24</v>
      </c>
      <c r="E59" s="577" t="s">
        <v>692</v>
      </c>
      <c r="F59" s="640" t="s">
        <v>685</v>
      </c>
      <c r="G59" s="641" t="s">
        <v>416</v>
      </c>
      <c r="H59" s="642">
        <v>6</v>
      </c>
      <c r="I59" s="581" t="s">
        <v>207</v>
      </c>
      <c r="J59" s="642">
        <v>9</v>
      </c>
      <c r="K59" s="583" t="s">
        <v>197</v>
      </c>
      <c r="L59" s="584">
        <f t="shared" si="2"/>
        <v>54</v>
      </c>
      <c r="M59" s="1062"/>
      <c r="N59" s="575">
        <v>44099</v>
      </c>
      <c r="O59" s="624" t="s">
        <v>219</v>
      </c>
      <c r="P59" s="632"/>
      <c r="Q59" s="639"/>
      <c r="R59" s="624" t="s">
        <v>4</v>
      </c>
      <c r="S59" s="585" t="s">
        <v>178</v>
      </c>
      <c r="T59" s="585" t="s">
        <v>178</v>
      </c>
      <c r="U59" s="1066"/>
      <c r="V59" s="585"/>
      <c r="X59" s="239">
        <f t="shared" si="1"/>
        <v>5.3999999999999999E-2</v>
      </c>
    </row>
    <row r="60" spans="1:24" ht="15.75" customHeight="1">
      <c r="A60" s="573">
        <v>66</v>
      </c>
      <c r="B60" s="574" t="s">
        <v>680</v>
      </c>
      <c r="C60" s="575">
        <v>44099</v>
      </c>
      <c r="D60" s="576" t="s">
        <v>24</v>
      </c>
      <c r="E60" s="577" t="s">
        <v>692</v>
      </c>
      <c r="F60" s="640" t="s">
        <v>686</v>
      </c>
      <c r="G60" s="641" t="s">
        <v>373</v>
      </c>
      <c r="H60" s="642">
        <v>2</v>
      </c>
      <c r="I60" s="581" t="s">
        <v>207</v>
      </c>
      <c r="J60" s="642">
        <v>2.5</v>
      </c>
      <c r="K60" s="583" t="s">
        <v>197</v>
      </c>
      <c r="L60" s="584">
        <f t="shared" si="2"/>
        <v>5</v>
      </c>
      <c r="M60" s="1062"/>
      <c r="N60" s="575">
        <v>44099</v>
      </c>
      <c r="O60" s="624" t="s">
        <v>219</v>
      </c>
      <c r="P60" s="632"/>
      <c r="Q60" s="639"/>
      <c r="R60" s="624" t="s">
        <v>4</v>
      </c>
      <c r="S60" s="585" t="s">
        <v>178</v>
      </c>
      <c r="T60" s="585" t="s">
        <v>178</v>
      </c>
      <c r="U60" s="1066"/>
      <c r="V60" s="585"/>
      <c r="X60" s="239">
        <f t="shared" si="1"/>
        <v>5.0000000000000001E-3</v>
      </c>
    </row>
    <row r="61" spans="1:24" ht="15.75" customHeight="1">
      <c r="A61" s="573">
        <v>66</v>
      </c>
      <c r="B61" s="574" t="s">
        <v>680</v>
      </c>
      <c r="C61" s="575">
        <v>44099</v>
      </c>
      <c r="D61" s="576" t="s">
        <v>24</v>
      </c>
      <c r="E61" s="577" t="s">
        <v>692</v>
      </c>
      <c r="F61" s="643" t="s">
        <v>687</v>
      </c>
      <c r="G61" s="643" t="s">
        <v>179</v>
      </c>
      <c r="H61" s="582">
        <v>1</v>
      </c>
      <c r="I61" s="581" t="s">
        <v>207</v>
      </c>
      <c r="J61" s="582">
        <v>2</v>
      </c>
      <c r="K61" s="583" t="s">
        <v>197</v>
      </c>
      <c r="L61" s="584">
        <f t="shared" si="2"/>
        <v>2</v>
      </c>
      <c r="M61" s="1062"/>
      <c r="N61" s="575">
        <v>44099</v>
      </c>
      <c r="O61" s="624" t="s">
        <v>219</v>
      </c>
      <c r="P61" s="632"/>
      <c r="Q61" s="639"/>
      <c r="R61" s="624" t="s">
        <v>4</v>
      </c>
      <c r="S61" s="585" t="s">
        <v>178</v>
      </c>
      <c r="T61" s="585" t="s">
        <v>178</v>
      </c>
      <c r="U61" s="1066"/>
      <c r="V61" s="585"/>
      <c r="X61" s="239">
        <f t="shared" si="1"/>
        <v>2E-3</v>
      </c>
    </row>
    <row r="62" spans="1:24" s="256" customFormat="1" ht="15.75" customHeight="1">
      <c r="A62" s="573">
        <v>66</v>
      </c>
      <c r="B62" s="574" t="s">
        <v>680</v>
      </c>
      <c r="C62" s="575">
        <v>44099</v>
      </c>
      <c r="D62" s="576" t="s">
        <v>24</v>
      </c>
      <c r="E62" s="577" t="s">
        <v>692</v>
      </c>
      <c r="F62" s="578" t="s">
        <v>688</v>
      </c>
      <c r="G62" s="637" t="s">
        <v>290</v>
      </c>
      <c r="H62" s="638">
        <v>1</v>
      </c>
      <c r="I62" s="581" t="s">
        <v>207</v>
      </c>
      <c r="J62" s="582">
        <v>15</v>
      </c>
      <c r="K62" s="583" t="s">
        <v>197</v>
      </c>
      <c r="L62" s="584">
        <f t="shared" si="2"/>
        <v>15</v>
      </c>
      <c r="M62" s="1062"/>
      <c r="N62" s="575">
        <v>44099</v>
      </c>
      <c r="O62" s="624" t="s">
        <v>219</v>
      </c>
      <c r="P62" s="632"/>
      <c r="Q62" s="639"/>
      <c r="R62" s="624" t="s">
        <v>4</v>
      </c>
      <c r="S62" s="585" t="s">
        <v>178</v>
      </c>
      <c r="T62" s="585" t="s">
        <v>178</v>
      </c>
      <c r="U62" s="1066"/>
      <c r="V62" s="585"/>
      <c r="X62" s="239">
        <f t="shared" si="1"/>
        <v>1.4999999999999999E-2</v>
      </c>
    </row>
    <row r="63" spans="1:24" ht="15.75" customHeight="1">
      <c r="A63" s="573">
        <v>66</v>
      </c>
      <c r="B63" s="574" t="s">
        <v>680</v>
      </c>
      <c r="C63" s="575">
        <v>44099</v>
      </c>
      <c r="D63" s="576" t="s">
        <v>24</v>
      </c>
      <c r="E63" s="577" t="s">
        <v>692</v>
      </c>
      <c r="F63" s="578" t="s">
        <v>689</v>
      </c>
      <c r="G63" s="637" t="s">
        <v>290</v>
      </c>
      <c r="H63" s="638">
        <v>1</v>
      </c>
      <c r="I63" s="581" t="s">
        <v>207</v>
      </c>
      <c r="J63" s="582">
        <v>7</v>
      </c>
      <c r="K63" s="583" t="s">
        <v>197</v>
      </c>
      <c r="L63" s="584">
        <f t="shared" si="2"/>
        <v>7</v>
      </c>
      <c r="M63" s="1062"/>
      <c r="N63" s="575">
        <v>44099</v>
      </c>
      <c r="O63" s="624" t="s">
        <v>219</v>
      </c>
      <c r="P63" s="632"/>
      <c r="Q63" s="639"/>
      <c r="R63" s="624" t="s">
        <v>4</v>
      </c>
      <c r="S63" s="585" t="s">
        <v>178</v>
      </c>
      <c r="T63" s="585" t="s">
        <v>178</v>
      </c>
      <c r="U63" s="1066"/>
      <c r="V63" s="585"/>
      <c r="X63" s="239">
        <f t="shared" si="1"/>
        <v>7.0000000000000001E-3</v>
      </c>
    </row>
    <row r="64" spans="1:24" ht="15.75" customHeight="1">
      <c r="A64" s="586">
        <v>66</v>
      </c>
      <c r="B64" s="587" t="s">
        <v>680</v>
      </c>
      <c r="C64" s="588">
        <v>44099</v>
      </c>
      <c r="D64" s="589" t="s">
        <v>24</v>
      </c>
      <c r="E64" s="590" t="s">
        <v>692</v>
      </c>
      <c r="F64" s="591" t="s">
        <v>690</v>
      </c>
      <c r="G64" s="644" t="s">
        <v>691</v>
      </c>
      <c r="H64" s="645">
        <v>2</v>
      </c>
      <c r="I64" s="594" t="s">
        <v>207</v>
      </c>
      <c r="J64" s="627">
        <v>5</v>
      </c>
      <c r="K64" s="595" t="s">
        <v>197</v>
      </c>
      <c r="L64" s="596">
        <f t="shared" si="2"/>
        <v>10</v>
      </c>
      <c r="M64" s="1064"/>
      <c r="N64" s="588">
        <v>44099</v>
      </c>
      <c r="O64" s="628" t="s">
        <v>219</v>
      </c>
      <c r="P64" s="633"/>
      <c r="Q64" s="646"/>
      <c r="R64" s="628" t="s">
        <v>4</v>
      </c>
      <c r="S64" s="597" t="s">
        <v>178</v>
      </c>
      <c r="T64" s="597" t="s">
        <v>178</v>
      </c>
      <c r="U64" s="1067"/>
      <c r="V64" s="597"/>
      <c r="X64" s="239">
        <f t="shared" si="1"/>
        <v>0.01</v>
      </c>
    </row>
    <row r="65" spans="1:24" ht="15.75">
      <c r="A65" s="560">
        <v>67</v>
      </c>
      <c r="B65" s="561" t="s">
        <v>693</v>
      </c>
      <c r="C65" s="562">
        <v>44103</v>
      </c>
      <c r="D65" s="563" t="s">
        <v>24</v>
      </c>
      <c r="E65" s="564" t="s">
        <v>694</v>
      </c>
      <c r="F65" s="565" t="s">
        <v>695</v>
      </c>
      <c r="G65" s="634" t="s">
        <v>179</v>
      </c>
      <c r="H65" s="647">
        <v>2</v>
      </c>
      <c r="I65" s="568" t="s">
        <v>207</v>
      </c>
      <c r="J65" s="648">
        <v>2</v>
      </c>
      <c r="K65" s="570" t="s">
        <v>197</v>
      </c>
      <c r="L65" s="571">
        <f t="shared" si="2"/>
        <v>4</v>
      </c>
      <c r="M65" s="1061">
        <v>34.06</v>
      </c>
      <c r="N65" s="562">
        <v>44103</v>
      </c>
      <c r="O65" s="622" t="s">
        <v>219</v>
      </c>
      <c r="P65" s="631"/>
      <c r="Q65" s="636"/>
      <c r="R65" s="622" t="s">
        <v>4</v>
      </c>
      <c r="S65" s="572" t="s">
        <v>178</v>
      </c>
      <c r="T65" s="572" t="s">
        <v>178</v>
      </c>
      <c r="U65" s="1065">
        <v>8640151</v>
      </c>
      <c r="V65" s="572"/>
      <c r="X65" s="239">
        <f t="shared" si="1"/>
        <v>4.0000000000000001E-3</v>
      </c>
    </row>
    <row r="66" spans="1:24" ht="15.75">
      <c r="A66" s="573">
        <v>67</v>
      </c>
      <c r="B66" s="574" t="s">
        <v>693</v>
      </c>
      <c r="C66" s="575">
        <v>44103</v>
      </c>
      <c r="D66" s="576" t="s">
        <v>24</v>
      </c>
      <c r="E66" s="577" t="s">
        <v>694</v>
      </c>
      <c r="F66" s="578" t="s">
        <v>696</v>
      </c>
      <c r="G66" s="637" t="s">
        <v>179</v>
      </c>
      <c r="H66" s="649">
        <v>2</v>
      </c>
      <c r="I66" s="581" t="s">
        <v>207</v>
      </c>
      <c r="J66" s="650">
        <v>2.5</v>
      </c>
      <c r="K66" s="583" t="s">
        <v>197</v>
      </c>
      <c r="L66" s="584">
        <f t="shared" si="2"/>
        <v>5</v>
      </c>
      <c r="M66" s="1062"/>
      <c r="N66" s="575">
        <v>44103</v>
      </c>
      <c r="O66" s="624" t="s">
        <v>219</v>
      </c>
      <c r="P66" s="632"/>
      <c r="Q66" s="639"/>
      <c r="R66" s="624" t="s">
        <v>4</v>
      </c>
      <c r="S66" s="585" t="s">
        <v>178</v>
      </c>
      <c r="T66" s="585" t="s">
        <v>178</v>
      </c>
      <c r="U66" s="1066"/>
      <c r="V66" s="585"/>
      <c r="X66" s="239">
        <f t="shared" si="1"/>
        <v>5.0000000000000001E-3</v>
      </c>
    </row>
    <row r="67" spans="1:24" ht="15.75">
      <c r="A67" s="573">
        <v>67</v>
      </c>
      <c r="B67" s="574" t="s">
        <v>693</v>
      </c>
      <c r="C67" s="575">
        <v>44103</v>
      </c>
      <c r="D67" s="576" t="s">
        <v>24</v>
      </c>
      <c r="E67" s="577" t="s">
        <v>694</v>
      </c>
      <c r="F67" s="640" t="s">
        <v>697</v>
      </c>
      <c r="G67" s="641" t="s">
        <v>179</v>
      </c>
      <c r="H67" s="651">
        <v>2</v>
      </c>
      <c r="I67" s="581" t="s">
        <v>207</v>
      </c>
      <c r="J67" s="651">
        <v>5</v>
      </c>
      <c r="K67" s="583" t="s">
        <v>197</v>
      </c>
      <c r="L67" s="584">
        <f t="shared" si="2"/>
        <v>10</v>
      </c>
      <c r="M67" s="1062"/>
      <c r="N67" s="575">
        <v>44103</v>
      </c>
      <c r="O67" s="624" t="s">
        <v>219</v>
      </c>
      <c r="P67" s="632"/>
      <c r="Q67" s="639"/>
      <c r="R67" s="624" t="s">
        <v>4</v>
      </c>
      <c r="S67" s="585" t="s">
        <v>178</v>
      </c>
      <c r="T67" s="585" t="s">
        <v>178</v>
      </c>
      <c r="U67" s="1066"/>
      <c r="V67" s="585"/>
      <c r="X67" s="239">
        <f t="shared" si="1"/>
        <v>0.01</v>
      </c>
    </row>
    <row r="68" spans="1:24" ht="28.5">
      <c r="A68" s="573">
        <v>67</v>
      </c>
      <c r="B68" s="574" t="s">
        <v>693</v>
      </c>
      <c r="C68" s="575">
        <v>44103</v>
      </c>
      <c r="D68" s="576" t="s">
        <v>24</v>
      </c>
      <c r="E68" s="577" t="s">
        <v>694</v>
      </c>
      <c r="F68" s="640" t="s">
        <v>698</v>
      </c>
      <c r="G68" s="641" t="s">
        <v>711</v>
      </c>
      <c r="H68" s="651">
        <v>2</v>
      </c>
      <c r="I68" s="581" t="s">
        <v>207</v>
      </c>
      <c r="J68" s="651">
        <v>12.73</v>
      </c>
      <c r="K68" s="583" t="s">
        <v>197</v>
      </c>
      <c r="L68" s="584">
        <f t="shared" si="2"/>
        <v>25.46</v>
      </c>
      <c r="M68" s="1062"/>
      <c r="N68" s="575">
        <v>44103</v>
      </c>
      <c r="O68" s="624" t="s">
        <v>219</v>
      </c>
      <c r="P68" s="632"/>
      <c r="Q68" s="639"/>
      <c r="R68" s="624" t="s">
        <v>4</v>
      </c>
      <c r="S68" s="585" t="s">
        <v>178</v>
      </c>
      <c r="T68" s="585" t="s">
        <v>178</v>
      </c>
      <c r="U68" s="1066"/>
      <c r="V68" s="585"/>
      <c r="X68" s="239">
        <f t="shared" si="1"/>
        <v>2.546E-2</v>
      </c>
    </row>
    <row r="69" spans="1:24" ht="28.5">
      <c r="A69" s="573">
        <v>67</v>
      </c>
      <c r="B69" s="574" t="s">
        <v>693</v>
      </c>
      <c r="C69" s="575">
        <v>44103</v>
      </c>
      <c r="D69" s="576" t="s">
        <v>24</v>
      </c>
      <c r="E69" s="577" t="s">
        <v>694</v>
      </c>
      <c r="F69" s="640" t="s">
        <v>699</v>
      </c>
      <c r="G69" s="641" t="s">
        <v>712</v>
      </c>
      <c r="H69" s="651">
        <v>2</v>
      </c>
      <c r="I69" s="581" t="s">
        <v>207</v>
      </c>
      <c r="J69" s="651">
        <v>16.37</v>
      </c>
      <c r="K69" s="583" t="s">
        <v>197</v>
      </c>
      <c r="L69" s="584">
        <f t="shared" si="2"/>
        <v>32.74</v>
      </c>
      <c r="M69" s="1062"/>
      <c r="N69" s="575">
        <v>44103</v>
      </c>
      <c r="O69" s="624" t="s">
        <v>219</v>
      </c>
      <c r="P69" s="632"/>
      <c r="Q69" s="639"/>
      <c r="R69" s="624" t="s">
        <v>4</v>
      </c>
      <c r="S69" s="585" t="s">
        <v>178</v>
      </c>
      <c r="T69" s="585" t="s">
        <v>178</v>
      </c>
      <c r="U69" s="1066"/>
      <c r="V69" s="585"/>
      <c r="X69" s="239">
        <f t="shared" si="1"/>
        <v>3.2740000000000005E-2</v>
      </c>
    </row>
    <row r="70" spans="1:24" ht="28.5">
      <c r="A70" s="573">
        <v>67</v>
      </c>
      <c r="B70" s="574" t="s">
        <v>693</v>
      </c>
      <c r="C70" s="575">
        <v>44103</v>
      </c>
      <c r="D70" s="576" t="s">
        <v>24</v>
      </c>
      <c r="E70" s="577" t="s">
        <v>694</v>
      </c>
      <c r="F70" s="640" t="s">
        <v>700</v>
      </c>
      <c r="G70" s="652" t="s">
        <v>713</v>
      </c>
      <c r="H70" s="651">
        <v>2</v>
      </c>
      <c r="I70" s="581" t="s">
        <v>207</v>
      </c>
      <c r="J70" s="651">
        <v>21.1</v>
      </c>
      <c r="K70" s="583" t="s">
        <v>197</v>
      </c>
      <c r="L70" s="584">
        <f t="shared" si="2"/>
        <v>42.2</v>
      </c>
      <c r="M70" s="1062"/>
      <c r="N70" s="575">
        <v>44103</v>
      </c>
      <c r="O70" s="624" t="s">
        <v>219</v>
      </c>
      <c r="P70" s="632"/>
      <c r="Q70" s="639"/>
      <c r="R70" s="624" t="s">
        <v>4</v>
      </c>
      <c r="S70" s="585" t="s">
        <v>178</v>
      </c>
      <c r="T70" s="585" t="s">
        <v>178</v>
      </c>
      <c r="U70" s="1066"/>
      <c r="V70" s="585"/>
      <c r="X70" s="239">
        <f t="shared" si="1"/>
        <v>4.2200000000000001E-2</v>
      </c>
    </row>
    <row r="71" spans="1:24" ht="15.75">
      <c r="A71" s="573">
        <v>67</v>
      </c>
      <c r="B71" s="574" t="s">
        <v>693</v>
      </c>
      <c r="C71" s="575">
        <v>44103</v>
      </c>
      <c r="D71" s="576" t="s">
        <v>24</v>
      </c>
      <c r="E71" s="577" t="s">
        <v>694</v>
      </c>
      <c r="F71" s="640" t="s">
        <v>701</v>
      </c>
      <c r="G71" s="652" t="s">
        <v>546</v>
      </c>
      <c r="H71" s="651">
        <v>1</v>
      </c>
      <c r="I71" s="581" t="s">
        <v>207</v>
      </c>
      <c r="J71" s="651">
        <v>2.5</v>
      </c>
      <c r="K71" s="583" t="s">
        <v>197</v>
      </c>
      <c r="L71" s="584">
        <f t="shared" si="2"/>
        <v>2.5</v>
      </c>
      <c r="M71" s="1062"/>
      <c r="N71" s="575">
        <v>44103</v>
      </c>
      <c r="O71" s="624" t="s">
        <v>219</v>
      </c>
      <c r="P71" s="632"/>
      <c r="Q71" s="639"/>
      <c r="R71" s="624" t="s">
        <v>4</v>
      </c>
      <c r="S71" s="585" t="s">
        <v>178</v>
      </c>
      <c r="T71" s="585" t="s">
        <v>178</v>
      </c>
      <c r="U71" s="1066"/>
      <c r="V71" s="585"/>
      <c r="X71" s="239">
        <f t="shared" si="1"/>
        <v>2.5000000000000001E-3</v>
      </c>
    </row>
    <row r="72" spans="1:24" ht="15.75">
      <c r="A72" s="573">
        <v>67</v>
      </c>
      <c r="B72" s="574" t="s">
        <v>693</v>
      </c>
      <c r="C72" s="575">
        <v>44103</v>
      </c>
      <c r="D72" s="576" t="s">
        <v>24</v>
      </c>
      <c r="E72" s="577" t="s">
        <v>694</v>
      </c>
      <c r="F72" s="640" t="s">
        <v>702</v>
      </c>
      <c r="G72" s="652" t="s">
        <v>548</v>
      </c>
      <c r="H72" s="651">
        <v>1</v>
      </c>
      <c r="I72" s="581" t="s">
        <v>207</v>
      </c>
      <c r="J72" s="651">
        <v>2</v>
      </c>
      <c r="K72" s="583" t="s">
        <v>197</v>
      </c>
      <c r="L72" s="584">
        <f t="shared" si="2"/>
        <v>2</v>
      </c>
      <c r="M72" s="1062"/>
      <c r="N72" s="575">
        <v>44103</v>
      </c>
      <c r="O72" s="624" t="s">
        <v>219</v>
      </c>
      <c r="P72" s="632"/>
      <c r="Q72" s="639"/>
      <c r="R72" s="624" t="s">
        <v>4</v>
      </c>
      <c r="S72" s="585" t="s">
        <v>178</v>
      </c>
      <c r="T72" s="585" t="s">
        <v>178</v>
      </c>
      <c r="U72" s="1066"/>
      <c r="V72" s="585"/>
      <c r="X72" s="239">
        <f t="shared" si="1"/>
        <v>2E-3</v>
      </c>
    </row>
    <row r="73" spans="1:24" ht="28.5">
      <c r="A73" s="573">
        <v>67</v>
      </c>
      <c r="B73" s="574" t="s">
        <v>693</v>
      </c>
      <c r="C73" s="575">
        <v>44103</v>
      </c>
      <c r="D73" s="576" t="s">
        <v>24</v>
      </c>
      <c r="E73" s="577" t="s">
        <v>694</v>
      </c>
      <c r="F73" s="640" t="s">
        <v>701</v>
      </c>
      <c r="G73" s="652" t="s">
        <v>714</v>
      </c>
      <c r="H73" s="651">
        <v>1</v>
      </c>
      <c r="I73" s="581" t="s">
        <v>207</v>
      </c>
      <c r="J73" s="651">
        <v>14.89</v>
      </c>
      <c r="K73" s="583" t="s">
        <v>197</v>
      </c>
      <c r="L73" s="584">
        <f t="shared" si="2"/>
        <v>14.89</v>
      </c>
      <c r="M73" s="1062"/>
      <c r="N73" s="575">
        <v>44103</v>
      </c>
      <c r="O73" s="624" t="s">
        <v>219</v>
      </c>
      <c r="P73" s="632"/>
      <c r="Q73" s="639"/>
      <c r="R73" s="624" t="s">
        <v>4</v>
      </c>
      <c r="S73" s="585" t="s">
        <v>178</v>
      </c>
      <c r="T73" s="585" t="s">
        <v>178</v>
      </c>
      <c r="U73" s="1066"/>
      <c r="V73" s="585"/>
      <c r="X73" s="239">
        <f t="shared" si="1"/>
        <v>1.489E-2</v>
      </c>
    </row>
    <row r="74" spans="1:24" ht="28.5">
      <c r="A74" s="573">
        <v>67</v>
      </c>
      <c r="B74" s="574" t="s">
        <v>693</v>
      </c>
      <c r="C74" s="575">
        <v>44103</v>
      </c>
      <c r="D74" s="576" t="s">
        <v>24</v>
      </c>
      <c r="E74" s="577" t="s">
        <v>694</v>
      </c>
      <c r="F74" s="640" t="s">
        <v>702</v>
      </c>
      <c r="G74" s="652" t="s">
        <v>715</v>
      </c>
      <c r="H74" s="651">
        <v>1</v>
      </c>
      <c r="I74" s="581" t="s">
        <v>207</v>
      </c>
      <c r="J74" s="651">
        <v>11.58</v>
      </c>
      <c r="K74" s="583" t="s">
        <v>197</v>
      </c>
      <c r="L74" s="584">
        <f t="shared" si="2"/>
        <v>11.58</v>
      </c>
      <c r="M74" s="1062"/>
      <c r="N74" s="575">
        <v>44103</v>
      </c>
      <c r="O74" s="624" t="s">
        <v>219</v>
      </c>
      <c r="P74" s="632"/>
      <c r="Q74" s="639"/>
      <c r="R74" s="624" t="s">
        <v>4</v>
      </c>
      <c r="S74" s="585" t="s">
        <v>178</v>
      </c>
      <c r="T74" s="585" t="s">
        <v>178</v>
      </c>
      <c r="U74" s="1066"/>
      <c r="V74" s="585"/>
      <c r="X74" s="239">
        <f t="shared" si="1"/>
        <v>1.158E-2</v>
      </c>
    </row>
    <row r="75" spans="1:24" ht="15.75">
      <c r="A75" s="573">
        <v>67</v>
      </c>
      <c r="B75" s="574" t="s">
        <v>693</v>
      </c>
      <c r="C75" s="575">
        <v>44103</v>
      </c>
      <c r="D75" s="576" t="s">
        <v>24</v>
      </c>
      <c r="E75" s="577" t="s">
        <v>694</v>
      </c>
      <c r="F75" s="640" t="s">
        <v>703</v>
      </c>
      <c r="G75" s="652" t="s">
        <v>716</v>
      </c>
      <c r="H75" s="651">
        <v>1</v>
      </c>
      <c r="I75" s="581" t="s">
        <v>207</v>
      </c>
      <c r="J75" s="651">
        <v>15</v>
      </c>
      <c r="K75" s="583" t="s">
        <v>197</v>
      </c>
      <c r="L75" s="584">
        <f t="shared" si="2"/>
        <v>15</v>
      </c>
      <c r="M75" s="1062"/>
      <c r="N75" s="575">
        <v>44103</v>
      </c>
      <c r="O75" s="624" t="s">
        <v>219</v>
      </c>
      <c r="P75" s="632"/>
      <c r="Q75" s="639"/>
      <c r="R75" s="624" t="s">
        <v>4</v>
      </c>
      <c r="S75" s="585" t="s">
        <v>178</v>
      </c>
      <c r="T75" s="585" t="s">
        <v>178</v>
      </c>
      <c r="U75" s="1066"/>
      <c r="V75" s="585"/>
      <c r="X75" s="239">
        <f t="shared" si="1"/>
        <v>1.4999999999999999E-2</v>
      </c>
    </row>
    <row r="76" spans="1:24" ht="15.75">
      <c r="A76" s="573">
        <v>67</v>
      </c>
      <c r="B76" s="574" t="s">
        <v>693</v>
      </c>
      <c r="C76" s="575">
        <v>44103</v>
      </c>
      <c r="D76" s="576" t="s">
        <v>24</v>
      </c>
      <c r="E76" s="577" t="s">
        <v>694</v>
      </c>
      <c r="F76" s="640" t="s">
        <v>658</v>
      </c>
      <c r="G76" s="652" t="s">
        <v>156</v>
      </c>
      <c r="H76" s="651">
        <v>1</v>
      </c>
      <c r="I76" s="581" t="s">
        <v>207</v>
      </c>
      <c r="J76" s="651">
        <v>3</v>
      </c>
      <c r="K76" s="583" t="s">
        <v>197</v>
      </c>
      <c r="L76" s="584">
        <f t="shared" si="2"/>
        <v>3</v>
      </c>
      <c r="M76" s="1062"/>
      <c r="N76" s="575">
        <v>44103</v>
      </c>
      <c r="O76" s="624" t="s">
        <v>219</v>
      </c>
      <c r="P76" s="632"/>
      <c r="Q76" s="639"/>
      <c r="R76" s="624" t="s">
        <v>4</v>
      </c>
      <c r="S76" s="585" t="s">
        <v>178</v>
      </c>
      <c r="T76" s="585" t="s">
        <v>178</v>
      </c>
      <c r="U76" s="1066"/>
      <c r="V76" s="585"/>
      <c r="X76" s="239">
        <f t="shared" si="1"/>
        <v>3.0000000000000001E-3</v>
      </c>
    </row>
    <row r="77" spans="1:24" ht="15.75">
      <c r="A77" s="573">
        <v>67</v>
      </c>
      <c r="B77" s="574" t="s">
        <v>693</v>
      </c>
      <c r="C77" s="575">
        <v>44103</v>
      </c>
      <c r="D77" s="576" t="s">
        <v>24</v>
      </c>
      <c r="E77" s="577" t="s">
        <v>694</v>
      </c>
      <c r="F77" s="640" t="s">
        <v>704</v>
      </c>
      <c r="G77" s="652" t="s">
        <v>717</v>
      </c>
      <c r="H77" s="651">
        <v>2</v>
      </c>
      <c r="I77" s="581" t="s">
        <v>207</v>
      </c>
      <c r="J77" s="651">
        <v>5</v>
      </c>
      <c r="K77" s="583" t="s">
        <v>197</v>
      </c>
      <c r="L77" s="584">
        <f t="shared" si="2"/>
        <v>10</v>
      </c>
      <c r="M77" s="1062"/>
      <c r="N77" s="575">
        <v>44103</v>
      </c>
      <c r="O77" s="624" t="s">
        <v>219</v>
      </c>
      <c r="P77" s="632"/>
      <c r="Q77" s="639"/>
      <c r="R77" s="624" t="s">
        <v>4</v>
      </c>
      <c r="S77" s="585" t="s">
        <v>178</v>
      </c>
      <c r="T77" s="585" t="s">
        <v>178</v>
      </c>
      <c r="U77" s="1066"/>
      <c r="V77" s="585"/>
      <c r="X77" s="239">
        <f t="shared" si="1"/>
        <v>0.01</v>
      </c>
    </row>
    <row r="78" spans="1:24" ht="15.75">
      <c r="A78" s="573">
        <v>67</v>
      </c>
      <c r="B78" s="574" t="s">
        <v>693</v>
      </c>
      <c r="C78" s="575">
        <v>44103</v>
      </c>
      <c r="D78" s="576" t="s">
        <v>24</v>
      </c>
      <c r="E78" s="577" t="s">
        <v>694</v>
      </c>
      <c r="F78" s="640" t="s">
        <v>705</v>
      </c>
      <c r="G78" s="652" t="s">
        <v>290</v>
      </c>
      <c r="H78" s="651">
        <v>1</v>
      </c>
      <c r="I78" s="581" t="s">
        <v>207</v>
      </c>
      <c r="J78" s="651">
        <v>71.400000000000006</v>
      </c>
      <c r="K78" s="583" t="s">
        <v>197</v>
      </c>
      <c r="L78" s="584">
        <f t="shared" si="2"/>
        <v>71.400000000000006</v>
      </c>
      <c r="M78" s="1062"/>
      <c r="N78" s="575">
        <v>44103</v>
      </c>
      <c r="O78" s="624" t="s">
        <v>219</v>
      </c>
      <c r="P78" s="632"/>
      <c r="Q78" s="639"/>
      <c r="R78" s="624" t="s">
        <v>4</v>
      </c>
      <c r="S78" s="585" t="s">
        <v>178</v>
      </c>
      <c r="T78" s="585" t="s">
        <v>178</v>
      </c>
      <c r="U78" s="1066"/>
      <c r="V78" s="585"/>
      <c r="X78" s="239">
        <f t="shared" ref="X78:X141" si="3">L78/1000</f>
        <v>7.1400000000000005E-2</v>
      </c>
    </row>
    <row r="79" spans="1:24" ht="15.75">
      <c r="A79" s="573">
        <v>67</v>
      </c>
      <c r="B79" s="574" t="s">
        <v>693</v>
      </c>
      <c r="C79" s="575">
        <v>44103</v>
      </c>
      <c r="D79" s="576" t="s">
        <v>24</v>
      </c>
      <c r="E79" s="577" t="s">
        <v>694</v>
      </c>
      <c r="F79" s="640" t="s">
        <v>706</v>
      </c>
      <c r="G79" s="652" t="s">
        <v>290</v>
      </c>
      <c r="H79" s="651">
        <v>1</v>
      </c>
      <c r="I79" s="581" t="s">
        <v>207</v>
      </c>
      <c r="J79" s="651">
        <v>72.63</v>
      </c>
      <c r="K79" s="583" t="s">
        <v>197</v>
      </c>
      <c r="L79" s="584">
        <f t="shared" ref="L79:L107" si="4">J79*H79</f>
        <v>72.63</v>
      </c>
      <c r="M79" s="1062"/>
      <c r="N79" s="575">
        <v>44103</v>
      </c>
      <c r="O79" s="624" t="s">
        <v>219</v>
      </c>
      <c r="P79" s="632"/>
      <c r="Q79" s="639"/>
      <c r="R79" s="624" t="s">
        <v>4</v>
      </c>
      <c r="S79" s="585" t="s">
        <v>178</v>
      </c>
      <c r="T79" s="585" t="s">
        <v>178</v>
      </c>
      <c r="U79" s="1066"/>
      <c r="V79" s="585"/>
      <c r="X79" s="239">
        <f t="shared" si="3"/>
        <v>7.263E-2</v>
      </c>
    </row>
    <row r="80" spans="1:24" ht="15.75">
      <c r="A80" s="573">
        <v>67</v>
      </c>
      <c r="B80" s="574" t="s">
        <v>693</v>
      </c>
      <c r="C80" s="575">
        <v>44103</v>
      </c>
      <c r="D80" s="576" t="s">
        <v>24</v>
      </c>
      <c r="E80" s="577" t="s">
        <v>694</v>
      </c>
      <c r="F80" s="640" t="s">
        <v>707</v>
      </c>
      <c r="G80" s="652" t="s">
        <v>290</v>
      </c>
      <c r="H80" s="651">
        <v>1</v>
      </c>
      <c r="I80" s="581" t="s">
        <v>207</v>
      </c>
      <c r="J80" s="651">
        <v>51</v>
      </c>
      <c r="K80" s="583" t="s">
        <v>197</v>
      </c>
      <c r="L80" s="584">
        <f t="shared" si="4"/>
        <v>51</v>
      </c>
      <c r="M80" s="1062"/>
      <c r="N80" s="575">
        <v>44103</v>
      </c>
      <c r="O80" s="624" t="s">
        <v>219</v>
      </c>
      <c r="P80" s="632"/>
      <c r="Q80" s="639"/>
      <c r="R80" s="624" t="s">
        <v>4</v>
      </c>
      <c r="S80" s="585" t="s">
        <v>178</v>
      </c>
      <c r="T80" s="585" t="s">
        <v>178</v>
      </c>
      <c r="U80" s="1066"/>
      <c r="V80" s="585"/>
      <c r="X80" s="239">
        <f t="shared" si="3"/>
        <v>5.0999999999999997E-2</v>
      </c>
    </row>
    <row r="81" spans="1:31" ht="15.75">
      <c r="A81" s="573">
        <v>67</v>
      </c>
      <c r="B81" s="574" t="s">
        <v>693</v>
      </c>
      <c r="C81" s="575">
        <v>44103</v>
      </c>
      <c r="D81" s="576" t="s">
        <v>24</v>
      </c>
      <c r="E81" s="577" t="s">
        <v>694</v>
      </c>
      <c r="F81" s="643" t="s">
        <v>708</v>
      </c>
      <c r="G81" s="643" t="s">
        <v>290</v>
      </c>
      <c r="H81" s="650">
        <v>2</v>
      </c>
      <c r="I81" s="581" t="s">
        <v>207</v>
      </c>
      <c r="J81" s="650">
        <v>20.81</v>
      </c>
      <c r="K81" s="583" t="s">
        <v>197</v>
      </c>
      <c r="L81" s="584">
        <f t="shared" si="4"/>
        <v>41.62</v>
      </c>
      <c r="M81" s="1062"/>
      <c r="N81" s="575">
        <v>44103</v>
      </c>
      <c r="O81" s="624" t="s">
        <v>219</v>
      </c>
      <c r="P81" s="632"/>
      <c r="Q81" s="639"/>
      <c r="R81" s="624" t="s">
        <v>4</v>
      </c>
      <c r="S81" s="585" t="s">
        <v>178</v>
      </c>
      <c r="T81" s="585" t="s">
        <v>178</v>
      </c>
      <c r="U81" s="1066"/>
      <c r="V81" s="585"/>
      <c r="X81" s="239">
        <f t="shared" si="3"/>
        <v>4.1619999999999997E-2</v>
      </c>
    </row>
    <row r="82" spans="1:31" ht="15.75">
      <c r="A82" s="573">
        <v>67</v>
      </c>
      <c r="B82" s="574" t="s">
        <v>693</v>
      </c>
      <c r="C82" s="575">
        <v>44103</v>
      </c>
      <c r="D82" s="576" t="s">
        <v>24</v>
      </c>
      <c r="E82" s="577" t="s">
        <v>694</v>
      </c>
      <c r="F82" s="578" t="s">
        <v>709</v>
      </c>
      <c r="G82" s="653" t="s">
        <v>290</v>
      </c>
      <c r="H82" s="649">
        <v>1</v>
      </c>
      <c r="I82" s="581" t="s">
        <v>207</v>
      </c>
      <c r="J82" s="650">
        <v>25.3</v>
      </c>
      <c r="K82" s="583" t="s">
        <v>197</v>
      </c>
      <c r="L82" s="584">
        <f t="shared" si="4"/>
        <v>25.3</v>
      </c>
      <c r="M82" s="1062"/>
      <c r="N82" s="575">
        <v>44103</v>
      </c>
      <c r="O82" s="624" t="s">
        <v>219</v>
      </c>
      <c r="P82" s="632"/>
      <c r="Q82" s="639"/>
      <c r="R82" s="624" t="s">
        <v>4</v>
      </c>
      <c r="S82" s="585" t="s">
        <v>178</v>
      </c>
      <c r="T82" s="585" t="s">
        <v>178</v>
      </c>
      <c r="U82" s="1066"/>
      <c r="V82" s="585"/>
      <c r="X82" s="239">
        <f t="shared" si="3"/>
        <v>2.53E-2</v>
      </c>
    </row>
    <row r="83" spans="1:31" s="7" customFormat="1" ht="15.75">
      <c r="A83" s="586">
        <v>67</v>
      </c>
      <c r="B83" s="587" t="s">
        <v>693</v>
      </c>
      <c r="C83" s="588">
        <v>44103</v>
      </c>
      <c r="D83" s="589" t="s">
        <v>24</v>
      </c>
      <c r="E83" s="590" t="s">
        <v>694</v>
      </c>
      <c r="F83" s="591" t="s">
        <v>710</v>
      </c>
      <c r="G83" s="654" t="s">
        <v>290</v>
      </c>
      <c r="H83" s="655">
        <v>1</v>
      </c>
      <c r="I83" s="594" t="s">
        <v>207</v>
      </c>
      <c r="J83" s="656">
        <v>41.62</v>
      </c>
      <c r="K83" s="595" t="s">
        <v>197</v>
      </c>
      <c r="L83" s="596">
        <f t="shared" si="4"/>
        <v>41.62</v>
      </c>
      <c r="M83" s="1064"/>
      <c r="N83" s="588">
        <v>44103</v>
      </c>
      <c r="O83" s="628" t="s">
        <v>219</v>
      </c>
      <c r="P83" s="633"/>
      <c r="Q83" s="646"/>
      <c r="R83" s="628" t="s">
        <v>4</v>
      </c>
      <c r="S83" s="597" t="s">
        <v>178</v>
      </c>
      <c r="T83" s="597" t="s">
        <v>178</v>
      </c>
      <c r="U83" s="1067"/>
      <c r="V83" s="597"/>
      <c r="W83"/>
      <c r="X83" s="239">
        <f t="shared" si="3"/>
        <v>4.1619999999999997E-2</v>
      </c>
      <c r="Y83"/>
      <c r="Z83"/>
      <c r="AA83"/>
      <c r="AB83"/>
      <c r="AC83"/>
      <c r="AD83"/>
      <c r="AE83"/>
    </row>
    <row r="84" spans="1:31" s="7" customFormat="1" ht="15.75">
      <c r="A84" s="339"/>
      <c r="B84" s="211"/>
      <c r="C84" s="352"/>
      <c r="D84" s="295"/>
      <c r="E84" s="544"/>
      <c r="F84" s="21"/>
      <c r="G84" s="21"/>
      <c r="H84" s="207"/>
      <c r="I84" s="177"/>
      <c r="J84" s="599"/>
      <c r="K84" s="189"/>
      <c r="L84" s="167">
        <f t="shared" si="4"/>
        <v>0</v>
      </c>
      <c r="M84" s="174"/>
      <c r="N84" s="352"/>
      <c r="O84" s="198"/>
      <c r="P84" s="178"/>
      <c r="Q84" s="21"/>
      <c r="R84" s="198"/>
      <c r="S84" s="342"/>
      <c r="T84" s="198"/>
      <c r="U84" s="423"/>
      <c r="V84" s="342"/>
      <c r="W84"/>
      <c r="X84" s="239">
        <f t="shared" si="3"/>
        <v>0</v>
      </c>
      <c r="Y84"/>
      <c r="Z84"/>
      <c r="AA84"/>
      <c r="AB84"/>
      <c r="AC84"/>
      <c r="AD84"/>
      <c r="AE84"/>
    </row>
    <row r="85" spans="1:31" ht="15.75">
      <c r="A85" s="339"/>
      <c r="B85" s="211"/>
      <c r="C85" s="352"/>
      <c r="D85" s="295"/>
      <c r="E85" s="544"/>
      <c r="F85" s="21"/>
      <c r="G85" s="21"/>
      <c r="H85" s="207"/>
      <c r="I85" s="177"/>
      <c r="J85" s="599"/>
      <c r="K85" s="189"/>
      <c r="L85" s="167">
        <f t="shared" si="4"/>
        <v>0</v>
      </c>
      <c r="M85" s="174"/>
      <c r="N85" s="352"/>
      <c r="O85" s="198"/>
      <c r="P85" s="178"/>
      <c r="Q85" s="21"/>
      <c r="R85" s="198"/>
      <c r="S85" s="342"/>
      <c r="T85" s="198"/>
      <c r="U85" s="423"/>
      <c r="V85" s="342"/>
      <c r="X85" s="239">
        <f t="shared" si="3"/>
        <v>0</v>
      </c>
    </row>
    <row r="86" spans="1:31" ht="15.75">
      <c r="A86" s="339"/>
      <c r="B86" s="211"/>
      <c r="C86" s="352"/>
      <c r="D86" s="295"/>
      <c r="E86" s="544"/>
      <c r="F86" s="21"/>
      <c r="G86" s="21"/>
      <c r="H86" s="207"/>
      <c r="I86" s="177"/>
      <c r="J86" s="599"/>
      <c r="K86" s="189"/>
      <c r="L86" s="167">
        <f t="shared" si="4"/>
        <v>0</v>
      </c>
      <c r="M86" s="174"/>
      <c r="N86" s="352"/>
      <c r="O86" s="198"/>
      <c r="P86" s="178"/>
      <c r="Q86" s="21"/>
      <c r="R86" s="198"/>
      <c r="S86" s="342"/>
      <c r="T86" s="198"/>
      <c r="U86" s="423"/>
      <c r="V86" s="342"/>
      <c r="X86" s="239">
        <f t="shared" si="3"/>
        <v>0</v>
      </c>
    </row>
    <row r="87" spans="1:31" ht="15.75">
      <c r="A87" s="339"/>
      <c r="B87" s="211"/>
      <c r="C87" s="352"/>
      <c r="D87" s="295"/>
      <c r="E87" s="544"/>
      <c r="F87" s="21"/>
      <c r="G87" s="21"/>
      <c r="H87" s="207"/>
      <c r="I87" s="177"/>
      <c r="J87" s="599"/>
      <c r="K87" s="189"/>
      <c r="L87" s="167">
        <f t="shared" si="4"/>
        <v>0</v>
      </c>
      <c r="M87" s="174"/>
      <c r="N87" s="352"/>
      <c r="O87" s="198"/>
      <c r="P87" s="178"/>
      <c r="Q87" s="21"/>
      <c r="R87" s="198"/>
      <c r="S87" s="342"/>
      <c r="T87" s="198"/>
      <c r="U87" s="423"/>
      <c r="V87" s="342"/>
      <c r="X87" s="239">
        <f t="shared" si="3"/>
        <v>0</v>
      </c>
    </row>
    <row r="88" spans="1:31" ht="15.75">
      <c r="A88" s="339"/>
      <c r="B88" s="211"/>
      <c r="C88" s="352"/>
      <c r="D88" s="295"/>
      <c r="E88" s="544"/>
      <c r="F88" s="21"/>
      <c r="G88" s="21"/>
      <c r="H88" s="207"/>
      <c r="I88" s="177"/>
      <c r="J88" s="599"/>
      <c r="K88" s="189"/>
      <c r="L88" s="167">
        <f t="shared" si="4"/>
        <v>0</v>
      </c>
      <c r="M88" s="174"/>
      <c r="N88" s="352"/>
      <c r="O88" s="198"/>
      <c r="P88" s="178"/>
      <c r="Q88" s="21"/>
      <c r="R88" s="198"/>
      <c r="S88" s="342"/>
      <c r="T88" s="198"/>
      <c r="U88" s="423"/>
      <c r="V88" s="342"/>
      <c r="X88" s="239">
        <f t="shared" si="3"/>
        <v>0</v>
      </c>
    </row>
    <row r="89" spans="1:31" ht="15.75">
      <c r="A89" s="339"/>
      <c r="B89" s="211"/>
      <c r="C89" s="352"/>
      <c r="D89" s="295"/>
      <c r="E89" s="544"/>
      <c r="F89" s="21"/>
      <c r="G89" s="21"/>
      <c r="H89" s="207"/>
      <c r="I89" s="177"/>
      <c r="J89" s="599"/>
      <c r="K89" s="189"/>
      <c r="L89" s="167">
        <f t="shared" si="4"/>
        <v>0</v>
      </c>
      <c r="M89" s="174"/>
      <c r="N89" s="352"/>
      <c r="O89" s="198"/>
      <c r="P89" s="178"/>
      <c r="Q89" s="21"/>
      <c r="R89" s="198"/>
      <c r="S89" s="342"/>
      <c r="T89" s="198"/>
      <c r="U89" s="423"/>
      <c r="V89" s="342"/>
      <c r="X89" s="239">
        <f t="shared" si="3"/>
        <v>0</v>
      </c>
    </row>
    <row r="90" spans="1:31" ht="15.75">
      <c r="A90" s="339"/>
      <c r="B90" s="211"/>
      <c r="C90" s="352"/>
      <c r="D90" s="295"/>
      <c r="E90" s="544"/>
      <c r="F90" s="21"/>
      <c r="G90" s="21"/>
      <c r="H90" s="207"/>
      <c r="I90" s="177"/>
      <c r="J90" s="599"/>
      <c r="K90" s="189"/>
      <c r="L90" s="167">
        <f t="shared" si="4"/>
        <v>0</v>
      </c>
      <c r="M90" s="174"/>
      <c r="N90" s="352"/>
      <c r="O90" s="198"/>
      <c r="P90" s="178"/>
      <c r="Q90" s="21"/>
      <c r="R90" s="198"/>
      <c r="S90" s="342"/>
      <c r="T90" s="198"/>
      <c r="U90" s="423"/>
      <c r="V90" s="342"/>
      <c r="X90" s="239">
        <f t="shared" si="3"/>
        <v>0</v>
      </c>
    </row>
    <row r="91" spans="1:31" ht="15.75">
      <c r="A91" s="339"/>
      <c r="B91" s="211"/>
      <c r="C91" s="352"/>
      <c r="D91" s="295"/>
      <c r="E91" s="544"/>
      <c r="F91" s="21"/>
      <c r="G91" s="21"/>
      <c r="H91" s="207"/>
      <c r="I91" s="177"/>
      <c r="J91" s="599"/>
      <c r="K91" s="189"/>
      <c r="L91" s="167">
        <f t="shared" si="4"/>
        <v>0</v>
      </c>
      <c r="M91" s="174"/>
      <c r="N91" s="352"/>
      <c r="O91" s="198"/>
      <c r="P91" s="178"/>
      <c r="Q91" s="21"/>
      <c r="R91" s="198"/>
      <c r="S91" s="342"/>
      <c r="T91" s="198"/>
      <c r="U91" s="423"/>
      <c r="V91" s="342"/>
      <c r="X91" s="239">
        <f t="shared" si="3"/>
        <v>0</v>
      </c>
    </row>
    <row r="92" spans="1:31" ht="15.75">
      <c r="A92" s="339"/>
      <c r="B92" s="211"/>
      <c r="C92" s="352"/>
      <c r="D92" s="295"/>
      <c r="E92" s="544"/>
      <c r="F92" s="21"/>
      <c r="G92" s="21"/>
      <c r="H92" s="207"/>
      <c r="I92" s="177"/>
      <c r="J92" s="599"/>
      <c r="K92" s="189"/>
      <c r="L92" s="167">
        <f t="shared" si="4"/>
        <v>0</v>
      </c>
      <c r="M92" s="174"/>
      <c r="N92" s="352"/>
      <c r="O92" s="198"/>
      <c r="P92" s="178"/>
      <c r="Q92" s="21"/>
      <c r="R92" s="198"/>
      <c r="S92" s="342"/>
      <c r="T92" s="198"/>
      <c r="U92" s="423"/>
      <c r="V92" s="342"/>
      <c r="X92" s="239">
        <f t="shared" si="3"/>
        <v>0</v>
      </c>
    </row>
    <row r="93" spans="1:31" ht="31.5" customHeight="1">
      <c r="A93" s="339"/>
      <c r="B93" s="211"/>
      <c r="C93" s="352"/>
      <c r="D93" s="295"/>
      <c r="E93" s="544"/>
      <c r="F93" s="21"/>
      <c r="G93" s="21"/>
      <c r="H93" s="207"/>
      <c r="I93" s="177"/>
      <c r="J93" s="599"/>
      <c r="K93" s="189"/>
      <c r="L93" s="167">
        <f t="shared" si="4"/>
        <v>0</v>
      </c>
      <c r="M93" s="174"/>
      <c r="N93" s="352"/>
      <c r="O93" s="198"/>
      <c r="P93" s="178"/>
      <c r="Q93" s="21"/>
      <c r="R93" s="198"/>
      <c r="S93" s="342"/>
      <c r="T93" s="198"/>
      <c r="U93" s="423"/>
      <c r="V93" s="342"/>
      <c r="X93" s="239">
        <f t="shared" si="3"/>
        <v>0</v>
      </c>
    </row>
    <row r="94" spans="1:31" ht="15.75">
      <c r="A94" s="339"/>
      <c r="B94" s="211"/>
      <c r="C94" s="352"/>
      <c r="D94" s="295"/>
      <c r="E94" s="544"/>
      <c r="F94" s="21"/>
      <c r="G94" s="21"/>
      <c r="H94" s="207"/>
      <c r="I94" s="177"/>
      <c r="J94" s="599"/>
      <c r="K94" s="189"/>
      <c r="L94" s="167">
        <f t="shared" si="4"/>
        <v>0</v>
      </c>
      <c r="M94" s="174"/>
      <c r="N94" s="352"/>
      <c r="O94" s="198"/>
      <c r="P94" s="178"/>
      <c r="Q94" s="21"/>
      <c r="R94" s="198"/>
      <c r="S94" s="342"/>
      <c r="T94" s="198"/>
      <c r="U94" s="423"/>
      <c r="V94" s="342"/>
      <c r="X94" s="239">
        <f t="shared" si="3"/>
        <v>0</v>
      </c>
    </row>
    <row r="95" spans="1:31" ht="15.75">
      <c r="A95" s="339"/>
      <c r="B95" s="211"/>
      <c r="C95" s="352"/>
      <c r="D95" s="295"/>
      <c r="E95" s="544"/>
      <c r="F95" s="21"/>
      <c r="G95" s="21"/>
      <c r="H95" s="207"/>
      <c r="I95" s="177"/>
      <c r="J95" s="599"/>
      <c r="K95" s="189"/>
      <c r="L95" s="167">
        <f t="shared" si="4"/>
        <v>0</v>
      </c>
      <c r="M95" s="174"/>
      <c r="N95" s="352"/>
      <c r="O95" s="198"/>
      <c r="P95" s="178"/>
      <c r="Q95" s="21"/>
      <c r="R95" s="198"/>
      <c r="S95" s="342"/>
      <c r="T95" s="198"/>
      <c r="U95" s="423"/>
      <c r="V95" s="342"/>
      <c r="X95" s="239">
        <f t="shared" si="3"/>
        <v>0</v>
      </c>
    </row>
    <row r="96" spans="1:31" ht="15.75">
      <c r="A96" s="339"/>
      <c r="B96" s="211"/>
      <c r="C96" s="352"/>
      <c r="D96" s="295"/>
      <c r="E96" s="544"/>
      <c r="F96" s="21"/>
      <c r="G96" s="21"/>
      <c r="H96" s="207"/>
      <c r="I96" s="177"/>
      <c r="J96" s="599"/>
      <c r="K96" s="189"/>
      <c r="L96" s="167">
        <f t="shared" si="4"/>
        <v>0</v>
      </c>
      <c r="M96" s="174"/>
      <c r="N96" s="352"/>
      <c r="O96" s="198"/>
      <c r="P96" s="178"/>
      <c r="Q96" s="21"/>
      <c r="R96" s="198"/>
      <c r="S96" s="342"/>
      <c r="T96" s="198"/>
      <c r="U96" s="423"/>
      <c r="V96" s="342"/>
      <c r="X96" s="239">
        <f t="shared" si="3"/>
        <v>0</v>
      </c>
    </row>
    <row r="97" spans="1:24" ht="15.75">
      <c r="A97" s="339"/>
      <c r="B97" s="211"/>
      <c r="C97" s="352"/>
      <c r="D97" s="295"/>
      <c r="E97" s="544"/>
      <c r="F97" s="21"/>
      <c r="G97" s="21"/>
      <c r="H97" s="207"/>
      <c r="I97" s="177"/>
      <c r="J97" s="599"/>
      <c r="K97" s="189"/>
      <c r="L97" s="167">
        <f t="shared" si="4"/>
        <v>0</v>
      </c>
      <c r="M97" s="174"/>
      <c r="N97" s="352"/>
      <c r="O97" s="198"/>
      <c r="P97" s="178"/>
      <c r="Q97" s="21"/>
      <c r="R97" s="198"/>
      <c r="S97" s="342"/>
      <c r="T97" s="198"/>
      <c r="U97" s="423"/>
      <c r="V97" s="342"/>
      <c r="X97" s="239">
        <f t="shared" si="3"/>
        <v>0</v>
      </c>
    </row>
    <row r="98" spans="1:24" ht="15.75">
      <c r="A98" s="339"/>
      <c r="B98" s="211"/>
      <c r="C98" s="352"/>
      <c r="D98" s="295"/>
      <c r="E98" s="544"/>
      <c r="F98" s="21"/>
      <c r="G98" s="21"/>
      <c r="H98" s="207"/>
      <c r="I98" s="177"/>
      <c r="J98" s="599"/>
      <c r="K98" s="189"/>
      <c r="L98" s="167">
        <f t="shared" si="4"/>
        <v>0</v>
      </c>
      <c r="M98" s="174"/>
      <c r="N98" s="352"/>
      <c r="O98" s="198"/>
      <c r="P98" s="178"/>
      <c r="Q98" s="21"/>
      <c r="R98" s="198"/>
      <c r="S98" s="342"/>
      <c r="T98" s="198"/>
      <c r="U98" s="423"/>
      <c r="V98" s="342"/>
      <c r="X98" s="239">
        <f t="shared" si="3"/>
        <v>0</v>
      </c>
    </row>
    <row r="99" spans="1:24" ht="15.75">
      <c r="A99" s="339"/>
      <c r="B99" s="211"/>
      <c r="C99" s="352"/>
      <c r="D99" s="295"/>
      <c r="E99" s="544"/>
      <c r="F99" s="21"/>
      <c r="G99" s="21"/>
      <c r="H99" s="207"/>
      <c r="I99" s="177"/>
      <c r="J99" s="599"/>
      <c r="K99" s="189"/>
      <c r="L99" s="167">
        <f t="shared" si="4"/>
        <v>0</v>
      </c>
      <c r="M99" s="174"/>
      <c r="N99" s="352"/>
      <c r="O99" s="198"/>
      <c r="P99" s="178"/>
      <c r="Q99" s="21"/>
      <c r="R99" s="198"/>
      <c r="S99" s="342"/>
      <c r="T99" s="198"/>
      <c r="U99" s="423"/>
      <c r="V99" s="342"/>
      <c r="X99" s="239">
        <f t="shared" si="3"/>
        <v>0</v>
      </c>
    </row>
    <row r="100" spans="1:24" ht="15.75">
      <c r="A100" s="339"/>
      <c r="B100" s="211"/>
      <c r="C100" s="352"/>
      <c r="D100" s="295"/>
      <c r="E100" s="544"/>
      <c r="F100" s="21"/>
      <c r="G100" s="21"/>
      <c r="H100" s="207"/>
      <c r="I100" s="177"/>
      <c r="J100" s="599"/>
      <c r="K100" s="189"/>
      <c r="L100" s="167">
        <f t="shared" si="4"/>
        <v>0</v>
      </c>
      <c r="M100" s="174"/>
      <c r="N100" s="352"/>
      <c r="O100" s="198"/>
      <c r="P100" s="178"/>
      <c r="Q100" s="21"/>
      <c r="R100" s="198"/>
      <c r="S100" s="342"/>
      <c r="T100" s="198"/>
      <c r="U100" s="423"/>
      <c r="V100" s="342"/>
      <c r="X100" s="239">
        <f t="shared" si="3"/>
        <v>0</v>
      </c>
    </row>
    <row r="101" spans="1:24" ht="15.75">
      <c r="A101" s="339"/>
      <c r="B101" s="211"/>
      <c r="C101" s="352"/>
      <c r="D101" s="295"/>
      <c r="E101" s="544"/>
      <c r="F101" s="21"/>
      <c r="G101" s="21"/>
      <c r="H101" s="207"/>
      <c r="I101" s="177"/>
      <c r="J101" s="599"/>
      <c r="K101" s="189"/>
      <c r="L101" s="167">
        <f t="shared" si="4"/>
        <v>0</v>
      </c>
      <c r="M101" s="174"/>
      <c r="N101" s="352"/>
      <c r="O101" s="198"/>
      <c r="P101" s="178"/>
      <c r="Q101" s="21"/>
      <c r="R101" s="198"/>
      <c r="S101" s="342"/>
      <c r="T101" s="198"/>
      <c r="U101" s="423"/>
      <c r="V101" s="342"/>
      <c r="X101" s="239">
        <f t="shared" si="3"/>
        <v>0</v>
      </c>
    </row>
    <row r="102" spans="1:24" ht="15.75">
      <c r="A102" s="339"/>
      <c r="B102" s="211"/>
      <c r="C102" s="352"/>
      <c r="D102" s="295"/>
      <c r="E102" s="544"/>
      <c r="F102" s="21"/>
      <c r="G102" s="21"/>
      <c r="H102" s="207"/>
      <c r="I102" s="177"/>
      <c r="J102" s="320"/>
      <c r="K102" s="189"/>
      <c r="L102" s="167">
        <f t="shared" si="4"/>
        <v>0</v>
      </c>
      <c r="M102" s="174"/>
      <c r="N102" s="352"/>
      <c r="O102" s="198"/>
      <c r="P102" s="178"/>
      <c r="Q102" s="21"/>
      <c r="R102" s="198"/>
      <c r="S102" s="342"/>
      <c r="T102" s="198"/>
      <c r="U102" s="423"/>
      <c r="V102" s="342"/>
      <c r="X102" s="239">
        <f t="shared" si="3"/>
        <v>0</v>
      </c>
    </row>
    <row r="103" spans="1:24" ht="15.75">
      <c r="A103" s="339"/>
      <c r="B103" s="211"/>
      <c r="C103" s="352"/>
      <c r="D103" s="295"/>
      <c r="E103" s="544"/>
      <c r="F103" s="21"/>
      <c r="G103" s="21"/>
      <c r="H103" s="207"/>
      <c r="I103" s="177"/>
      <c r="J103" s="320"/>
      <c r="K103" s="189"/>
      <c r="L103" s="167">
        <f t="shared" si="4"/>
        <v>0</v>
      </c>
      <c r="M103" s="174"/>
      <c r="N103" s="352"/>
      <c r="O103" s="198"/>
      <c r="P103" s="178"/>
      <c r="Q103" s="21"/>
      <c r="R103" s="198"/>
      <c r="S103" s="342"/>
      <c r="T103" s="198"/>
      <c r="U103" s="423"/>
      <c r="V103" s="342"/>
      <c r="X103" s="239">
        <f t="shared" si="3"/>
        <v>0</v>
      </c>
    </row>
    <row r="104" spans="1:24" ht="15.75">
      <c r="A104" s="339"/>
      <c r="B104" s="211"/>
      <c r="C104" s="352"/>
      <c r="D104" s="295"/>
      <c r="E104" s="544"/>
      <c r="F104" s="21"/>
      <c r="G104" s="21"/>
      <c r="H104" s="207"/>
      <c r="I104" s="177"/>
      <c r="J104" s="320"/>
      <c r="K104" s="189"/>
      <c r="L104" s="167">
        <f t="shared" si="4"/>
        <v>0</v>
      </c>
      <c r="M104" s="174"/>
      <c r="N104" s="352"/>
      <c r="O104" s="198"/>
      <c r="P104" s="178"/>
      <c r="Q104" s="21"/>
      <c r="R104" s="198"/>
      <c r="S104" s="342"/>
      <c r="T104" s="198"/>
      <c r="U104" s="423"/>
      <c r="V104" s="342"/>
      <c r="X104" s="239">
        <f t="shared" si="3"/>
        <v>0</v>
      </c>
    </row>
    <row r="105" spans="1:24" ht="15.75">
      <c r="A105" s="339"/>
      <c r="B105" s="211"/>
      <c r="C105" s="352"/>
      <c r="D105" s="295"/>
      <c r="E105" s="544"/>
      <c r="F105" s="21"/>
      <c r="G105" s="21"/>
      <c r="H105" s="207"/>
      <c r="I105" s="177"/>
      <c r="J105" s="320"/>
      <c r="K105" s="189"/>
      <c r="L105" s="167">
        <f t="shared" si="4"/>
        <v>0</v>
      </c>
      <c r="M105" s="174"/>
      <c r="N105" s="352"/>
      <c r="O105" s="198"/>
      <c r="P105" s="178"/>
      <c r="Q105" s="21"/>
      <c r="R105" s="198"/>
      <c r="S105" s="342"/>
      <c r="T105" s="198"/>
      <c r="U105" s="423"/>
      <c r="V105" s="342"/>
      <c r="X105" s="239">
        <f t="shared" si="3"/>
        <v>0</v>
      </c>
    </row>
    <row r="106" spans="1:24" ht="15.75">
      <c r="A106" s="339"/>
      <c r="B106" s="211"/>
      <c r="C106" s="352"/>
      <c r="D106" s="295"/>
      <c r="E106" s="544"/>
      <c r="F106" s="21"/>
      <c r="G106" s="21"/>
      <c r="H106" s="207"/>
      <c r="I106" s="177"/>
      <c r="J106" s="320"/>
      <c r="K106" s="189"/>
      <c r="L106" s="167">
        <f t="shared" si="4"/>
        <v>0</v>
      </c>
      <c r="M106" s="174"/>
      <c r="N106" s="352"/>
      <c r="O106" s="198"/>
      <c r="P106" s="178"/>
      <c r="Q106" s="21"/>
      <c r="R106" s="198"/>
      <c r="S106" s="342"/>
      <c r="T106" s="198"/>
      <c r="U106" s="423"/>
      <c r="V106" s="342"/>
      <c r="X106" s="239">
        <f t="shared" si="3"/>
        <v>0</v>
      </c>
    </row>
    <row r="107" spans="1:24" ht="15.75">
      <c r="A107" s="339"/>
      <c r="B107" s="211"/>
      <c r="C107" s="352"/>
      <c r="D107" s="295"/>
      <c r="E107" s="544"/>
      <c r="F107" s="21"/>
      <c r="G107" s="21"/>
      <c r="H107" s="207"/>
      <c r="I107" s="177"/>
      <c r="J107" s="320"/>
      <c r="K107" s="189"/>
      <c r="L107" s="167">
        <f t="shared" si="4"/>
        <v>0</v>
      </c>
      <c r="M107" s="174"/>
      <c r="N107" s="352"/>
      <c r="O107" s="198"/>
      <c r="P107" s="178"/>
      <c r="Q107" s="21"/>
      <c r="R107" s="198"/>
      <c r="S107" s="342"/>
      <c r="T107" s="198"/>
      <c r="U107" s="423"/>
      <c r="V107" s="342"/>
      <c r="X107" s="239">
        <f t="shared" si="3"/>
        <v>0</v>
      </c>
    </row>
    <row r="108" spans="1:24" ht="15.75">
      <c r="A108" s="339"/>
      <c r="B108" s="211"/>
      <c r="C108" s="352"/>
      <c r="D108" s="295"/>
      <c r="E108" s="544"/>
      <c r="F108" s="21"/>
      <c r="G108" s="21"/>
      <c r="H108" s="207"/>
      <c r="I108" s="177"/>
      <c r="J108" s="320"/>
      <c r="K108" s="189"/>
      <c r="L108" s="167"/>
      <c r="M108" s="174"/>
      <c r="N108" s="352"/>
      <c r="O108" s="198"/>
      <c r="P108" s="178"/>
      <c r="Q108" s="21"/>
      <c r="R108" s="198"/>
      <c r="S108" s="342"/>
      <c r="T108" s="198"/>
      <c r="U108" s="423"/>
      <c r="V108" s="342"/>
      <c r="X108" s="239">
        <f t="shared" si="3"/>
        <v>0</v>
      </c>
    </row>
    <row r="109" spans="1:24" ht="15.75">
      <c r="A109" s="339"/>
      <c r="B109" s="211"/>
      <c r="C109" s="352"/>
      <c r="D109" s="295"/>
      <c r="E109" s="544"/>
      <c r="F109" s="21"/>
      <c r="G109" s="21"/>
      <c r="H109" s="207"/>
      <c r="I109" s="177"/>
      <c r="J109" s="320"/>
      <c r="K109" s="189"/>
      <c r="L109" s="167"/>
      <c r="M109" s="174"/>
      <c r="N109" s="352"/>
      <c r="O109" s="198"/>
      <c r="P109" s="178"/>
      <c r="Q109" s="21"/>
      <c r="R109" s="198"/>
      <c r="S109" s="342"/>
      <c r="T109" s="198"/>
      <c r="U109" s="423"/>
      <c r="V109" s="342"/>
      <c r="X109" s="239">
        <f t="shared" si="3"/>
        <v>0</v>
      </c>
    </row>
    <row r="110" spans="1:24" ht="15.75">
      <c r="A110" s="339"/>
      <c r="B110" s="211"/>
      <c r="C110" s="352"/>
      <c r="D110" s="295"/>
      <c r="E110" s="544"/>
      <c r="F110" s="21"/>
      <c r="G110" s="21"/>
      <c r="H110" s="207"/>
      <c r="I110" s="177"/>
      <c r="J110" s="320"/>
      <c r="K110" s="189"/>
      <c r="L110" s="167"/>
      <c r="M110" s="174"/>
      <c r="N110" s="352"/>
      <c r="O110" s="198"/>
      <c r="P110" s="178"/>
      <c r="Q110" s="21"/>
      <c r="R110" s="198"/>
      <c r="S110" s="342"/>
      <c r="T110" s="198"/>
      <c r="U110" s="423"/>
      <c r="V110" s="342"/>
      <c r="X110" s="239">
        <f t="shared" si="3"/>
        <v>0</v>
      </c>
    </row>
    <row r="111" spans="1:24" ht="15.75">
      <c r="A111" s="339"/>
      <c r="B111" s="211"/>
      <c r="C111" s="352"/>
      <c r="D111" s="295"/>
      <c r="E111" s="544"/>
      <c r="F111" s="21"/>
      <c r="G111" s="21"/>
      <c r="H111" s="207"/>
      <c r="I111" s="177"/>
      <c r="J111" s="320"/>
      <c r="K111" s="189"/>
      <c r="L111" s="167"/>
      <c r="M111" s="174"/>
      <c r="N111" s="352"/>
      <c r="O111" s="198"/>
      <c r="P111" s="178"/>
      <c r="Q111" s="21"/>
      <c r="R111" s="198"/>
      <c r="S111" s="342"/>
      <c r="T111" s="198"/>
      <c r="U111" s="423"/>
      <c r="V111" s="342"/>
      <c r="X111" s="239">
        <f t="shared" si="3"/>
        <v>0</v>
      </c>
    </row>
    <row r="112" spans="1:24" ht="15.75">
      <c r="A112" s="339"/>
      <c r="B112" s="211"/>
      <c r="C112" s="352"/>
      <c r="D112" s="295"/>
      <c r="E112" s="544"/>
      <c r="F112" s="21"/>
      <c r="G112" s="21"/>
      <c r="H112" s="207"/>
      <c r="I112" s="177"/>
      <c r="J112" s="320"/>
      <c r="K112" s="189"/>
      <c r="L112" s="167"/>
      <c r="M112" s="174"/>
      <c r="N112" s="352"/>
      <c r="O112" s="198"/>
      <c r="P112" s="178"/>
      <c r="Q112" s="21"/>
      <c r="R112" s="198"/>
      <c r="S112" s="342"/>
      <c r="T112" s="198"/>
      <c r="U112" s="423"/>
      <c r="V112" s="342"/>
      <c r="X112" s="239">
        <f t="shared" si="3"/>
        <v>0</v>
      </c>
    </row>
    <row r="113" spans="1:24" ht="15.75">
      <c r="A113" s="339"/>
      <c r="B113" s="211"/>
      <c r="C113" s="352"/>
      <c r="D113" s="295"/>
      <c r="E113" s="544"/>
      <c r="F113" s="21"/>
      <c r="G113" s="21"/>
      <c r="H113" s="207"/>
      <c r="I113" s="177"/>
      <c r="J113" s="320"/>
      <c r="K113" s="189"/>
      <c r="L113" s="167"/>
      <c r="M113" s="174"/>
      <c r="N113" s="352"/>
      <c r="O113" s="198"/>
      <c r="P113" s="178"/>
      <c r="Q113" s="21"/>
      <c r="R113" s="198"/>
      <c r="S113" s="342"/>
      <c r="T113" s="198"/>
      <c r="U113" s="423"/>
      <c r="V113" s="342"/>
      <c r="X113" s="239">
        <f t="shared" si="3"/>
        <v>0</v>
      </c>
    </row>
    <row r="114" spans="1:24" ht="15.75">
      <c r="A114" s="339"/>
      <c r="B114" s="211"/>
      <c r="C114" s="352"/>
      <c r="D114" s="295"/>
      <c r="E114" s="544"/>
      <c r="F114" s="21"/>
      <c r="G114" s="21"/>
      <c r="H114" s="207"/>
      <c r="I114" s="177"/>
      <c r="J114" s="320"/>
      <c r="K114" s="189"/>
      <c r="L114" s="167"/>
      <c r="M114" s="174"/>
      <c r="N114" s="352"/>
      <c r="O114" s="198"/>
      <c r="P114" s="178"/>
      <c r="Q114" s="21"/>
      <c r="R114" s="198"/>
      <c r="S114" s="342"/>
      <c r="T114" s="198"/>
      <c r="U114" s="423"/>
      <c r="V114" s="342"/>
      <c r="X114" s="239">
        <f t="shared" si="3"/>
        <v>0</v>
      </c>
    </row>
    <row r="115" spans="1:24" ht="15.75">
      <c r="A115" s="339"/>
      <c r="B115" s="211"/>
      <c r="C115" s="352"/>
      <c r="D115" s="295"/>
      <c r="E115" s="544"/>
      <c r="F115" s="21"/>
      <c r="G115" s="21"/>
      <c r="H115" s="207"/>
      <c r="I115" s="177"/>
      <c r="J115" s="320"/>
      <c r="K115" s="189"/>
      <c r="L115" s="167"/>
      <c r="M115" s="174"/>
      <c r="N115" s="352"/>
      <c r="O115" s="198"/>
      <c r="P115" s="178"/>
      <c r="Q115" s="21"/>
      <c r="R115" s="198"/>
      <c r="S115" s="342"/>
      <c r="T115" s="198"/>
      <c r="U115" s="423"/>
      <c r="V115" s="342"/>
      <c r="X115" s="239">
        <f t="shared" si="3"/>
        <v>0</v>
      </c>
    </row>
    <row r="116" spans="1:24" ht="15.75">
      <c r="A116" s="339"/>
      <c r="B116" s="211"/>
      <c r="C116" s="352"/>
      <c r="D116" s="295"/>
      <c r="E116" s="544"/>
      <c r="F116" s="21"/>
      <c r="G116" s="21"/>
      <c r="H116" s="207"/>
      <c r="I116" s="177"/>
      <c r="J116" s="320"/>
      <c r="K116" s="189"/>
      <c r="L116" s="167"/>
      <c r="M116" s="174"/>
      <c r="N116" s="352"/>
      <c r="O116" s="198"/>
      <c r="P116" s="178"/>
      <c r="Q116" s="21"/>
      <c r="R116" s="198"/>
      <c r="S116" s="342"/>
      <c r="T116" s="198"/>
      <c r="U116" s="423"/>
      <c r="V116" s="342"/>
      <c r="X116" s="239">
        <f t="shared" si="3"/>
        <v>0</v>
      </c>
    </row>
    <row r="117" spans="1:24" ht="15.75">
      <c r="A117" s="339"/>
      <c r="B117" s="211"/>
      <c r="C117" s="352"/>
      <c r="D117" s="295"/>
      <c r="E117" s="544"/>
      <c r="F117" s="21"/>
      <c r="G117" s="21"/>
      <c r="H117" s="207"/>
      <c r="I117" s="177"/>
      <c r="J117" s="320"/>
      <c r="K117" s="189"/>
      <c r="L117" s="167"/>
      <c r="M117" s="174"/>
      <c r="N117" s="352"/>
      <c r="O117" s="198"/>
      <c r="P117" s="178"/>
      <c r="Q117" s="21"/>
      <c r="R117" s="198"/>
      <c r="S117" s="342"/>
      <c r="T117" s="198"/>
      <c r="U117" s="423"/>
      <c r="V117" s="342"/>
      <c r="X117" s="239">
        <f t="shared" si="3"/>
        <v>0</v>
      </c>
    </row>
    <row r="118" spans="1:24" ht="15.75">
      <c r="A118" s="339"/>
      <c r="B118" s="211"/>
      <c r="C118" s="352"/>
      <c r="D118" s="295"/>
      <c r="E118" s="544"/>
      <c r="F118" s="21"/>
      <c r="G118" s="21"/>
      <c r="H118" s="207"/>
      <c r="I118" s="177"/>
      <c r="J118" s="320"/>
      <c r="K118" s="189"/>
      <c r="L118" s="167"/>
      <c r="M118" s="174"/>
      <c r="N118" s="352"/>
      <c r="O118" s="198"/>
      <c r="P118" s="178"/>
      <c r="Q118" s="21"/>
      <c r="R118" s="198"/>
      <c r="S118" s="342"/>
      <c r="T118" s="198"/>
      <c r="U118" s="423"/>
      <c r="V118" s="342"/>
      <c r="X118" s="239">
        <f t="shared" si="3"/>
        <v>0</v>
      </c>
    </row>
    <row r="119" spans="1:24" ht="15.75">
      <c r="A119" s="339"/>
      <c r="B119" s="211"/>
      <c r="C119" s="352"/>
      <c r="D119" s="295"/>
      <c r="E119" s="544"/>
      <c r="F119" s="21"/>
      <c r="G119" s="21"/>
      <c r="H119" s="207"/>
      <c r="I119" s="177"/>
      <c r="J119" s="320"/>
      <c r="K119" s="189"/>
      <c r="L119" s="167"/>
      <c r="M119" s="174"/>
      <c r="N119" s="352"/>
      <c r="O119" s="198"/>
      <c r="P119" s="178"/>
      <c r="Q119" s="21"/>
      <c r="R119" s="198"/>
      <c r="S119" s="342"/>
      <c r="T119" s="198"/>
      <c r="U119" s="423"/>
      <c r="V119" s="342"/>
      <c r="X119" s="239">
        <f t="shared" si="3"/>
        <v>0</v>
      </c>
    </row>
    <row r="120" spans="1:24" ht="15.75">
      <c r="A120" s="339"/>
      <c r="B120" s="211"/>
      <c r="C120" s="352"/>
      <c r="D120" s="295"/>
      <c r="E120" s="544"/>
      <c r="F120" s="21"/>
      <c r="G120" s="21"/>
      <c r="H120" s="207"/>
      <c r="I120" s="177"/>
      <c r="J120" s="320"/>
      <c r="K120" s="189"/>
      <c r="L120" s="167"/>
      <c r="M120" s="174"/>
      <c r="N120" s="352"/>
      <c r="O120" s="198"/>
      <c r="P120" s="178"/>
      <c r="Q120" s="21"/>
      <c r="R120" s="198"/>
      <c r="S120" s="342"/>
      <c r="T120" s="198"/>
      <c r="U120" s="423"/>
      <c r="V120" s="342"/>
      <c r="X120" s="239">
        <f t="shared" si="3"/>
        <v>0</v>
      </c>
    </row>
    <row r="121" spans="1:24" ht="15.75">
      <c r="A121" s="339"/>
      <c r="B121" s="211"/>
      <c r="C121" s="352"/>
      <c r="D121" s="295"/>
      <c r="E121" s="544"/>
      <c r="F121" s="21"/>
      <c r="G121" s="21"/>
      <c r="H121" s="207"/>
      <c r="I121" s="177"/>
      <c r="J121" s="320"/>
      <c r="K121" s="189"/>
      <c r="L121" s="167"/>
      <c r="M121" s="174"/>
      <c r="N121" s="352"/>
      <c r="O121" s="198"/>
      <c r="P121" s="178"/>
      <c r="Q121" s="21"/>
      <c r="R121" s="198"/>
      <c r="S121" s="342"/>
      <c r="T121" s="198"/>
      <c r="U121" s="423"/>
      <c r="V121" s="342"/>
      <c r="X121" s="239">
        <f t="shared" si="3"/>
        <v>0</v>
      </c>
    </row>
    <row r="122" spans="1:24" ht="15.75">
      <c r="A122" s="339"/>
      <c r="B122" s="211"/>
      <c r="C122" s="352"/>
      <c r="D122" s="295"/>
      <c r="E122" s="544"/>
      <c r="F122" s="21"/>
      <c r="G122" s="21"/>
      <c r="H122" s="207"/>
      <c r="I122" s="177"/>
      <c r="J122" s="320"/>
      <c r="K122" s="189"/>
      <c r="L122" s="167"/>
      <c r="M122" s="174"/>
      <c r="N122" s="352"/>
      <c r="O122" s="198"/>
      <c r="P122" s="178"/>
      <c r="Q122" s="21"/>
      <c r="R122" s="198"/>
      <c r="S122" s="342"/>
      <c r="T122" s="198"/>
      <c r="U122" s="423"/>
      <c r="V122" s="342"/>
      <c r="X122" s="239">
        <f t="shared" si="3"/>
        <v>0</v>
      </c>
    </row>
    <row r="123" spans="1:24" ht="15.75">
      <c r="A123" s="339"/>
      <c r="B123" s="211"/>
      <c r="C123" s="352"/>
      <c r="D123" s="295"/>
      <c r="E123" s="544"/>
      <c r="F123" s="21"/>
      <c r="G123" s="21"/>
      <c r="H123" s="207"/>
      <c r="I123" s="177"/>
      <c r="J123" s="320"/>
      <c r="K123" s="189"/>
      <c r="L123" s="167"/>
      <c r="M123" s="174"/>
      <c r="N123" s="352"/>
      <c r="O123" s="198"/>
      <c r="P123" s="178"/>
      <c r="Q123" s="21"/>
      <c r="R123" s="198"/>
      <c r="S123" s="342"/>
      <c r="T123" s="198"/>
      <c r="U123" s="423"/>
      <c r="V123" s="342"/>
      <c r="X123" s="239">
        <f t="shared" si="3"/>
        <v>0</v>
      </c>
    </row>
    <row r="124" spans="1:24" ht="15.75">
      <c r="A124" s="339"/>
      <c r="B124" s="211"/>
      <c r="C124" s="352"/>
      <c r="D124" s="295"/>
      <c r="E124" s="544"/>
      <c r="F124" s="21"/>
      <c r="G124" s="21"/>
      <c r="H124" s="207"/>
      <c r="I124" s="177"/>
      <c r="J124" s="320"/>
      <c r="K124" s="189"/>
      <c r="L124" s="167"/>
      <c r="M124" s="174"/>
      <c r="N124" s="352"/>
      <c r="O124" s="198"/>
      <c r="P124" s="178"/>
      <c r="Q124" s="21"/>
      <c r="R124" s="198"/>
      <c r="S124" s="342"/>
      <c r="T124" s="198"/>
      <c r="U124" s="423"/>
      <c r="V124" s="342"/>
      <c r="X124" s="239">
        <f t="shared" si="3"/>
        <v>0</v>
      </c>
    </row>
    <row r="125" spans="1:24" ht="15.75">
      <c r="A125" s="339"/>
      <c r="B125" s="211"/>
      <c r="C125" s="352"/>
      <c r="D125" s="295"/>
      <c r="E125" s="544"/>
      <c r="F125" s="21"/>
      <c r="G125" s="21"/>
      <c r="H125" s="207"/>
      <c r="I125" s="177"/>
      <c r="J125" s="320"/>
      <c r="K125" s="189"/>
      <c r="L125" s="167"/>
      <c r="M125" s="174"/>
      <c r="N125" s="352"/>
      <c r="O125" s="198"/>
      <c r="P125" s="178"/>
      <c r="Q125" s="21"/>
      <c r="R125" s="198"/>
      <c r="S125" s="342"/>
      <c r="T125" s="198"/>
      <c r="U125" s="423"/>
      <c r="V125" s="342"/>
      <c r="X125" s="239">
        <f t="shared" si="3"/>
        <v>0</v>
      </c>
    </row>
    <row r="126" spans="1:24" ht="15.75">
      <c r="A126" s="339"/>
      <c r="B126" s="211"/>
      <c r="C126" s="352"/>
      <c r="D126" s="295"/>
      <c r="E126" s="544"/>
      <c r="F126" s="21"/>
      <c r="G126" s="21"/>
      <c r="H126" s="207"/>
      <c r="I126" s="177"/>
      <c r="J126" s="320"/>
      <c r="K126" s="189"/>
      <c r="L126" s="167"/>
      <c r="M126" s="174"/>
      <c r="N126" s="352"/>
      <c r="O126" s="198"/>
      <c r="P126" s="178"/>
      <c r="Q126" s="21"/>
      <c r="R126" s="198"/>
      <c r="S126" s="342"/>
      <c r="T126" s="198"/>
      <c r="U126" s="423"/>
      <c r="V126" s="342"/>
      <c r="X126" s="239">
        <f t="shared" si="3"/>
        <v>0</v>
      </c>
    </row>
    <row r="127" spans="1:24" ht="15.75">
      <c r="A127" s="339"/>
      <c r="B127" s="211"/>
      <c r="C127" s="352"/>
      <c r="D127" s="295"/>
      <c r="E127" s="544"/>
      <c r="F127" s="21"/>
      <c r="G127" s="21"/>
      <c r="H127" s="207"/>
      <c r="I127" s="177"/>
      <c r="J127" s="320"/>
      <c r="K127" s="189"/>
      <c r="L127" s="167"/>
      <c r="M127" s="174"/>
      <c r="N127" s="352"/>
      <c r="O127" s="198"/>
      <c r="P127" s="178"/>
      <c r="Q127" s="21"/>
      <c r="R127" s="198"/>
      <c r="S127" s="342"/>
      <c r="T127" s="198"/>
      <c r="U127" s="423"/>
      <c r="V127" s="342"/>
      <c r="X127" s="239">
        <f t="shared" si="3"/>
        <v>0</v>
      </c>
    </row>
    <row r="128" spans="1:24" ht="15.75">
      <c r="A128" s="339"/>
      <c r="B128" s="211"/>
      <c r="C128" s="352"/>
      <c r="D128" s="295"/>
      <c r="E128" s="544"/>
      <c r="F128" s="21"/>
      <c r="G128" s="21"/>
      <c r="H128" s="207"/>
      <c r="I128" s="177"/>
      <c r="J128" s="320"/>
      <c r="K128" s="189"/>
      <c r="L128" s="167"/>
      <c r="M128" s="174"/>
      <c r="N128" s="352"/>
      <c r="O128" s="198"/>
      <c r="P128" s="178"/>
      <c r="Q128" s="21"/>
      <c r="R128" s="198"/>
      <c r="S128" s="342"/>
      <c r="T128" s="198"/>
      <c r="U128" s="423"/>
      <c r="V128" s="342"/>
      <c r="X128" s="239">
        <f t="shared" si="3"/>
        <v>0</v>
      </c>
    </row>
    <row r="129" spans="1:24" ht="15.75">
      <c r="A129" s="339"/>
      <c r="B129" s="211"/>
      <c r="C129" s="352"/>
      <c r="D129" s="295"/>
      <c r="E129" s="544"/>
      <c r="F129" s="21"/>
      <c r="G129" s="21"/>
      <c r="H129" s="207"/>
      <c r="I129" s="177"/>
      <c r="J129" s="320"/>
      <c r="K129" s="189"/>
      <c r="L129" s="167"/>
      <c r="M129" s="174"/>
      <c r="N129" s="352"/>
      <c r="O129" s="198"/>
      <c r="P129" s="178"/>
      <c r="Q129" s="21"/>
      <c r="R129" s="198"/>
      <c r="S129" s="342"/>
      <c r="T129" s="198"/>
      <c r="U129" s="423"/>
      <c r="V129" s="342"/>
      <c r="X129" s="239">
        <f t="shared" si="3"/>
        <v>0</v>
      </c>
    </row>
    <row r="130" spans="1:24" ht="15.75">
      <c r="A130" s="339"/>
      <c r="B130" s="211"/>
      <c r="C130" s="352"/>
      <c r="D130" s="295"/>
      <c r="E130" s="544"/>
      <c r="F130" s="21"/>
      <c r="G130" s="21"/>
      <c r="H130" s="207"/>
      <c r="I130" s="177"/>
      <c r="J130" s="320"/>
      <c r="K130" s="189"/>
      <c r="L130" s="167"/>
      <c r="M130" s="174"/>
      <c r="N130" s="352"/>
      <c r="O130" s="198"/>
      <c r="P130" s="178"/>
      <c r="Q130" s="21"/>
      <c r="R130" s="198"/>
      <c r="S130" s="342"/>
      <c r="T130" s="198"/>
      <c r="U130" s="423"/>
      <c r="V130" s="342"/>
      <c r="X130" s="239">
        <f t="shared" si="3"/>
        <v>0</v>
      </c>
    </row>
    <row r="131" spans="1:24" ht="15.75">
      <c r="A131" s="339"/>
      <c r="B131" s="211"/>
      <c r="C131" s="352"/>
      <c r="D131" s="295"/>
      <c r="E131" s="544"/>
      <c r="F131" s="21"/>
      <c r="G131" s="21"/>
      <c r="H131" s="207"/>
      <c r="I131" s="177"/>
      <c r="J131" s="320"/>
      <c r="K131" s="189"/>
      <c r="L131" s="167"/>
      <c r="M131" s="174"/>
      <c r="N131" s="352"/>
      <c r="O131" s="198"/>
      <c r="P131" s="178"/>
      <c r="Q131" s="21"/>
      <c r="R131" s="198"/>
      <c r="S131" s="342"/>
      <c r="T131" s="198"/>
      <c r="U131" s="423"/>
      <c r="V131" s="342"/>
      <c r="X131" s="239">
        <f t="shared" si="3"/>
        <v>0</v>
      </c>
    </row>
    <row r="132" spans="1:24" ht="15.75">
      <c r="A132" s="339"/>
      <c r="B132" s="211"/>
      <c r="C132" s="352"/>
      <c r="D132" s="295"/>
      <c r="E132" s="544"/>
      <c r="F132" s="21"/>
      <c r="G132" s="21"/>
      <c r="H132" s="207"/>
      <c r="I132" s="177"/>
      <c r="J132" s="320"/>
      <c r="K132" s="189"/>
      <c r="L132" s="167"/>
      <c r="M132" s="174"/>
      <c r="N132" s="352"/>
      <c r="O132" s="198"/>
      <c r="P132" s="178"/>
      <c r="Q132" s="21"/>
      <c r="R132" s="198"/>
      <c r="S132" s="342"/>
      <c r="T132" s="198"/>
      <c r="U132" s="423"/>
      <c r="V132" s="342"/>
      <c r="X132" s="239">
        <f t="shared" si="3"/>
        <v>0</v>
      </c>
    </row>
    <row r="133" spans="1:24" ht="15.75">
      <c r="A133" s="339"/>
      <c r="B133" s="211"/>
      <c r="C133" s="352"/>
      <c r="D133" s="295"/>
      <c r="E133" s="544"/>
      <c r="F133" s="21"/>
      <c r="G133" s="21"/>
      <c r="H133" s="207"/>
      <c r="I133" s="177"/>
      <c r="J133" s="320"/>
      <c r="K133" s="189"/>
      <c r="L133" s="167"/>
      <c r="M133" s="174"/>
      <c r="N133" s="352"/>
      <c r="O133" s="198"/>
      <c r="P133" s="178"/>
      <c r="Q133" s="21"/>
      <c r="R133" s="198"/>
      <c r="S133" s="342"/>
      <c r="T133" s="198"/>
      <c r="U133" s="423"/>
      <c r="V133" s="342"/>
      <c r="X133" s="239">
        <f t="shared" si="3"/>
        <v>0</v>
      </c>
    </row>
    <row r="134" spans="1:24" ht="15.75">
      <c r="A134" s="339"/>
      <c r="B134" s="211"/>
      <c r="C134" s="352"/>
      <c r="D134" s="295"/>
      <c r="E134" s="544"/>
      <c r="F134" s="21"/>
      <c r="G134" s="21"/>
      <c r="H134" s="207"/>
      <c r="I134" s="177"/>
      <c r="J134" s="320"/>
      <c r="K134" s="189"/>
      <c r="L134" s="167"/>
      <c r="M134" s="174"/>
      <c r="N134" s="352"/>
      <c r="O134" s="198"/>
      <c r="P134" s="178"/>
      <c r="Q134" s="21"/>
      <c r="R134" s="198"/>
      <c r="S134" s="342"/>
      <c r="T134" s="198"/>
      <c r="U134" s="423"/>
      <c r="V134" s="342"/>
      <c r="X134" s="239">
        <f t="shared" si="3"/>
        <v>0</v>
      </c>
    </row>
    <row r="135" spans="1:24" ht="15.75">
      <c r="A135" s="339"/>
      <c r="B135" s="211"/>
      <c r="C135" s="352"/>
      <c r="D135" s="295"/>
      <c r="E135" s="544"/>
      <c r="F135" s="21"/>
      <c r="G135" s="21"/>
      <c r="H135" s="207"/>
      <c r="I135" s="177"/>
      <c r="J135" s="320"/>
      <c r="K135" s="189"/>
      <c r="L135" s="167"/>
      <c r="M135" s="174"/>
      <c r="N135" s="352"/>
      <c r="O135" s="198"/>
      <c r="P135" s="178"/>
      <c r="Q135" s="21"/>
      <c r="R135" s="198"/>
      <c r="S135" s="342"/>
      <c r="T135" s="198"/>
      <c r="U135" s="423"/>
      <c r="V135" s="342"/>
      <c r="X135" s="239">
        <f t="shared" si="3"/>
        <v>0</v>
      </c>
    </row>
    <row r="136" spans="1:24" ht="15.75">
      <c r="A136" s="339"/>
      <c r="B136" s="211"/>
      <c r="C136" s="352"/>
      <c r="D136" s="295"/>
      <c r="E136" s="544"/>
      <c r="F136" s="21"/>
      <c r="G136" s="21"/>
      <c r="H136" s="207"/>
      <c r="I136" s="177"/>
      <c r="J136" s="320"/>
      <c r="K136" s="189"/>
      <c r="L136" s="167"/>
      <c r="M136" s="174"/>
      <c r="N136" s="352"/>
      <c r="O136" s="198"/>
      <c r="P136" s="178"/>
      <c r="Q136" s="21"/>
      <c r="R136" s="198"/>
      <c r="S136" s="342"/>
      <c r="T136" s="198"/>
      <c r="U136" s="423"/>
      <c r="V136" s="342"/>
      <c r="X136" s="239">
        <f t="shared" si="3"/>
        <v>0</v>
      </c>
    </row>
    <row r="137" spans="1:24" ht="15.75">
      <c r="A137" s="339"/>
      <c r="B137" s="211"/>
      <c r="C137" s="352"/>
      <c r="D137" s="295"/>
      <c r="E137" s="544"/>
      <c r="F137" s="21"/>
      <c r="G137" s="21"/>
      <c r="H137" s="207"/>
      <c r="I137" s="177"/>
      <c r="J137" s="320"/>
      <c r="K137" s="189"/>
      <c r="L137" s="167"/>
      <c r="M137" s="174"/>
      <c r="N137" s="352"/>
      <c r="O137" s="198"/>
      <c r="P137" s="178"/>
      <c r="Q137" s="21"/>
      <c r="R137" s="198"/>
      <c r="S137" s="342"/>
      <c r="T137" s="198"/>
      <c r="U137" s="423"/>
      <c r="V137" s="342"/>
      <c r="X137" s="239">
        <f t="shared" si="3"/>
        <v>0</v>
      </c>
    </row>
    <row r="138" spans="1:24" ht="15.75">
      <c r="A138" s="339"/>
      <c r="B138" s="211"/>
      <c r="C138" s="352"/>
      <c r="D138" s="295"/>
      <c r="E138" s="544"/>
      <c r="F138" s="21"/>
      <c r="G138" s="21"/>
      <c r="H138" s="207"/>
      <c r="I138" s="177"/>
      <c r="J138" s="320"/>
      <c r="K138" s="189"/>
      <c r="L138" s="167"/>
      <c r="M138" s="174"/>
      <c r="N138" s="352"/>
      <c r="O138" s="198"/>
      <c r="P138" s="178"/>
      <c r="Q138" s="21"/>
      <c r="R138" s="198"/>
      <c r="S138" s="342"/>
      <c r="T138" s="198"/>
      <c r="U138" s="423"/>
      <c r="V138" s="342"/>
      <c r="X138" s="239">
        <f t="shared" si="3"/>
        <v>0</v>
      </c>
    </row>
    <row r="139" spans="1:24" ht="15.75">
      <c r="A139" s="339"/>
      <c r="B139" s="211"/>
      <c r="C139" s="352"/>
      <c r="D139" s="295"/>
      <c r="E139" s="544"/>
      <c r="F139" s="21"/>
      <c r="G139" s="21"/>
      <c r="H139" s="207"/>
      <c r="I139" s="177"/>
      <c r="J139" s="320"/>
      <c r="K139" s="189"/>
      <c r="L139" s="167"/>
      <c r="M139" s="174"/>
      <c r="N139" s="352"/>
      <c r="O139" s="198"/>
      <c r="P139" s="178"/>
      <c r="Q139" s="21"/>
      <c r="R139" s="198"/>
      <c r="S139" s="342"/>
      <c r="T139" s="198"/>
      <c r="U139" s="423"/>
      <c r="V139" s="342"/>
      <c r="X139" s="239">
        <f t="shared" si="3"/>
        <v>0</v>
      </c>
    </row>
    <row r="140" spans="1:24" ht="15.75">
      <c r="A140" s="339"/>
      <c r="B140" s="211"/>
      <c r="C140" s="352"/>
      <c r="D140" s="295"/>
      <c r="E140" s="544"/>
      <c r="F140" s="21"/>
      <c r="G140" s="21"/>
      <c r="H140" s="207"/>
      <c r="I140" s="177"/>
      <c r="J140" s="320"/>
      <c r="K140" s="189"/>
      <c r="L140" s="167"/>
      <c r="M140" s="174"/>
      <c r="N140" s="352"/>
      <c r="O140" s="198"/>
      <c r="P140" s="178"/>
      <c r="Q140" s="21"/>
      <c r="R140" s="198"/>
      <c r="S140" s="342"/>
      <c r="T140" s="198"/>
      <c r="U140" s="423"/>
      <c r="V140" s="342"/>
      <c r="X140" s="239">
        <f t="shared" si="3"/>
        <v>0</v>
      </c>
    </row>
    <row r="141" spans="1:24" ht="15.75">
      <c r="A141" s="339"/>
      <c r="B141" s="211"/>
      <c r="C141" s="352"/>
      <c r="D141" s="295"/>
      <c r="E141" s="544"/>
      <c r="F141" s="21"/>
      <c r="G141" s="21"/>
      <c r="H141" s="207"/>
      <c r="I141" s="177"/>
      <c r="J141" s="320"/>
      <c r="K141" s="189"/>
      <c r="L141" s="167"/>
      <c r="M141" s="174"/>
      <c r="N141" s="352"/>
      <c r="O141" s="198"/>
      <c r="P141" s="178"/>
      <c r="Q141" s="21"/>
      <c r="R141" s="198"/>
      <c r="S141" s="342"/>
      <c r="T141" s="198"/>
      <c r="U141" s="423"/>
      <c r="V141" s="342"/>
      <c r="X141" s="239">
        <f t="shared" si="3"/>
        <v>0</v>
      </c>
    </row>
    <row r="142" spans="1:24" ht="15.75">
      <c r="A142" s="339"/>
      <c r="B142" s="211"/>
      <c r="C142" s="352"/>
      <c r="D142" s="295"/>
      <c r="E142" s="544"/>
      <c r="F142" s="21"/>
      <c r="G142" s="21"/>
      <c r="H142" s="207"/>
      <c r="I142" s="177"/>
      <c r="J142" s="320"/>
      <c r="K142" s="189"/>
      <c r="L142" s="167"/>
      <c r="M142" s="174"/>
      <c r="N142" s="352"/>
      <c r="O142" s="198"/>
      <c r="P142" s="178"/>
      <c r="Q142" s="21"/>
      <c r="R142" s="198"/>
      <c r="S142" s="342"/>
      <c r="T142" s="198"/>
      <c r="U142" s="423"/>
      <c r="V142" s="342"/>
      <c r="X142" s="239">
        <f t="shared" ref="X142" si="5">L142/1000</f>
        <v>0</v>
      </c>
    </row>
    <row r="143" spans="1:24" ht="15.75">
      <c r="A143" s="339"/>
      <c r="B143" s="211"/>
      <c r="C143" s="352"/>
      <c r="D143" s="295"/>
      <c r="E143" s="544"/>
      <c r="F143" s="21"/>
      <c r="G143" s="21"/>
      <c r="H143" s="207"/>
      <c r="I143" s="177"/>
      <c r="J143" s="320"/>
      <c r="K143" s="189"/>
      <c r="L143" s="167"/>
      <c r="M143" s="174"/>
      <c r="N143" s="352"/>
      <c r="O143" s="198"/>
      <c r="P143" s="178"/>
      <c r="Q143" s="21"/>
      <c r="R143" s="198"/>
      <c r="S143" s="342"/>
      <c r="T143" s="198"/>
      <c r="U143" s="423"/>
      <c r="V143" s="342"/>
    </row>
  </sheetData>
  <autoFilter ref="A12:AE12"/>
  <dataConsolidate/>
  <mergeCells count="31">
    <mergeCell ref="M51:M54"/>
    <mergeCell ref="U51:U54"/>
    <mergeCell ref="M55:M64"/>
    <mergeCell ref="U55:U64"/>
    <mergeCell ref="M65:M83"/>
    <mergeCell ref="U65:U83"/>
    <mergeCell ref="M25:M28"/>
    <mergeCell ref="U25:U28"/>
    <mergeCell ref="M29:M35"/>
    <mergeCell ref="U29:U35"/>
    <mergeCell ref="M38:M50"/>
    <mergeCell ref="U38:U50"/>
    <mergeCell ref="AE3:AE4"/>
    <mergeCell ref="A11:A12"/>
    <mergeCell ref="B11:B12"/>
    <mergeCell ref="C11:C12"/>
    <mergeCell ref="D11:D12"/>
    <mergeCell ref="E11:E12"/>
    <mergeCell ref="N11:N12"/>
    <mergeCell ref="T11:T12"/>
    <mergeCell ref="X11:X12"/>
    <mergeCell ref="A1:C1"/>
    <mergeCell ref="AA3:AA4"/>
    <mergeCell ref="AB3:AD3"/>
    <mergeCell ref="M13:M14"/>
    <mergeCell ref="M15:M23"/>
    <mergeCell ref="P11:Q11"/>
    <mergeCell ref="R11:R12"/>
    <mergeCell ref="S11:S12"/>
    <mergeCell ref="U13:U14"/>
    <mergeCell ref="U15:U23"/>
  </mergeCells>
  <conditionalFormatting sqref="Q13 Q15 Q24">
    <cfRule type="containsText" dxfId="23" priority="22" operator="containsText" text="Red">
      <formula>NOT(ISERROR(SEARCH("Red",Q13)))</formula>
    </cfRule>
    <cfRule type="containsText" dxfId="22" priority="23" operator="containsText" text="Yellow">
      <formula>NOT(ISERROR(SEARCH("Yellow",Q13)))</formula>
    </cfRule>
    <cfRule type="containsText" dxfId="21" priority="24" operator="containsText" text="Green">
      <formula>NOT(ISERROR(SEARCH("Green",Q13)))</formula>
    </cfRule>
  </conditionalFormatting>
  <conditionalFormatting sqref="Q14">
    <cfRule type="containsText" dxfId="20" priority="19" operator="containsText" text="Red">
      <formula>NOT(ISERROR(SEARCH("Red",Q14)))</formula>
    </cfRule>
    <cfRule type="containsText" dxfId="19" priority="20" operator="containsText" text="Yellow">
      <formula>NOT(ISERROR(SEARCH("Yellow",Q14)))</formula>
    </cfRule>
    <cfRule type="containsText" dxfId="18" priority="21" operator="containsText" text="Green">
      <formula>NOT(ISERROR(SEARCH("Green",Q14)))</formula>
    </cfRule>
  </conditionalFormatting>
  <conditionalFormatting sqref="Q16:Q23">
    <cfRule type="containsText" dxfId="17" priority="16" operator="containsText" text="Red">
      <formula>NOT(ISERROR(SEARCH("Red",Q16)))</formula>
    </cfRule>
    <cfRule type="containsText" dxfId="16" priority="17" operator="containsText" text="Yellow">
      <formula>NOT(ISERROR(SEARCH("Yellow",Q16)))</formula>
    </cfRule>
    <cfRule type="containsText" dxfId="15" priority="18" operator="containsText" text="Green">
      <formula>NOT(ISERROR(SEARCH("Green",Q16)))</formula>
    </cfRule>
  </conditionalFormatting>
  <conditionalFormatting sqref="Q25">
    <cfRule type="containsText" dxfId="14" priority="13" operator="containsText" text="Red">
      <formula>NOT(ISERROR(SEARCH("Red",Q25)))</formula>
    </cfRule>
    <cfRule type="containsText" dxfId="13" priority="14" operator="containsText" text="Yellow">
      <formula>NOT(ISERROR(SEARCH("Yellow",Q25)))</formula>
    </cfRule>
    <cfRule type="containsText" dxfId="12" priority="15" operator="containsText" text="Green">
      <formula>NOT(ISERROR(SEARCH("Green",Q25)))</formula>
    </cfRule>
  </conditionalFormatting>
  <conditionalFormatting sqref="Q26:Q28">
    <cfRule type="containsText" dxfId="11" priority="10" operator="containsText" text="Red">
      <formula>NOT(ISERROR(SEARCH("Red",Q26)))</formula>
    </cfRule>
    <cfRule type="containsText" dxfId="10" priority="11" operator="containsText" text="Yellow">
      <formula>NOT(ISERROR(SEARCH("Yellow",Q26)))</formula>
    </cfRule>
    <cfRule type="containsText" dxfId="9" priority="12" operator="containsText" text="Green">
      <formula>NOT(ISERROR(SEARCH("Green",Q26)))</formula>
    </cfRule>
  </conditionalFormatting>
  <conditionalFormatting sqref="Q29">
    <cfRule type="containsText" dxfId="8" priority="7" operator="containsText" text="Red">
      <formula>NOT(ISERROR(SEARCH("Red",Q29)))</formula>
    </cfRule>
    <cfRule type="containsText" dxfId="7" priority="8" operator="containsText" text="Yellow">
      <formula>NOT(ISERROR(SEARCH("Yellow",Q29)))</formula>
    </cfRule>
    <cfRule type="containsText" dxfId="6" priority="9" operator="containsText" text="Green">
      <formula>NOT(ISERROR(SEARCH("Green",Q29)))</formula>
    </cfRule>
  </conditionalFormatting>
  <conditionalFormatting sqref="Q30:Q35">
    <cfRule type="containsText" dxfId="5" priority="4" operator="containsText" text="Red">
      <formula>NOT(ISERROR(SEARCH("Red",Q30)))</formula>
    </cfRule>
    <cfRule type="containsText" dxfId="4" priority="5" operator="containsText" text="Yellow">
      <formula>NOT(ISERROR(SEARCH("Yellow",Q30)))</formula>
    </cfRule>
    <cfRule type="containsText" dxfId="3" priority="6" operator="containsText" text="Green">
      <formula>NOT(ISERROR(SEARCH("Green",Q30)))</formula>
    </cfRule>
  </conditionalFormatting>
  <conditionalFormatting sqref="Q36:Q54">
    <cfRule type="containsText" dxfId="2" priority="1" operator="containsText" text="Red">
      <formula>NOT(ISERROR(SEARCH("Red",Q36)))</formula>
    </cfRule>
    <cfRule type="containsText" dxfId="1" priority="2" operator="containsText" text="Yellow">
      <formula>NOT(ISERROR(SEARCH("Yellow",Q36)))</formula>
    </cfRule>
    <cfRule type="containsText" dxfId="0" priority="3" operator="containsText" text="Green">
      <formula>NOT(ISERROR(SEARCH("Green",Q36)))</formula>
    </cfRule>
  </conditionalFormatting>
  <dataValidations count="2">
    <dataValidation type="list" allowBlank="1" showInputMessage="1" showErrorMessage="1" sqref="D1:D1048576">
      <formula1>"Commercial, Non-commercial"</formula1>
    </dataValidation>
    <dataValidation type="list" allowBlank="1" showInputMessage="1" showErrorMessage="1" sqref="R13:R50 R55:R83">
      <formula1>"Measurement, Material"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3"/>
  <sheetViews>
    <sheetView topLeftCell="A10" zoomScale="70" zoomScaleNormal="70" workbookViewId="0">
      <pane xSplit="5" ySplit="3" topLeftCell="F22" activePane="bottomRight" state="frozen"/>
      <selection activeCell="A10" sqref="A10"/>
      <selection pane="topRight" activeCell="F10" sqref="F10"/>
      <selection pane="bottomLeft" activeCell="A13" sqref="A13"/>
      <selection pane="bottomRight" activeCell="U45" sqref="U45"/>
    </sheetView>
  </sheetViews>
  <sheetFormatPr defaultRowHeight="15"/>
  <cols>
    <col min="1" max="1" width="9.140625" style="156" customWidth="1"/>
    <col min="2" max="2" width="22.28515625" customWidth="1"/>
    <col min="3" max="3" width="14.7109375" style="350" customWidth="1"/>
    <col min="4" max="4" width="22.42578125" customWidth="1"/>
    <col min="5" max="5" width="22.7109375" style="9" customWidth="1"/>
    <col min="6" max="6" width="41" customWidth="1"/>
    <col min="7" max="7" width="27.28515625" customWidth="1"/>
    <col min="8" max="8" width="14.85546875" customWidth="1"/>
    <col min="9" max="9" width="13" style="153" customWidth="1"/>
    <col min="10" max="10" width="14.7109375" style="267" customWidth="1"/>
    <col min="11" max="11" width="13.140625" customWidth="1"/>
    <col min="12" max="12" width="13" customWidth="1"/>
    <col min="13" max="13" width="12.42578125" style="162" customWidth="1"/>
    <col min="14" max="14" width="13.7109375" style="9" customWidth="1"/>
    <col min="15" max="15" width="32.140625" style="9" customWidth="1"/>
    <col min="16" max="16" width="23.85546875" style="1" customWidth="1"/>
    <col min="17" max="17" width="15.5703125" customWidth="1"/>
    <col min="18" max="18" width="17.7109375" style="9" customWidth="1"/>
    <col min="19" max="19" width="16.7109375" style="7" customWidth="1"/>
    <col min="20" max="20" width="18.7109375" style="404" customWidth="1"/>
    <col min="21" max="21" width="20.85546875" style="238" customWidth="1"/>
    <col min="22" max="22" width="15.140625" style="7" customWidth="1"/>
    <col min="24" max="24" width="16.7109375" customWidth="1"/>
    <col min="25" max="25" width="14.42578125" customWidth="1"/>
    <col min="26" max="26" width="13.7109375" customWidth="1"/>
    <col min="27" max="27" width="19.7109375" bestFit="1" customWidth="1"/>
    <col min="28" max="30" width="11" customWidth="1"/>
    <col min="31" max="31" width="13.28515625" customWidth="1"/>
    <col min="32" max="32" width="16.140625" customWidth="1"/>
  </cols>
  <sheetData>
    <row r="1" spans="1:31" ht="34.5" customHeight="1">
      <c r="A1" s="1023">
        <v>43891</v>
      </c>
      <c r="B1" s="1023"/>
      <c r="C1" s="1023"/>
      <c r="D1" s="2"/>
      <c r="E1" s="525"/>
      <c r="F1" s="2"/>
      <c r="G1" s="2"/>
      <c r="H1" s="2"/>
      <c r="I1" s="152"/>
      <c r="J1" s="152"/>
      <c r="K1" s="2"/>
      <c r="L1" s="2"/>
      <c r="M1" s="160"/>
      <c r="N1" s="525"/>
      <c r="O1" s="525"/>
      <c r="P1" s="8"/>
      <c r="Q1" s="2"/>
      <c r="R1" s="525"/>
      <c r="S1" s="525"/>
      <c r="T1" s="2"/>
      <c r="U1" s="233"/>
    </row>
    <row r="2" spans="1:31" ht="34.5" customHeight="1">
      <c r="A2" s="157"/>
      <c r="B2" s="44"/>
      <c r="C2" s="349"/>
      <c r="D2" s="2"/>
      <c r="E2" s="525"/>
      <c r="F2" s="2"/>
      <c r="G2" s="2"/>
      <c r="H2" s="2"/>
      <c r="I2" s="152"/>
      <c r="J2" s="152"/>
      <c r="K2" s="2"/>
      <c r="L2" s="2"/>
      <c r="M2" s="160"/>
      <c r="N2" s="525"/>
      <c r="O2" s="525"/>
      <c r="P2" s="8"/>
      <c r="Q2" s="2"/>
      <c r="R2" s="525"/>
      <c r="S2" s="525"/>
      <c r="T2" s="2"/>
      <c r="U2" s="233"/>
    </row>
    <row r="3" spans="1:31" ht="54.75" customHeight="1">
      <c r="A3" s="157"/>
      <c r="B3" s="44"/>
      <c r="C3" s="349"/>
      <c r="D3" s="2"/>
      <c r="E3" s="525"/>
      <c r="F3" s="2"/>
      <c r="G3" s="2"/>
      <c r="H3" s="2"/>
      <c r="I3" s="152"/>
      <c r="J3" s="152"/>
      <c r="K3" s="2"/>
      <c r="L3" s="2"/>
      <c r="M3" s="160"/>
      <c r="N3" s="530" t="s">
        <v>0</v>
      </c>
      <c r="O3" s="531" t="s">
        <v>16</v>
      </c>
      <c r="P3" s="531" t="s">
        <v>27</v>
      </c>
      <c r="Q3" s="531" t="s">
        <v>14</v>
      </c>
      <c r="R3" s="531" t="s">
        <v>31</v>
      </c>
      <c r="S3" s="531" t="s">
        <v>203</v>
      </c>
      <c r="T3" s="155" t="s">
        <v>46</v>
      </c>
      <c r="U3" s="234" t="s">
        <v>45</v>
      </c>
      <c r="AA3" s="1024" t="s">
        <v>14</v>
      </c>
      <c r="AB3" s="1026" t="s">
        <v>3</v>
      </c>
      <c r="AC3" s="1027"/>
      <c r="AD3" s="1028"/>
      <c r="AE3" s="1009" t="s">
        <v>21</v>
      </c>
    </row>
    <row r="4" spans="1:31" ht="46.5" customHeight="1">
      <c r="A4" s="157"/>
      <c r="B4" s="44"/>
      <c r="C4" s="349"/>
      <c r="D4" s="2"/>
      <c r="E4" s="525"/>
      <c r="F4" s="2"/>
      <c r="G4" s="2"/>
      <c r="H4" s="2"/>
      <c r="I4" s="152"/>
      <c r="J4" s="152"/>
      <c r="K4" s="2"/>
      <c r="L4" s="2"/>
      <c r="M4" s="160"/>
      <c r="N4" s="32">
        <v>1</v>
      </c>
      <c r="O4" s="32" t="s">
        <v>28</v>
      </c>
      <c r="P4" s="32">
        <v>7</v>
      </c>
      <c r="Q4" s="32" t="s">
        <v>24</v>
      </c>
      <c r="R4" s="32" t="s">
        <v>32</v>
      </c>
      <c r="S4" s="32" t="s">
        <v>4</v>
      </c>
      <c r="T4" s="101"/>
      <c r="U4" s="235" t="s">
        <v>178</v>
      </c>
      <c r="AA4" s="1025"/>
      <c r="AB4" s="118" t="s">
        <v>20</v>
      </c>
      <c r="AC4" s="119" t="s">
        <v>22</v>
      </c>
      <c r="AD4" s="120" t="s">
        <v>23</v>
      </c>
      <c r="AE4" s="1010"/>
    </row>
    <row r="5" spans="1:31" ht="48.75" customHeight="1">
      <c r="A5" s="157"/>
      <c r="B5" s="44"/>
      <c r="C5" s="349"/>
      <c r="D5" s="2"/>
      <c r="E5" s="525"/>
      <c r="F5" s="525"/>
      <c r="G5" s="2"/>
      <c r="H5" s="2"/>
      <c r="I5" s="152"/>
      <c r="J5" s="152"/>
      <c r="K5" s="2"/>
      <c r="L5" s="2"/>
      <c r="M5" s="160"/>
      <c r="N5" s="61">
        <v>2</v>
      </c>
      <c r="O5" s="61" t="s">
        <v>180</v>
      </c>
      <c r="P5" s="61">
        <v>4</v>
      </c>
      <c r="Q5" s="61" t="s">
        <v>24</v>
      </c>
      <c r="R5" s="61" t="s">
        <v>32</v>
      </c>
      <c r="S5" s="61" t="s">
        <v>7</v>
      </c>
      <c r="T5" s="403"/>
      <c r="U5" s="236" t="s">
        <v>178</v>
      </c>
      <c r="AA5" s="121" t="s">
        <v>24</v>
      </c>
      <c r="AB5" s="121"/>
      <c r="AC5" s="121"/>
      <c r="AD5" s="121"/>
      <c r="AE5" s="121">
        <f>SUM(AB5:AD5)</f>
        <v>0</v>
      </c>
    </row>
    <row r="6" spans="1:31" ht="37.5" customHeight="1">
      <c r="A6" s="157"/>
      <c r="B6" s="44"/>
      <c r="C6" s="349"/>
      <c r="D6" s="2"/>
      <c r="E6" s="525"/>
      <c r="F6" s="2"/>
      <c r="G6" s="2"/>
      <c r="H6" s="2"/>
      <c r="I6" s="152"/>
      <c r="J6" s="152"/>
      <c r="K6" s="2"/>
      <c r="L6" s="2"/>
      <c r="M6" s="160"/>
      <c r="N6" s="32">
        <v>3</v>
      </c>
      <c r="O6" s="32" t="s">
        <v>217</v>
      </c>
      <c r="P6" s="32">
        <v>1</v>
      </c>
      <c r="Q6" s="32" t="s">
        <v>218</v>
      </c>
      <c r="R6" s="32" t="s">
        <v>32</v>
      </c>
      <c r="S6" s="32"/>
      <c r="T6" s="101" t="s">
        <v>29</v>
      </c>
      <c r="U6" s="235" t="s">
        <v>29</v>
      </c>
      <c r="AA6" s="124" t="s">
        <v>171</v>
      </c>
      <c r="AB6" s="61"/>
      <c r="AC6" s="124"/>
      <c r="AD6" s="61"/>
      <c r="AE6" s="61">
        <f>+AB6+AC6+AD6</f>
        <v>0</v>
      </c>
    </row>
    <row r="7" spans="1:31" ht="38.25" customHeight="1">
      <c r="A7" s="157"/>
      <c r="B7" s="44"/>
      <c r="C7" s="349"/>
      <c r="D7" s="2"/>
      <c r="E7" s="525"/>
      <c r="F7" s="2"/>
      <c r="G7" s="2"/>
      <c r="H7" s="2"/>
      <c r="I7" s="152"/>
      <c r="J7" s="152"/>
      <c r="K7" s="2"/>
      <c r="L7" s="2"/>
      <c r="M7" s="160"/>
      <c r="N7" s="61"/>
      <c r="O7" s="61"/>
      <c r="P7" s="61"/>
      <c r="Q7" s="61"/>
      <c r="R7" s="61"/>
      <c r="S7" s="61"/>
      <c r="T7" s="403"/>
      <c r="U7" s="236"/>
      <c r="AA7" s="121" t="s">
        <v>21</v>
      </c>
      <c r="AB7" s="121">
        <f>AB5+AB6</f>
        <v>0</v>
      </c>
      <c r="AC7" s="121">
        <f>AC5+AC6</f>
        <v>0</v>
      </c>
      <c r="AD7" s="121">
        <f>AD5+AD6</f>
        <v>0</v>
      </c>
      <c r="AE7" s="121">
        <f>AE5+AE6</f>
        <v>0</v>
      </c>
    </row>
    <row r="8" spans="1:31" ht="34.5" customHeight="1">
      <c r="A8" s="157"/>
      <c r="B8" s="44"/>
      <c r="C8" s="349"/>
      <c r="D8" s="2"/>
      <c r="E8" s="525"/>
      <c r="F8" s="2"/>
      <c r="G8" s="2"/>
      <c r="H8" s="2"/>
      <c r="I8" s="152"/>
      <c r="J8" s="152"/>
      <c r="K8" s="2"/>
      <c r="L8" s="2"/>
      <c r="M8" s="160"/>
      <c r="N8" s="32"/>
      <c r="O8" s="32"/>
      <c r="P8" s="32"/>
      <c r="Q8" s="32"/>
      <c r="R8" s="32"/>
      <c r="S8" s="32"/>
      <c r="T8" s="101"/>
      <c r="U8" s="235"/>
      <c r="AB8" s="138" t="e">
        <f>+AB7/$AE$7</f>
        <v>#DIV/0!</v>
      </c>
      <c r="AC8" s="138" t="e">
        <f t="shared" ref="AC8:AD8" si="0">+AC7/$AE$7</f>
        <v>#DIV/0!</v>
      </c>
      <c r="AD8" s="138" t="e">
        <f t="shared" si="0"/>
        <v>#DIV/0!</v>
      </c>
    </row>
    <row r="9" spans="1:31" ht="34.5" customHeight="1">
      <c r="A9" s="157"/>
      <c r="B9" s="44"/>
      <c r="C9" s="349"/>
      <c r="D9" s="2"/>
      <c r="E9" s="525"/>
      <c r="F9" s="2"/>
      <c r="G9" s="2"/>
      <c r="H9" s="2"/>
      <c r="I9" s="152"/>
      <c r="J9" s="152"/>
      <c r="K9" s="2"/>
      <c r="L9" s="2"/>
      <c r="M9" s="160"/>
      <c r="N9" s="525"/>
      <c r="O9" s="525"/>
      <c r="P9" s="8"/>
      <c r="Q9" s="2"/>
      <c r="R9" s="525"/>
      <c r="S9" s="525"/>
      <c r="T9" s="2"/>
      <c r="U9" s="233"/>
    </row>
    <row r="10" spans="1:31" ht="26.25" customHeight="1">
      <c r="T10" s="404" t="s">
        <v>198</v>
      </c>
      <c r="U10" s="237">
        <v>23270</v>
      </c>
    </row>
    <row r="11" spans="1:31" ht="30" customHeight="1">
      <c r="A11" s="1011" t="s">
        <v>0</v>
      </c>
      <c r="B11" s="1013" t="s">
        <v>1</v>
      </c>
      <c r="C11" s="1015" t="s">
        <v>13</v>
      </c>
      <c r="D11" s="1013" t="s">
        <v>14</v>
      </c>
      <c r="E11" s="1013" t="s">
        <v>37</v>
      </c>
      <c r="F11" s="365" t="s">
        <v>9</v>
      </c>
      <c r="G11" s="366"/>
      <c r="H11" s="366"/>
      <c r="I11" s="366"/>
      <c r="J11" s="366"/>
      <c r="K11" s="366"/>
      <c r="L11" s="366"/>
      <c r="M11" s="367"/>
      <c r="N11" s="1017" t="s">
        <v>5</v>
      </c>
      <c r="O11" s="155" t="s">
        <v>205</v>
      </c>
      <c r="P11" s="1032" t="s">
        <v>10</v>
      </c>
      <c r="Q11" s="1033"/>
      <c r="R11" s="1034" t="s">
        <v>203</v>
      </c>
      <c r="S11" s="1013" t="s">
        <v>2</v>
      </c>
      <c r="T11" s="1019" t="s">
        <v>35</v>
      </c>
      <c r="U11" s="534" t="s">
        <v>190</v>
      </c>
      <c r="V11" s="533" t="s">
        <v>184</v>
      </c>
      <c r="X11" s="1021" t="s">
        <v>206</v>
      </c>
    </row>
    <row r="12" spans="1:31" ht="23.25" customHeight="1">
      <c r="A12" s="1012"/>
      <c r="B12" s="1014"/>
      <c r="C12" s="1016"/>
      <c r="D12" s="1014"/>
      <c r="E12" s="1014"/>
      <c r="F12" s="151" t="s">
        <v>15</v>
      </c>
      <c r="G12" s="151" t="s">
        <v>16</v>
      </c>
      <c r="H12" s="151" t="s">
        <v>193</v>
      </c>
      <c r="I12" s="154" t="s">
        <v>195</v>
      </c>
      <c r="J12" s="268" t="s">
        <v>194</v>
      </c>
      <c r="K12" s="151" t="s">
        <v>195</v>
      </c>
      <c r="L12" s="151" t="s">
        <v>21</v>
      </c>
      <c r="M12" s="161" t="s">
        <v>34</v>
      </c>
      <c r="N12" s="1018"/>
      <c r="O12" s="158"/>
      <c r="P12" s="529" t="s">
        <v>17</v>
      </c>
      <c r="Q12" s="530" t="s">
        <v>3</v>
      </c>
      <c r="R12" s="1013"/>
      <c r="S12" s="1014"/>
      <c r="T12" s="1020"/>
      <c r="U12" s="452"/>
      <c r="V12" s="532"/>
      <c r="X12" s="1022"/>
    </row>
    <row r="13" spans="1:31" s="9" customFormat="1" ht="15.75">
      <c r="A13" s="338">
        <v>51</v>
      </c>
      <c r="B13" s="296" t="s">
        <v>573</v>
      </c>
      <c r="C13" s="351">
        <v>44061</v>
      </c>
      <c r="D13" s="297" t="s">
        <v>24</v>
      </c>
      <c r="E13" s="526" t="s">
        <v>574</v>
      </c>
      <c r="F13" s="19" t="s">
        <v>568</v>
      </c>
      <c r="G13" s="19" t="s">
        <v>179</v>
      </c>
      <c r="H13" s="279">
        <v>5</v>
      </c>
      <c r="I13" s="175" t="s">
        <v>207</v>
      </c>
      <c r="J13" s="318">
        <v>2</v>
      </c>
      <c r="K13" s="185" t="s">
        <v>197</v>
      </c>
      <c r="L13" s="165">
        <f>J13*H13</f>
        <v>10</v>
      </c>
      <c r="M13" s="1052">
        <v>7.6</v>
      </c>
      <c r="N13" s="351">
        <v>44061</v>
      </c>
      <c r="O13" s="197" t="s">
        <v>219</v>
      </c>
      <c r="P13" s="176"/>
      <c r="Q13" s="19"/>
      <c r="R13" s="197" t="s">
        <v>4</v>
      </c>
      <c r="S13" s="341"/>
      <c r="T13" s="197" t="s">
        <v>178</v>
      </c>
      <c r="U13" s="1068">
        <f>93.53*U10</f>
        <v>2176443.1</v>
      </c>
      <c r="V13" s="341"/>
      <c r="W13"/>
      <c r="X13" s="239">
        <f>L13/1000</f>
        <v>0.01</v>
      </c>
      <c r="Y13"/>
      <c r="Z13"/>
      <c r="AA13"/>
      <c r="AB13"/>
      <c r="AC13"/>
      <c r="AD13"/>
      <c r="AE13"/>
    </row>
    <row r="14" spans="1:31" s="9" customFormat="1" ht="15.75">
      <c r="A14" s="339">
        <v>51</v>
      </c>
      <c r="B14" s="211" t="s">
        <v>573</v>
      </c>
      <c r="C14" s="352">
        <v>44061</v>
      </c>
      <c r="D14" s="295" t="s">
        <v>24</v>
      </c>
      <c r="E14" s="527" t="s">
        <v>574</v>
      </c>
      <c r="F14" s="21" t="s">
        <v>569</v>
      </c>
      <c r="G14" s="21" t="s">
        <v>416</v>
      </c>
      <c r="H14" s="207">
        <v>1</v>
      </c>
      <c r="I14" s="177" t="s">
        <v>207</v>
      </c>
      <c r="J14" s="320">
        <v>9</v>
      </c>
      <c r="K14" s="189" t="s">
        <v>197</v>
      </c>
      <c r="L14" s="167">
        <f t="shared" ref="L14:L33" si="1">J14*H14</f>
        <v>9</v>
      </c>
      <c r="M14" s="1053"/>
      <c r="N14" s="352">
        <v>44061</v>
      </c>
      <c r="O14" s="198" t="s">
        <v>219</v>
      </c>
      <c r="P14" s="178"/>
      <c r="Q14" s="21"/>
      <c r="R14" s="198" t="s">
        <v>4</v>
      </c>
      <c r="S14" s="342"/>
      <c r="T14" s="198" t="s">
        <v>178</v>
      </c>
      <c r="U14" s="1069"/>
      <c r="V14" s="342"/>
      <c r="W14"/>
      <c r="X14" s="239">
        <f t="shared" ref="X14:X77" si="2">L14/1000</f>
        <v>8.9999999999999993E-3</v>
      </c>
      <c r="Y14"/>
      <c r="Z14"/>
      <c r="AA14"/>
      <c r="AB14"/>
      <c r="AC14"/>
      <c r="AD14"/>
      <c r="AE14"/>
    </row>
    <row r="15" spans="1:31" s="9" customFormat="1" ht="15.75">
      <c r="A15" s="339">
        <v>51</v>
      </c>
      <c r="B15" s="211" t="s">
        <v>573</v>
      </c>
      <c r="C15" s="352">
        <v>44061</v>
      </c>
      <c r="D15" s="295" t="s">
        <v>24</v>
      </c>
      <c r="E15" s="527" t="s">
        <v>574</v>
      </c>
      <c r="F15" s="21" t="s">
        <v>558</v>
      </c>
      <c r="G15" s="21" t="s">
        <v>208</v>
      </c>
      <c r="H15" s="207">
        <v>1</v>
      </c>
      <c r="I15" s="177" t="s">
        <v>207</v>
      </c>
      <c r="J15" s="320">
        <v>4</v>
      </c>
      <c r="K15" s="189" t="s">
        <v>197</v>
      </c>
      <c r="L15" s="167">
        <f t="shared" si="1"/>
        <v>4</v>
      </c>
      <c r="M15" s="1053"/>
      <c r="N15" s="352">
        <v>44061</v>
      </c>
      <c r="O15" s="198" t="s">
        <v>219</v>
      </c>
      <c r="P15" s="178"/>
      <c r="Q15" s="21"/>
      <c r="R15" s="198" t="s">
        <v>4</v>
      </c>
      <c r="S15" s="342"/>
      <c r="T15" s="198" t="s">
        <v>178</v>
      </c>
      <c r="U15" s="1069"/>
      <c r="V15" s="342"/>
      <c r="W15"/>
      <c r="X15" s="239">
        <f t="shared" si="2"/>
        <v>4.0000000000000001E-3</v>
      </c>
      <c r="Y15"/>
      <c r="Z15"/>
      <c r="AA15"/>
      <c r="AB15"/>
      <c r="AC15"/>
      <c r="AD15"/>
      <c r="AE15"/>
    </row>
    <row r="16" spans="1:31" s="9" customFormat="1" ht="15.75">
      <c r="A16" s="339">
        <v>51</v>
      </c>
      <c r="B16" s="211" t="s">
        <v>573</v>
      </c>
      <c r="C16" s="352">
        <v>44061</v>
      </c>
      <c r="D16" s="295" t="s">
        <v>24</v>
      </c>
      <c r="E16" s="527" t="s">
        <v>574</v>
      </c>
      <c r="F16" s="21" t="s">
        <v>570</v>
      </c>
      <c r="G16" s="21" t="s">
        <v>490</v>
      </c>
      <c r="H16" s="207">
        <v>2</v>
      </c>
      <c r="I16" s="177" t="s">
        <v>207</v>
      </c>
      <c r="J16" s="320">
        <v>5</v>
      </c>
      <c r="K16" s="189" t="s">
        <v>197</v>
      </c>
      <c r="L16" s="167">
        <f t="shared" si="1"/>
        <v>10</v>
      </c>
      <c r="M16" s="1053"/>
      <c r="N16" s="352">
        <v>44061</v>
      </c>
      <c r="O16" s="198" t="s">
        <v>219</v>
      </c>
      <c r="P16" s="178"/>
      <c r="Q16" s="21"/>
      <c r="R16" s="198" t="s">
        <v>4</v>
      </c>
      <c r="S16" s="342"/>
      <c r="T16" s="198" t="s">
        <v>178</v>
      </c>
      <c r="U16" s="1069"/>
      <c r="V16" s="342"/>
      <c r="W16"/>
      <c r="X16" s="239">
        <f t="shared" si="2"/>
        <v>0.01</v>
      </c>
      <c r="Y16"/>
      <c r="Z16"/>
      <c r="AA16"/>
      <c r="AB16"/>
      <c r="AC16"/>
      <c r="AD16"/>
      <c r="AE16"/>
    </row>
    <row r="17" spans="1:31" s="9" customFormat="1" ht="15.75">
      <c r="A17" s="339">
        <v>51</v>
      </c>
      <c r="B17" s="211" t="s">
        <v>573</v>
      </c>
      <c r="C17" s="352">
        <v>44061</v>
      </c>
      <c r="D17" s="295" t="s">
        <v>24</v>
      </c>
      <c r="E17" s="527" t="s">
        <v>574</v>
      </c>
      <c r="F17" s="21" t="s">
        <v>571</v>
      </c>
      <c r="G17" s="21" t="s">
        <v>490</v>
      </c>
      <c r="H17" s="207">
        <v>1</v>
      </c>
      <c r="I17" s="177" t="s">
        <v>207</v>
      </c>
      <c r="J17" s="320">
        <v>5</v>
      </c>
      <c r="K17" s="189" t="s">
        <v>197</v>
      </c>
      <c r="L17" s="167">
        <f t="shared" si="1"/>
        <v>5</v>
      </c>
      <c r="M17" s="1053"/>
      <c r="N17" s="352">
        <v>44061</v>
      </c>
      <c r="O17" s="198" t="s">
        <v>219</v>
      </c>
      <c r="P17" s="178"/>
      <c r="Q17" s="21"/>
      <c r="R17" s="198" t="s">
        <v>4</v>
      </c>
      <c r="S17" s="342"/>
      <c r="T17" s="198" t="s">
        <v>178</v>
      </c>
      <c r="U17" s="1069"/>
      <c r="V17" s="342"/>
      <c r="W17"/>
      <c r="X17" s="239">
        <f t="shared" si="2"/>
        <v>5.0000000000000001E-3</v>
      </c>
      <c r="Y17"/>
      <c r="Z17"/>
      <c r="AA17"/>
      <c r="AB17"/>
      <c r="AC17"/>
      <c r="AD17"/>
      <c r="AE17"/>
    </row>
    <row r="18" spans="1:31" s="9" customFormat="1" ht="15.75">
      <c r="A18" s="340">
        <v>51</v>
      </c>
      <c r="B18" s="214" t="s">
        <v>573</v>
      </c>
      <c r="C18" s="353">
        <v>44061</v>
      </c>
      <c r="D18" s="309" t="s">
        <v>24</v>
      </c>
      <c r="E18" s="528" t="s">
        <v>574</v>
      </c>
      <c r="F18" s="22" t="s">
        <v>572</v>
      </c>
      <c r="G18" s="22" t="s">
        <v>490</v>
      </c>
      <c r="H18" s="209">
        <v>1</v>
      </c>
      <c r="I18" s="179" t="s">
        <v>207</v>
      </c>
      <c r="J18" s="321">
        <v>3</v>
      </c>
      <c r="K18" s="195" t="s">
        <v>197</v>
      </c>
      <c r="L18" s="170">
        <f t="shared" si="1"/>
        <v>3</v>
      </c>
      <c r="M18" s="1054"/>
      <c r="N18" s="353">
        <v>44061</v>
      </c>
      <c r="O18" s="201" t="s">
        <v>219</v>
      </c>
      <c r="P18" s="180"/>
      <c r="Q18" s="22"/>
      <c r="R18" s="201" t="s">
        <v>4</v>
      </c>
      <c r="S18" s="181"/>
      <c r="T18" s="201" t="s">
        <v>178</v>
      </c>
      <c r="U18" s="1070"/>
      <c r="V18" s="181"/>
      <c r="W18"/>
      <c r="X18" s="239">
        <f t="shared" si="2"/>
        <v>3.0000000000000001E-3</v>
      </c>
      <c r="Y18"/>
      <c r="Z18"/>
      <c r="AA18"/>
      <c r="AB18"/>
      <c r="AC18"/>
      <c r="AD18"/>
      <c r="AE18"/>
    </row>
    <row r="19" spans="1:31" s="9" customFormat="1" ht="15.75">
      <c r="A19" s="338">
        <v>52</v>
      </c>
      <c r="B19" s="296" t="s">
        <v>576</v>
      </c>
      <c r="C19" s="351">
        <v>44063</v>
      </c>
      <c r="D19" s="297" t="s">
        <v>24</v>
      </c>
      <c r="E19" s="526" t="s">
        <v>575</v>
      </c>
      <c r="F19" s="19" t="s">
        <v>577</v>
      </c>
      <c r="G19" s="19" t="s">
        <v>179</v>
      </c>
      <c r="H19" s="279">
        <v>8</v>
      </c>
      <c r="I19" s="175" t="s">
        <v>6</v>
      </c>
      <c r="J19" s="318">
        <v>2</v>
      </c>
      <c r="K19" s="185" t="s">
        <v>197</v>
      </c>
      <c r="L19" s="165">
        <f t="shared" si="1"/>
        <v>16</v>
      </c>
      <c r="M19" s="1052">
        <v>8</v>
      </c>
      <c r="N19" s="351">
        <v>44064</v>
      </c>
      <c r="O19" s="197" t="s">
        <v>219</v>
      </c>
      <c r="P19" s="176"/>
      <c r="Q19" s="19"/>
      <c r="R19" s="197" t="s">
        <v>4</v>
      </c>
      <c r="S19" s="341"/>
      <c r="T19" s="197" t="s">
        <v>178</v>
      </c>
      <c r="U19" s="1068">
        <f>93.53*U10</f>
        <v>2176443.1</v>
      </c>
      <c r="V19" s="341"/>
      <c r="W19"/>
      <c r="X19" s="239">
        <f t="shared" si="2"/>
        <v>1.6E-2</v>
      </c>
      <c r="Y19"/>
      <c r="Z19"/>
      <c r="AA19"/>
      <c r="AB19"/>
      <c r="AC19"/>
      <c r="AD19"/>
      <c r="AE19"/>
    </row>
    <row r="20" spans="1:31" s="9" customFormat="1" ht="15.75">
      <c r="A20" s="339">
        <v>52</v>
      </c>
      <c r="B20" s="211" t="s">
        <v>576</v>
      </c>
      <c r="C20" s="352">
        <v>44063</v>
      </c>
      <c r="D20" s="295" t="s">
        <v>24</v>
      </c>
      <c r="E20" s="527" t="s">
        <v>575</v>
      </c>
      <c r="F20" s="21" t="s">
        <v>578</v>
      </c>
      <c r="G20" s="21" t="s">
        <v>579</v>
      </c>
      <c r="H20" s="207">
        <v>1</v>
      </c>
      <c r="I20" s="177" t="s">
        <v>6</v>
      </c>
      <c r="J20" s="320">
        <v>11</v>
      </c>
      <c r="K20" s="189" t="s">
        <v>197</v>
      </c>
      <c r="L20" s="167">
        <f t="shared" si="1"/>
        <v>11</v>
      </c>
      <c r="M20" s="1053"/>
      <c r="N20" s="352">
        <v>44064</v>
      </c>
      <c r="O20" s="198" t="s">
        <v>219</v>
      </c>
      <c r="P20" s="178"/>
      <c r="Q20" s="21"/>
      <c r="R20" s="198" t="s">
        <v>4</v>
      </c>
      <c r="S20" s="342"/>
      <c r="T20" s="198" t="s">
        <v>178</v>
      </c>
      <c r="U20" s="1069"/>
      <c r="V20" s="342"/>
      <c r="W20"/>
      <c r="X20" s="239">
        <f t="shared" si="2"/>
        <v>1.0999999999999999E-2</v>
      </c>
      <c r="Y20"/>
      <c r="Z20"/>
      <c r="AA20"/>
      <c r="AB20"/>
      <c r="AC20"/>
      <c r="AD20"/>
      <c r="AE20"/>
    </row>
    <row r="21" spans="1:31" s="9" customFormat="1" ht="15.75">
      <c r="A21" s="339">
        <v>52</v>
      </c>
      <c r="B21" s="211" t="s">
        <v>576</v>
      </c>
      <c r="C21" s="352">
        <v>44063</v>
      </c>
      <c r="D21" s="295" t="s">
        <v>24</v>
      </c>
      <c r="E21" s="527" t="s">
        <v>575</v>
      </c>
      <c r="F21" s="21" t="s">
        <v>580</v>
      </c>
      <c r="G21" s="21" t="s">
        <v>351</v>
      </c>
      <c r="H21" s="207">
        <v>1</v>
      </c>
      <c r="I21" s="177" t="s">
        <v>6</v>
      </c>
      <c r="J21" s="320">
        <v>11</v>
      </c>
      <c r="K21" s="189" t="s">
        <v>197</v>
      </c>
      <c r="L21" s="167">
        <f t="shared" si="1"/>
        <v>11</v>
      </c>
      <c r="M21" s="1053"/>
      <c r="N21" s="352">
        <v>44064</v>
      </c>
      <c r="O21" s="198" t="s">
        <v>219</v>
      </c>
      <c r="P21" s="178"/>
      <c r="Q21" s="21"/>
      <c r="R21" s="198" t="s">
        <v>4</v>
      </c>
      <c r="S21" s="342"/>
      <c r="T21" s="198" t="s">
        <v>178</v>
      </c>
      <c r="U21" s="1069"/>
      <c r="V21" s="342"/>
      <c r="W21"/>
      <c r="X21" s="239">
        <f t="shared" si="2"/>
        <v>1.0999999999999999E-2</v>
      </c>
      <c r="Y21"/>
      <c r="Z21"/>
      <c r="AA21"/>
      <c r="AB21"/>
      <c r="AC21"/>
      <c r="AD21"/>
      <c r="AE21"/>
    </row>
    <row r="22" spans="1:31" s="327" customFormat="1" ht="15.75">
      <c r="A22" s="339">
        <v>52</v>
      </c>
      <c r="B22" s="211" t="s">
        <v>576</v>
      </c>
      <c r="C22" s="352">
        <v>44063</v>
      </c>
      <c r="D22" s="295" t="s">
        <v>24</v>
      </c>
      <c r="E22" s="527" t="s">
        <v>575</v>
      </c>
      <c r="F22" s="21" t="s">
        <v>581</v>
      </c>
      <c r="G22" s="21" t="s">
        <v>351</v>
      </c>
      <c r="H22" s="207">
        <v>1</v>
      </c>
      <c r="I22" s="177" t="s">
        <v>6</v>
      </c>
      <c r="J22" s="320">
        <v>9</v>
      </c>
      <c r="K22" s="189" t="s">
        <v>197</v>
      </c>
      <c r="L22" s="167">
        <f t="shared" si="1"/>
        <v>9</v>
      </c>
      <c r="M22" s="1053"/>
      <c r="N22" s="352">
        <v>44064</v>
      </c>
      <c r="O22" s="198" t="s">
        <v>219</v>
      </c>
      <c r="P22" s="178"/>
      <c r="Q22" s="21"/>
      <c r="R22" s="198" t="s">
        <v>4</v>
      </c>
      <c r="S22" s="342"/>
      <c r="T22" s="198" t="s">
        <v>178</v>
      </c>
      <c r="U22" s="1069"/>
      <c r="V22" s="342"/>
      <c r="W22" s="230"/>
      <c r="X22" s="239">
        <f t="shared" si="2"/>
        <v>8.9999999999999993E-3</v>
      </c>
      <c r="Y22" s="230"/>
      <c r="Z22" s="230"/>
      <c r="AA22" s="230"/>
      <c r="AB22" s="230"/>
      <c r="AC22" s="230"/>
      <c r="AD22" s="230"/>
      <c r="AE22" s="230"/>
    </row>
    <row r="23" spans="1:31" s="327" customFormat="1" ht="15.75">
      <c r="A23" s="339">
        <v>52</v>
      </c>
      <c r="B23" s="211" t="s">
        <v>576</v>
      </c>
      <c r="C23" s="352">
        <v>44063</v>
      </c>
      <c r="D23" s="295" t="s">
        <v>24</v>
      </c>
      <c r="E23" s="527" t="s">
        <v>575</v>
      </c>
      <c r="F23" s="21" t="s">
        <v>582</v>
      </c>
      <c r="G23" s="21" t="s">
        <v>351</v>
      </c>
      <c r="H23" s="207">
        <v>1</v>
      </c>
      <c r="I23" s="177" t="s">
        <v>6</v>
      </c>
      <c r="J23" s="320">
        <v>9</v>
      </c>
      <c r="K23" s="189" t="s">
        <v>197</v>
      </c>
      <c r="L23" s="167">
        <f t="shared" si="1"/>
        <v>9</v>
      </c>
      <c r="M23" s="1053"/>
      <c r="N23" s="352">
        <v>44064</v>
      </c>
      <c r="O23" s="198" t="s">
        <v>219</v>
      </c>
      <c r="P23" s="178"/>
      <c r="Q23" s="21"/>
      <c r="R23" s="198" t="s">
        <v>4</v>
      </c>
      <c r="S23" s="342"/>
      <c r="T23" s="198" t="s">
        <v>178</v>
      </c>
      <c r="U23" s="1069"/>
      <c r="V23" s="342"/>
      <c r="W23" s="230"/>
      <c r="X23" s="239">
        <f t="shared" si="2"/>
        <v>8.9999999999999993E-3</v>
      </c>
      <c r="Y23" s="230"/>
      <c r="Z23" s="230"/>
      <c r="AA23" s="230"/>
      <c r="AB23" s="230"/>
      <c r="AC23" s="230"/>
      <c r="AD23" s="230"/>
      <c r="AE23" s="230"/>
    </row>
    <row r="24" spans="1:31" s="327" customFormat="1" ht="15.75">
      <c r="A24" s="339">
        <v>52</v>
      </c>
      <c r="B24" s="211" t="s">
        <v>576</v>
      </c>
      <c r="C24" s="352">
        <v>44063</v>
      </c>
      <c r="D24" s="295" t="s">
        <v>24</v>
      </c>
      <c r="E24" s="527" t="s">
        <v>575</v>
      </c>
      <c r="F24" s="21" t="s">
        <v>261</v>
      </c>
      <c r="G24" s="21" t="s">
        <v>527</v>
      </c>
      <c r="H24" s="207">
        <v>1</v>
      </c>
      <c r="I24" s="177" t="s">
        <v>6</v>
      </c>
      <c r="J24" s="320">
        <v>7</v>
      </c>
      <c r="K24" s="189" t="s">
        <v>197</v>
      </c>
      <c r="L24" s="167">
        <f t="shared" si="1"/>
        <v>7</v>
      </c>
      <c r="M24" s="1053"/>
      <c r="N24" s="352">
        <v>44064</v>
      </c>
      <c r="O24" s="198" t="s">
        <v>219</v>
      </c>
      <c r="P24" s="178"/>
      <c r="Q24" s="21"/>
      <c r="R24" s="198" t="s">
        <v>4</v>
      </c>
      <c r="S24" s="342"/>
      <c r="T24" s="198" t="s">
        <v>178</v>
      </c>
      <c r="U24" s="1069"/>
      <c r="V24" s="342"/>
      <c r="W24" s="230"/>
      <c r="X24" s="239">
        <f t="shared" si="2"/>
        <v>7.0000000000000001E-3</v>
      </c>
      <c r="Y24" s="230"/>
      <c r="Z24" s="230"/>
      <c r="AA24" s="230"/>
      <c r="AB24" s="230"/>
      <c r="AC24" s="230"/>
      <c r="AD24" s="230"/>
      <c r="AE24" s="230"/>
    </row>
    <row r="25" spans="1:31" s="327" customFormat="1" ht="15.75">
      <c r="A25" s="339">
        <v>52</v>
      </c>
      <c r="B25" s="211" t="s">
        <v>576</v>
      </c>
      <c r="C25" s="352">
        <v>44063</v>
      </c>
      <c r="D25" s="295" t="s">
        <v>24</v>
      </c>
      <c r="E25" s="527" t="s">
        <v>575</v>
      </c>
      <c r="F25" s="21" t="s">
        <v>583</v>
      </c>
      <c r="G25" s="21" t="s">
        <v>192</v>
      </c>
      <c r="H25" s="207">
        <v>1</v>
      </c>
      <c r="I25" s="177" t="s">
        <v>6</v>
      </c>
      <c r="J25" s="320">
        <v>4</v>
      </c>
      <c r="K25" s="189" t="s">
        <v>197</v>
      </c>
      <c r="L25" s="167">
        <f t="shared" si="1"/>
        <v>4</v>
      </c>
      <c r="M25" s="1053"/>
      <c r="N25" s="352">
        <v>44064</v>
      </c>
      <c r="O25" s="198" t="s">
        <v>219</v>
      </c>
      <c r="P25" s="178"/>
      <c r="Q25" s="21"/>
      <c r="R25" s="198" t="s">
        <v>4</v>
      </c>
      <c r="S25" s="342"/>
      <c r="T25" s="198" t="s">
        <v>178</v>
      </c>
      <c r="U25" s="1069"/>
      <c r="V25" s="342"/>
      <c r="W25" s="230"/>
      <c r="X25" s="239">
        <f t="shared" si="2"/>
        <v>4.0000000000000001E-3</v>
      </c>
      <c r="Y25" s="230"/>
      <c r="Z25" s="230"/>
      <c r="AA25" s="230"/>
      <c r="AB25" s="230"/>
      <c r="AC25" s="230"/>
      <c r="AD25" s="230"/>
      <c r="AE25" s="230"/>
    </row>
    <row r="26" spans="1:31" s="327" customFormat="1" ht="15.75">
      <c r="A26" s="339">
        <v>52</v>
      </c>
      <c r="B26" s="211" t="s">
        <v>576</v>
      </c>
      <c r="C26" s="352">
        <v>44063</v>
      </c>
      <c r="D26" s="295" t="s">
        <v>24</v>
      </c>
      <c r="E26" s="527" t="s">
        <v>575</v>
      </c>
      <c r="F26" s="21" t="s">
        <v>584</v>
      </c>
      <c r="G26" s="21" t="s">
        <v>416</v>
      </c>
      <c r="H26" s="207">
        <v>1</v>
      </c>
      <c r="I26" s="177" t="s">
        <v>6</v>
      </c>
      <c r="J26" s="320">
        <v>7</v>
      </c>
      <c r="K26" s="189" t="s">
        <v>197</v>
      </c>
      <c r="L26" s="167">
        <f t="shared" si="1"/>
        <v>7</v>
      </c>
      <c r="M26" s="1053"/>
      <c r="N26" s="352">
        <v>44064</v>
      </c>
      <c r="O26" s="198" t="s">
        <v>219</v>
      </c>
      <c r="P26" s="178"/>
      <c r="Q26" s="21"/>
      <c r="R26" s="198" t="s">
        <v>4</v>
      </c>
      <c r="S26" s="342"/>
      <c r="T26" s="198" t="s">
        <v>178</v>
      </c>
      <c r="U26" s="1069"/>
      <c r="V26" s="342"/>
      <c r="W26" s="230"/>
      <c r="X26" s="239">
        <f t="shared" si="2"/>
        <v>7.0000000000000001E-3</v>
      </c>
      <c r="Y26" s="230"/>
      <c r="Z26" s="230"/>
      <c r="AA26" s="230"/>
      <c r="AB26" s="230"/>
      <c r="AC26" s="230"/>
      <c r="AD26" s="230"/>
      <c r="AE26" s="230"/>
    </row>
    <row r="27" spans="1:31" s="327" customFormat="1" ht="15.75">
      <c r="A27" s="340">
        <v>52</v>
      </c>
      <c r="B27" s="214" t="s">
        <v>576</v>
      </c>
      <c r="C27" s="353">
        <v>44063</v>
      </c>
      <c r="D27" s="309" t="s">
        <v>24</v>
      </c>
      <c r="E27" s="528" t="s">
        <v>575</v>
      </c>
      <c r="F27" s="22" t="s">
        <v>585</v>
      </c>
      <c r="G27" s="22" t="s">
        <v>192</v>
      </c>
      <c r="H27" s="209">
        <v>1</v>
      </c>
      <c r="I27" s="179" t="s">
        <v>6</v>
      </c>
      <c r="J27" s="321">
        <v>5</v>
      </c>
      <c r="K27" s="195" t="s">
        <v>197</v>
      </c>
      <c r="L27" s="170">
        <f t="shared" si="1"/>
        <v>5</v>
      </c>
      <c r="M27" s="1054"/>
      <c r="N27" s="353">
        <v>44064</v>
      </c>
      <c r="O27" s="201" t="s">
        <v>219</v>
      </c>
      <c r="P27" s="180"/>
      <c r="Q27" s="22"/>
      <c r="R27" s="201" t="s">
        <v>4</v>
      </c>
      <c r="S27" s="181"/>
      <c r="T27" s="201" t="s">
        <v>178</v>
      </c>
      <c r="U27" s="1070"/>
      <c r="V27" s="181"/>
      <c r="W27" s="230"/>
      <c r="X27" s="239">
        <f t="shared" si="2"/>
        <v>5.0000000000000001E-3</v>
      </c>
      <c r="Y27" s="230"/>
      <c r="Z27" s="230"/>
      <c r="AA27" s="230"/>
      <c r="AB27" s="230"/>
      <c r="AC27" s="230"/>
      <c r="AD27" s="230"/>
      <c r="AE27" s="230"/>
    </row>
    <row r="28" spans="1:31" s="327" customFormat="1" ht="15.75">
      <c r="A28" s="338">
        <v>53</v>
      </c>
      <c r="B28" s="296" t="s">
        <v>593</v>
      </c>
      <c r="C28" s="351">
        <v>44063</v>
      </c>
      <c r="D28" s="297" t="s">
        <v>24</v>
      </c>
      <c r="E28" s="526" t="s">
        <v>594</v>
      </c>
      <c r="F28" s="19" t="s">
        <v>586</v>
      </c>
      <c r="G28" s="19" t="s">
        <v>587</v>
      </c>
      <c r="H28" s="279">
        <v>30</v>
      </c>
      <c r="I28" s="175" t="s">
        <v>336</v>
      </c>
      <c r="J28" s="318">
        <v>1.5</v>
      </c>
      <c r="K28" s="185" t="s">
        <v>197</v>
      </c>
      <c r="L28" s="165">
        <f t="shared" si="1"/>
        <v>45</v>
      </c>
      <c r="M28" s="1052">
        <v>176</v>
      </c>
      <c r="N28" s="351">
        <v>44064</v>
      </c>
      <c r="O28" s="197" t="s">
        <v>219</v>
      </c>
      <c r="P28" s="52" t="s">
        <v>595</v>
      </c>
      <c r="Q28" s="19" t="s">
        <v>20</v>
      </c>
      <c r="R28" s="197" t="s">
        <v>7</v>
      </c>
      <c r="S28" s="341"/>
      <c r="T28" s="197" t="s">
        <v>178</v>
      </c>
      <c r="U28" s="1068">
        <f>1002.02*U10</f>
        <v>23317005.399999999</v>
      </c>
      <c r="V28" s="341"/>
      <c r="W28" s="230"/>
      <c r="X28" s="239">
        <f t="shared" si="2"/>
        <v>4.4999999999999998E-2</v>
      </c>
      <c r="Y28" s="230"/>
      <c r="Z28" s="230"/>
      <c r="AA28" s="230"/>
      <c r="AB28" s="230"/>
      <c r="AC28" s="230"/>
      <c r="AD28" s="230"/>
      <c r="AE28" s="230"/>
    </row>
    <row r="29" spans="1:31" s="327" customFormat="1" ht="15.75">
      <c r="A29" s="339">
        <v>53</v>
      </c>
      <c r="B29" s="211" t="s">
        <v>593</v>
      </c>
      <c r="C29" s="352">
        <v>44063</v>
      </c>
      <c r="D29" s="295" t="s">
        <v>24</v>
      </c>
      <c r="E29" s="527" t="s">
        <v>594</v>
      </c>
      <c r="F29" s="21" t="s">
        <v>588</v>
      </c>
      <c r="G29" s="21" t="s">
        <v>587</v>
      </c>
      <c r="H29" s="207">
        <v>30</v>
      </c>
      <c r="I29" s="177" t="s">
        <v>336</v>
      </c>
      <c r="J29" s="320">
        <v>1.5</v>
      </c>
      <c r="K29" s="189" t="s">
        <v>197</v>
      </c>
      <c r="L29" s="167">
        <f t="shared" si="1"/>
        <v>45</v>
      </c>
      <c r="M29" s="1053"/>
      <c r="N29" s="352">
        <v>44064</v>
      </c>
      <c r="O29" s="198" t="s">
        <v>219</v>
      </c>
      <c r="P29" s="53" t="s">
        <v>595</v>
      </c>
      <c r="Q29" s="21" t="s">
        <v>20</v>
      </c>
      <c r="R29" s="198" t="s">
        <v>7</v>
      </c>
      <c r="S29" s="342"/>
      <c r="T29" s="198" t="s">
        <v>178</v>
      </c>
      <c r="U29" s="1069"/>
      <c r="V29" s="342"/>
      <c r="W29" s="230"/>
      <c r="X29" s="239">
        <f t="shared" si="2"/>
        <v>4.4999999999999998E-2</v>
      </c>
      <c r="Y29" s="230"/>
      <c r="Z29" s="230"/>
      <c r="AA29" s="230"/>
      <c r="AB29" s="230"/>
      <c r="AC29" s="230"/>
      <c r="AD29" s="230"/>
      <c r="AE29" s="230"/>
    </row>
    <row r="30" spans="1:31" s="327" customFormat="1" ht="15.75">
      <c r="A30" s="339">
        <v>53</v>
      </c>
      <c r="B30" s="211" t="s">
        <v>593</v>
      </c>
      <c r="C30" s="352">
        <v>44063</v>
      </c>
      <c r="D30" s="295" t="s">
        <v>24</v>
      </c>
      <c r="E30" s="527" t="s">
        <v>594</v>
      </c>
      <c r="F30" s="21" t="s">
        <v>589</v>
      </c>
      <c r="G30" s="21" t="s">
        <v>587</v>
      </c>
      <c r="H30" s="207">
        <v>30</v>
      </c>
      <c r="I30" s="177" t="s">
        <v>336</v>
      </c>
      <c r="J30" s="320">
        <v>1.5</v>
      </c>
      <c r="K30" s="189" t="s">
        <v>197</v>
      </c>
      <c r="L30" s="167">
        <f t="shared" si="1"/>
        <v>45</v>
      </c>
      <c r="M30" s="1053"/>
      <c r="N30" s="352">
        <v>44064</v>
      </c>
      <c r="O30" s="198" t="s">
        <v>219</v>
      </c>
      <c r="P30" s="53" t="s">
        <v>595</v>
      </c>
      <c r="Q30" s="21" t="s">
        <v>20</v>
      </c>
      <c r="R30" s="198" t="s">
        <v>7</v>
      </c>
      <c r="S30" s="342"/>
      <c r="T30" s="198" t="s">
        <v>178</v>
      </c>
      <c r="U30" s="1069"/>
      <c r="V30" s="342"/>
      <c r="W30" s="230"/>
      <c r="X30" s="239">
        <f t="shared" si="2"/>
        <v>4.4999999999999998E-2</v>
      </c>
      <c r="Y30" s="230"/>
      <c r="Z30" s="230"/>
      <c r="AA30" s="230"/>
      <c r="AB30" s="230"/>
      <c r="AC30" s="230"/>
      <c r="AD30" s="230"/>
      <c r="AE30" s="230"/>
    </row>
    <row r="31" spans="1:31" s="9" customFormat="1" ht="15.75">
      <c r="A31" s="339">
        <v>53</v>
      </c>
      <c r="B31" s="211" t="s">
        <v>593</v>
      </c>
      <c r="C31" s="352">
        <v>44063</v>
      </c>
      <c r="D31" s="295" t="s">
        <v>24</v>
      </c>
      <c r="E31" s="527" t="s">
        <v>594</v>
      </c>
      <c r="F31" s="21" t="s">
        <v>590</v>
      </c>
      <c r="G31" s="21" t="s">
        <v>587</v>
      </c>
      <c r="H31" s="207">
        <v>15</v>
      </c>
      <c r="I31" s="177" t="s">
        <v>336</v>
      </c>
      <c r="J31" s="320">
        <v>1.5</v>
      </c>
      <c r="K31" s="189" t="s">
        <v>197</v>
      </c>
      <c r="L31" s="167">
        <f t="shared" si="1"/>
        <v>22.5</v>
      </c>
      <c r="M31" s="1053"/>
      <c r="N31" s="352">
        <v>44064</v>
      </c>
      <c r="O31" s="198" t="s">
        <v>219</v>
      </c>
      <c r="P31" s="53" t="s">
        <v>595</v>
      </c>
      <c r="Q31" s="21" t="s">
        <v>20</v>
      </c>
      <c r="R31" s="198" t="s">
        <v>7</v>
      </c>
      <c r="S31" s="342"/>
      <c r="T31" s="198" t="s">
        <v>178</v>
      </c>
      <c r="U31" s="1069"/>
      <c r="V31" s="342"/>
      <c r="W31"/>
      <c r="X31" s="239">
        <f t="shared" si="2"/>
        <v>2.2499999999999999E-2</v>
      </c>
      <c r="Y31"/>
      <c r="Z31"/>
      <c r="AA31"/>
      <c r="AB31"/>
      <c r="AC31"/>
      <c r="AD31"/>
      <c r="AE31"/>
    </row>
    <row r="32" spans="1:31" s="9" customFormat="1" ht="15.75">
      <c r="A32" s="339">
        <v>53</v>
      </c>
      <c r="B32" s="211" t="s">
        <v>593</v>
      </c>
      <c r="C32" s="352">
        <v>44063</v>
      </c>
      <c r="D32" s="295" t="s">
        <v>24</v>
      </c>
      <c r="E32" s="527" t="s">
        <v>594</v>
      </c>
      <c r="F32" s="21" t="s">
        <v>591</v>
      </c>
      <c r="G32" s="21" t="s">
        <v>587</v>
      </c>
      <c r="H32" s="207">
        <v>30</v>
      </c>
      <c r="I32" s="177" t="s">
        <v>336</v>
      </c>
      <c r="J32" s="320">
        <v>1.5</v>
      </c>
      <c r="K32" s="189" t="s">
        <v>197</v>
      </c>
      <c r="L32" s="167">
        <f t="shared" si="1"/>
        <v>45</v>
      </c>
      <c r="M32" s="1053"/>
      <c r="N32" s="352">
        <v>44064</v>
      </c>
      <c r="O32" s="198" t="s">
        <v>219</v>
      </c>
      <c r="P32" s="53" t="s">
        <v>595</v>
      </c>
      <c r="Q32" s="21" t="s">
        <v>20</v>
      </c>
      <c r="R32" s="198" t="s">
        <v>7</v>
      </c>
      <c r="S32" s="342"/>
      <c r="T32" s="198" t="s">
        <v>178</v>
      </c>
      <c r="U32" s="1069"/>
      <c r="V32" s="342"/>
      <c r="W32"/>
      <c r="X32" s="239">
        <f t="shared" si="2"/>
        <v>4.4999999999999998E-2</v>
      </c>
      <c r="Y32"/>
      <c r="Z32"/>
      <c r="AA32"/>
      <c r="AB32"/>
      <c r="AC32"/>
      <c r="AD32"/>
      <c r="AE32"/>
    </row>
    <row r="33" spans="1:31" s="9" customFormat="1" ht="15.75">
      <c r="A33" s="340">
        <v>53</v>
      </c>
      <c r="B33" s="214" t="s">
        <v>593</v>
      </c>
      <c r="C33" s="353">
        <v>44063</v>
      </c>
      <c r="D33" s="309" t="s">
        <v>24</v>
      </c>
      <c r="E33" s="528" t="s">
        <v>594</v>
      </c>
      <c r="F33" s="22" t="s">
        <v>592</v>
      </c>
      <c r="G33" s="22" t="s">
        <v>587</v>
      </c>
      <c r="H33" s="209">
        <v>30</v>
      </c>
      <c r="I33" s="179" t="s">
        <v>336</v>
      </c>
      <c r="J33" s="321">
        <v>1.5</v>
      </c>
      <c r="K33" s="195" t="s">
        <v>197</v>
      </c>
      <c r="L33" s="170">
        <f t="shared" si="1"/>
        <v>45</v>
      </c>
      <c r="M33" s="1054"/>
      <c r="N33" s="353">
        <v>44064</v>
      </c>
      <c r="O33" s="201" t="s">
        <v>219</v>
      </c>
      <c r="P33" s="54" t="s">
        <v>595</v>
      </c>
      <c r="Q33" s="22" t="s">
        <v>20</v>
      </c>
      <c r="R33" s="201" t="s">
        <v>7</v>
      </c>
      <c r="S33" s="181"/>
      <c r="T33" s="201" t="s">
        <v>178</v>
      </c>
      <c r="U33" s="1070"/>
      <c r="V33" s="181"/>
      <c r="W33"/>
      <c r="X33" s="239">
        <f t="shared" si="2"/>
        <v>4.4999999999999998E-2</v>
      </c>
      <c r="Y33"/>
      <c r="Z33"/>
      <c r="AA33"/>
      <c r="AB33"/>
      <c r="AC33"/>
      <c r="AD33"/>
      <c r="AE33"/>
    </row>
    <row r="34" spans="1:31" ht="15.75">
      <c r="A34" s="338">
        <v>54</v>
      </c>
      <c r="B34" s="296" t="s">
        <v>596</v>
      </c>
      <c r="C34" s="351">
        <v>44068</v>
      </c>
      <c r="D34" s="297" t="s">
        <v>24</v>
      </c>
      <c r="E34" s="526" t="s">
        <v>599</v>
      </c>
      <c r="F34" s="19" t="s">
        <v>597</v>
      </c>
      <c r="G34" s="19" t="s">
        <v>179</v>
      </c>
      <c r="H34" s="279">
        <v>4</v>
      </c>
      <c r="I34" s="175" t="s">
        <v>207</v>
      </c>
      <c r="J34" s="318">
        <v>2</v>
      </c>
      <c r="K34" s="185" t="s">
        <v>197</v>
      </c>
      <c r="L34" s="165">
        <f t="shared" ref="L34:L35" si="3">J34*H34</f>
        <v>8</v>
      </c>
      <c r="M34" s="1052">
        <v>2.1</v>
      </c>
      <c r="N34" s="351">
        <v>44068</v>
      </c>
      <c r="O34" s="197" t="s">
        <v>219</v>
      </c>
      <c r="P34" s="52" t="s">
        <v>600</v>
      </c>
      <c r="Q34" s="19" t="s">
        <v>20</v>
      </c>
      <c r="R34" s="197" t="s">
        <v>4</v>
      </c>
      <c r="S34" s="341"/>
      <c r="T34" s="197" t="s">
        <v>178</v>
      </c>
      <c r="U34" s="1068">
        <f>43.99*U10</f>
        <v>1023647.3</v>
      </c>
      <c r="V34" s="341"/>
      <c r="X34" s="239">
        <f t="shared" si="2"/>
        <v>8.0000000000000002E-3</v>
      </c>
    </row>
    <row r="35" spans="1:31" ht="15.75">
      <c r="A35" s="340">
        <v>54</v>
      </c>
      <c r="B35" s="214" t="s">
        <v>596</v>
      </c>
      <c r="C35" s="353">
        <v>44068</v>
      </c>
      <c r="D35" s="309" t="s">
        <v>24</v>
      </c>
      <c r="E35" s="528" t="s">
        <v>599</v>
      </c>
      <c r="F35" s="22" t="s">
        <v>598</v>
      </c>
      <c r="G35" s="22" t="s">
        <v>351</v>
      </c>
      <c r="H35" s="209">
        <v>1</v>
      </c>
      <c r="I35" s="179" t="s">
        <v>207</v>
      </c>
      <c r="J35" s="321">
        <v>9</v>
      </c>
      <c r="K35" s="195" t="s">
        <v>197</v>
      </c>
      <c r="L35" s="170">
        <f t="shared" si="3"/>
        <v>9</v>
      </c>
      <c r="M35" s="1054"/>
      <c r="N35" s="353">
        <v>44068</v>
      </c>
      <c r="O35" s="201" t="s">
        <v>219</v>
      </c>
      <c r="P35" s="54" t="s">
        <v>600</v>
      </c>
      <c r="Q35" s="22" t="s">
        <v>20</v>
      </c>
      <c r="R35" s="201" t="s">
        <v>4</v>
      </c>
      <c r="S35" s="181"/>
      <c r="T35" s="201" t="s">
        <v>178</v>
      </c>
      <c r="U35" s="1070"/>
      <c r="V35" s="181"/>
      <c r="X35" s="239">
        <f t="shared" si="2"/>
        <v>8.9999999999999993E-3</v>
      </c>
    </row>
    <row r="36" spans="1:31" ht="15.75">
      <c r="A36" s="517">
        <v>55</v>
      </c>
      <c r="B36" s="219" t="s">
        <v>601</v>
      </c>
      <c r="C36" s="518">
        <v>44071</v>
      </c>
      <c r="D36" s="290" t="s">
        <v>24</v>
      </c>
      <c r="E36" s="16" t="s">
        <v>602</v>
      </c>
      <c r="F36" s="4" t="s">
        <v>603</v>
      </c>
      <c r="G36" s="4" t="s">
        <v>587</v>
      </c>
      <c r="H36" s="427">
        <v>30</v>
      </c>
      <c r="I36" s="515" t="s">
        <v>604</v>
      </c>
      <c r="J36" s="516">
        <v>3</v>
      </c>
      <c r="K36" s="203" t="s">
        <v>197</v>
      </c>
      <c r="L36" s="159">
        <f t="shared" ref="L36:L44" si="4">J36*H36</f>
        <v>90</v>
      </c>
      <c r="M36" s="536">
        <v>32</v>
      </c>
      <c r="N36" s="518">
        <v>44071</v>
      </c>
      <c r="O36" s="204" t="s">
        <v>219</v>
      </c>
      <c r="P36" s="535" t="s">
        <v>605</v>
      </c>
      <c r="Q36" s="4" t="s">
        <v>20</v>
      </c>
      <c r="R36" s="204" t="s">
        <v>7</v>
      </c>
      <c r="S36" s="521"/>
      <c r="T36" s="204" t="s">
        <v>178</v>
      </c>
      <c r="U36" s="522">
        <f>291.69*U10</f>
        <v>6787626.2999999998</v>
      </c>
      <c r="V36" s="521"/>
      <c r="X36" s="239">
        <f t="shared" si="2"/>
        <v>0.09</v>
      </c>
    </row>
    <row r="37" spans="1:31" ht="15.75">
      <c r="A37" s="338">
        <v>56</v>
      </c>
      <c r="B37" s="296" t="s">
        <v>606</v>
      </c>
      <c r="C37" s="351">
        <v>44071</v>
      </c>
      <c r="D37" s="297" t="s">
        <v>24</v>
      </c>
      <c r="E37" s="526" t="s">
        <v>607</v>
      </c>
      <c r="F37" s="19" t="s">
        <v>220</v>
      </c>
      <c r="G37" s="19" t="s">
        <v>156</v>
      </c>
      <c r="H37" s="279">
        <v>20</v>
      </c>
      <c r="I37" s="175" t="s">
        <v>207</v>
      </c>
      <c r="J37" s="318">
        <v>3</v>
      </c>
      <c r="K37" s="185" t="s">
        <v>197</v>
      </c>
      <c r="L37" s="165">
        <f t="shared" si="4"/>
        <v>60</v>
      </c>
      <c r="M37" s="1052">
        <v>24.76</v>
      </c>
      <c r="N37" s="351">
        <v>44071</v>
      </c>
      <c r="O37" s="197" t="s">
        <v>219</v>
      </c>
      <c r="P37" s="52" t="s">
        <v>616</v>
      </c>
      <c r="Q37" s="19" t="s">
        <v>20</v>
      </c>
      <c r="R37" s="197" t="s">
        <v>4</v>
      </c>
      <c r="S37" s="341"/>
      <c r="T37" s="197" t="s">
        <v>178</v>
      </c>
      <c r="U37" s="1068">
        <f>241.68*U10</f>
        <v>5623893.6000000006</v>
      </c>
      <c r="V37" s="341"/>
      <c r="X37" s="239">
        <f t="shared" si="2"/>
        <v>0.06</v>
      </c>
    </row>
    <row r="38" spans="1:31" ht="15.75">
      <c r="A38" s="339">
        <v>56</v>
      </c>
      <c r="B38" s="211" t="s">
        <v>606</v>
      </c>
      <c r="C38" s="352">
        <v>44071</v>
      </c>
      <c r="D38" s="295" t="s">
        <v>24</v>
      </c>
      <c r="E38" s="527" t="s">
        <v>607</v>
      </c>
      <c r="F38" s="21" t="s">
        <v>608</v>
      </c>
      <c r="G38" s="21" t="s">
        <v>179</v>
      </c>
      <c r="H38" s="207">
        <v>3</v>
      </c>
      <c r="I38" s="177" t="s">
        <v>207</v>
      </c>
      <c r="J38" s="320">
        <v>2</v>
      </c>
      <c r="K38" s="189" t="s">
        <v>197</v>
      </c>
      <c r="L38" s="167">
        <f t="shared" si="4"/>
        <v>6</v>
      </c>
      <c r="M38" s="1053"/>
      <c r="N38" s="352">
        <v>44071</v>
      </c>
      <c r="O38" s="198" t="s">
        <v>219</v>
      </c>
      <c r="P38" s="53" t="s">
        <v>616</v>
      </c>
      <c r="Q38" s="21" t="s">
        <v>20</v>
      </c>
      <c r="R38" s="198" t="s">
        <v>4</v>
      </c>
      <c r="S38" s="342"/>
      <c r="T38" s="198" t="s">
        <v>178</v>
      </c>
      <c r="U38" s="1069"/>
      <c r="V38" s="342"/>
      <c r="X38" s="239">
        <f t="shared" si="2"/>
        <v>6.0000000000000001E-3</v>
      </c>
    </row>
    <row r="39" spans="1:31" ht="15.75">
      <c r="A39" s="339">
        <v>56</v>
      </c>
      <c r="B39" s="211" t="s">
        <v>606</v>
      </c>
      <c r="C39" s="352">
        <v>44071</v>
      </c>
      <c r="D39" s="295" t="s">
        <v>24</v>
      </c>
      <c r="E39" s="527" t="s">
        <v>607</v>
      </c>
      <c r="F39" s="21" t="s">
        <v>609</v>
      </c>
      <c r="G39" s="21" t="s">
        <v>610</v>
      </c>
      <c r="H39" s="207">
        <v>1</v>
      </c>
      <c r="I39" s="177" t="s">
        <v>207</v>
      </c>
      <c r="J39" s="320">
        <v>15</v>
      </c>
      <c r="K39" s="189" t="s">
        <v>197</v>
      </c>
      <c r="L39" s="167">
        <f t="shared" si="4"/>
        <v>15</v>
      </c>
      <c r="M39" s="1053"/>
      <c r="N39" s="352">
        <v>44071</v>
      </c>
      <c r="O39" s="198" t="s">
        <v>219</v>
      </c>
      <c r="P39" s="53" t="s">
        <v>616</v>
      </c>
      <c r="Q39" s="21" t="s">
        <v>20</v>
      </c>
      <c r="R39" s="198" t="s">
        <v>4</v>
      </c>
      <c r="S39" s="342"/>
      <c r="T39" s="198" t="s">
        <v>178</v>
      </c>
      <c r="U39" s="1069"/>
      <c r="V39" s="342"/>
      <c r="X39" s="239">
        <f t="shared" si="2"/>
        <v>1.4999999999999999E-2</v>
      </c>
    </row>
    <row r="40" spans="1:31" ht="15.75">
      <c r="A40" s="339">
        <v>56</v>
      </c>
      <c r="B40" s="211" t="s">
        <v>606</v>
      </c>
      <c r="C40" s="352">
        <v>44071</v>
      </c>
      <c r="D40" s="295" t="s">
        <v>24</v>
      </c>
      <c r="E40" s="527" t="s">
        <v>607</v>
      </c>
      <c r="F40" s="21" t="s">
        <v>611</v>
      </c>
      <c r="G40" s="21" t="s">
        <v>208</v>
      </c>
      <c r="H40" s="207">
        <v>1</v>
      </c>
      <c r="I40" s="177" t="s">
        <v>207</v>
      </c>
      <c r="J40" s="320">
        <v>3.5</v>
      </c>
      <c r="K40" s="189" t="s">
        <v>197</v>
      </c>
      <c r="L40" s="167">
        <f t="shared" si="4"/>
        <v>3.5</v>
      </c>
      <c r="M40" s="1053"/>
      <c r="N40" s="352">
        <v>44071</v>
      </c>
      <c r="O40" s="198" t="s">
        <v>219</v>
      </c>
      <c r="P40" s="53" t="s">
        <v>616</v>
      </c>
      <c r="Q40" s="21" t="s">
        <v>20</v>
      </c>
      <c r="R40" s="198" t="s">
        <v>4</v>
      </c>
      <c r="S40" s="342"/>
      <c r="T40" s="198" t="s">
        <v>178</v>
      </c>
      <c r="U40" s="1069"/>
      <c r="V40" s="342"/>
      <c r="X40" s="239">
        <f t="shared" si="2"/>
        <v>3.5000000000000001E-3</v>
      </c>
    </row>
    <row r="41" spans="1:31" ht="15.75">
      <c r="A41" s="339">
        <v>56</v>
      </c>
      <c r="B41" s="211" t="s">
        <v>606</v>
      </c>
      <c r="C41" s="352">
        <v>44071</v>
      </c>
      <c r="D41" s="295" t="s">
        <v>24</v>
      </c>
      <c r="E41" s="527" t="s">
        <v>607</v>
      </c>
      <c r="F41" s="21" t="s">
        <v>612</v>
      </c>
      <c r="G41" s="21" t="s">
        <v>156</v>
      </c>
      <c r="H41" s="207">
        <v>9</v>
      </c>
      <c r="I41" s="177" t="s">
        <v>207</v>
      </c>
      <c r="J41" s="320">
        <v>2.5</v>
      </c>
      <c r="K41" s="189" t="s">
        <v>197</v>
      </c>
      <c r="L41" s="167">
        <f t="shared" si="4"/>
        <v>22.5</v>
      </c>
      <c r="M41" s="1053"/>
      <c r="N41" s="352">
        <v>44071</v>
      </c>
      <c r="O41" s="198" t="s">
        <v>219</v>
      </c>
      <c r="P41" s="53" t="s">
        <v>616</v>
      </c>
      <c r="Q41" s="21" t="s">
        <v>20</v>
      </c>
      <c r="R41" s="198" t="s">
        <v>4</v>
      </c>
      <c r="S41" s="342"/>
      <c r="T41" s="198" t="s">
        <v>178</v>
      </c>
      <c r="U41" s="1069"/>
      <c r="V41" s="342"/>
      <c r="X41" s="239">
        <f t="shared" si="2"/>
        <v>2.2499999999999999E-2</v>
      </c>
    </row>
    <row r="42" spans="1:31" ht="15.75">
      <c r="A42" s="339">
        <v>56</v>
      </c>
      <c r="B42" s="211" t="s">
        <v>606</v>
      </c>
      <c r="C42" s="352">
        <v>44071</v>
      </c>
      <c r="D42" s="295" t="s">
        <v>24</v>
      </c>
      <c r="E42" s="527" t="s">
        <v>607</v>
      </c>
      <c r="F42" s="21" t="s">
        <v>613</v>
      </c>
      <c r="G42" s="21" t="s">
        <v>156</v>
      </c>
      <c r="H42" s="207">
        <v>9</v>
      </c>
      <c r="I42" s="177" t="s">
        <v>207</v>
      </c>
      <c r="J42" s="320">
        <v>2.5</v>
      </c>
      <c r="K42" s="189" t="s">
        <v>197</v>
      </c>
      <c r="L42" s="167">
        <f t="shared" si="4"/>
        <v>22.5</v>
      </c>
      <c r="M42" s="1053"/>
      <c r="N42" s="352">
        <v>44071</v>
      </c>
      <c r="O42" s="198" t="s">
        <v>219</v>
      </c>
      <c r="P42" s="53" t="s">
        <v>616</v>
      </c>
      <c r="Q42" s="21" t="s">
        <v>20</v>
      </c>
      <c r="R42" s="198" t="s">
        <v>4</v>
      </c>
      <c r="S42" s="342"/>
      <c r="T42" s="198" t="s">
        <v>178</v>
      </c>
      <c r="U42" s="1069"/>
      <c r="V42" s="342"/>
      <c r="X42" s="239">
        <f t="shared" si="2"/>
        <v>2.2499999999999999E-2</v>
      </c>
    </row>
    <row r="43" spans="1:31" ht="15.75" customHeight="1">
      <c r="A43" s="339">
        <v>56</v>
      </c>
      <c r="B43" s="211" t="s">
        <v>606</v>
      </c>
      <c r="C43" s="352">
        <v>44071</v>
      </c>
      <c r="D43" s="295" t="s">
        <v>24</v>
      </c>
      <c r="E43" s="527" t="s">
        <v>607</v>
      </c>
      <c r="F43" s="21" t="s">
        <v>614</v>
      </c>
      <c r="G43" s="21" t="s">
        <v>156</v>
      </c>
      <c r="H43" s="207">
        <v>1</v>
      </c>
      <c r="I43" s="177" t="s">
        <v>207</v>
      </c>
      <c r="J43" s="320">
        <v>5</v>
      </c>
      <c r="K43" s="189" t="s">
        <v>197</v>
      </c>
      <c r="L43" s="167">
        <f t="shared" si="4"/>
        <v>5</v>
      </c>
      <c r="M43" s="1053"/>
      <c r="N43" s="352">
        <v>44071</v>
      </c>
      <c r="O43" s="198" t="s">
        <v>219</v>
      </c>
      <c r="P43" s="53" t="s">
        <v>616</v>
      </c>
      <c r="Q43" s="21" t="s">
        <v>20</v>
      </c>
      <c r="R43" s="198" t="s">
        <v>4</v>
      </c>
      <c r="S43" s="342"/>
      <c r="T43" s="198" t="s">
        <v>178</v>
      </c>
      <c r="U43" s="1069"/>
      <c r="V43" s="342"/>
      <c r="X43" s="239">
        <f t="shared" si="2"/>
        <v>5.0000000000000001E-3</v>
      </c>
    </row>
    <row r="44" spans="1:31" ht="15.75" customHeight="1">
      <c r="A44" s="340">
        <v>56</v>
      </c>
      <c r="B44" s="214" t="s">
        <v>606</v>
      </c>
      <c r="C44" s="353">
        <v>44071</v>
      </c>
      <c r="D44" s="309" t="s">
        <v>24</v>
      </c>
      <c r="E44" s="528" t="s">
        <v>607</v>
      </c>
      <c r="F44" s="22" t="s">
        <v>615</v>
      </c>
      <c r="G44" s="22" t="s">
        <v>156</v>
      </c>
      <c r="H44" s="209">
        <v>5</v>
      </c>
      <c r="I44" s="179" t="s">
        <v>207</v>
      </c>
      <c r="J44" s="321">
        <v>2</v>
      </c>
      <c r="K44" s="195" t="s">
        <v>197</v>
      </c>
      <c r="L44" s="170">
        <f t="shared" si="4"/>
        <v>10</v>
      </c>
      <c r="M44" s="1054"/>
      <c r="N44" s="353">
        <v>44071</v>
      </c>
      <c r="O44" s="201" t="s">
        <v>219</v>
      </c>
      <c r="P44" s="54" t="s">
        <v>616</v>
      </c>
      <c r="Q44" s="22" t="s">
        <v>20</v>
      </c>
      <c r="R44" s="201" t="s">
        <v>4</v>
      </c>
      <c r="S44" s="181"/>
      <c r="T44" s="201" t="s">
        <v>178</v>
      </c>
      <c r="U44" s="1070"/>
      <c r="V44" s="181"/>
      <c r="X44" s="239">
        <f t="shared" si="2"/>
        <v>0.01</v>
      </c>
    </row>
    <row r="45" spans="1:31" ht="15.75" customHeight="1">
      <c r="A45" s="339"/>
      <c r="B45" s="211"/>
      <c r="C45" s="352"/>
      <c r="D45" s="295"/>
      <c r="E45" s="527"/>
      <c r="F45" s="21"/>
      <c r="G45" s="21"/>
      <c r="H45" s="207"/>
      <c r="I45" s="177"/>
      <c r="J45" s="320"/>
      <c r="K45" s="189"/>
      <c r="L45" s="167"/>
      <c r="M45" s="174"/>
      <c r="N45" s="352"/>
      <c r="O45" s="198"/>
      <c r="P45" s="178"/>
      <c r="Q45" s="21"/>
      <c r="R45" s="198"/>
      <c r="S45" s="342"/>
      <c r="T45" s="198"/>
      <c r="U45" s="423"/>
      <c r="V45" s="342"/>
      <c r="X45" s="239">
        <f t="shared" si="2"/>
        <v>0</v>
      </c>
    </row>
    <row r="46" spans="1:31" ht="15.75" customHeight="1">
      <c r="A46" s="339"/>
      <c r="B46" s="211"/>
      <c r="C46" s="352"/>
      <c r="D46" s="295"/>
      <c r="E46" s="527"/>
      <c r="F46" s="21"/>
      <c r="G46" s="21"/>
      <c r="H46" s="207"/>
      <c r="I46" s="177"/>
      <c r="J46" s="320"/>
      <c r="K46" s="189"/>
      <c r="L46" s="167"/>
      <c r="M46" s="174"/>
      <c r="N46" s="352"/>
      <c r="O46" s="198"/>
      <c r="P46" s="178"/>
      <c r="Q46" s="21"/>
      <c r="R46" s="198"/>
      <c r="S46" s="342"/>
      <c r="T46" s="198"/>
      <c r="U46" s="423"/>
      <c r="V46" s="342"/>
      <c r="X46" s="239">
        <f t="shared" si="2"/>
        <v>0</v>
      </c>
    </row>
    <row r="47" spans="1:31" ht="15.75" customHeight="1">
      <c r="A47" s="339"/>
      <c r="B47" s="211"/>
      <c r="C47" s="352"/>
      <c r="D47" s="295"/>
      <c r="E47" s="527"/>
      <c r="F47" s="21"/>
      <c r="G47" s="21"/>
      <c r="H47" s="207"/>
      <c r="I47" s="177"/>
      <c r="J47" s="320"/>
      <c r="K47" s="189"/>
      <c r="L47" s="167"/>
      <c r="M47" s="174"/>
      <c r="N47" s="352"/>
      <c r="O47" s="198"/>
      <c r="P47" s="178"/>
      <c r="Q47" s="21"/>
      <c r="R47" s="198"/>
      <c r="S47" s="342"/>
      <c r="T47" s="198"/>
      <c r="U47" s="423"/>
      <c r="V47" s="342"/>
      <c r="X47" s="239">
        <f t="shared" si="2"/>
        <v>0</v>
      </c>
    </row>
    <row r="48" spans="1:31" ht="15.75" customHeight="1">
      <c r="A48" s="339"/>
      <c r="B48" s="211"/>
      <c r="C48" s="352"/>
      <c r="D48" s="295"/>
      <c r="E48" s="527"/>
      <c r="F48" s="21"/>
      <c r="G48" s="21"/>
      <c r="H48" s="207"/>
      <c r="I48" s="177"/>
      <c r="J48" s="320"/>
      <c r="K48" s="189"/>
      <c r="L48" s="167"/>
      <c r="M48" s="174"/>
      <c r="N48" s="352"/>
      <c r="O48" s="198"/>
      <c r="P48" s="178"/>
      <c r="Q48" s="21"/>
      <c r="R48" s="198"/>
      <c r="S48" s="342"/>
      <c r="T48" s="198"/>
      <c r="U48" s="423"/>
      <c r="V48" s="342"/>
      <c r="X48" s="239">
        <f t="shared" si="2"/>
        <v>0</v>
      </c>
    </row>
    <row r="49" spans="1:24" ht="15.75" customHeight="1">
      <c r="A49" s="339"/>
      <c r="B49" s="211"/>
      <c r="C49" s="352"/>
      <c r="D49" s="295"/>
      <c r="E49" s="527"/>
      <c r="F49" s="21"/>
      <c r="G49" s="21"/>
      <c r="H49" s="207"/>
      <c r="I49" s="177"/>
      <c r="J49" s="320"/>
      <c r="K49" s="189"/>
      <c r="L49" s="167"/>
      <c r="M49" s="174"/>
      <c r="N49" s="352"/>
      <c r="O49" s="198"/>
      <c r="P49" s="178"/>
      <c r="Q49" s="21"/>
      <c r="R49" s="198"/>
      <c r="S49" s="342"/>
      <c r="T49" s="198"/>
      <c r="U49" s="423"/>
      <c r="V49" s="342"/>
      <c r="X49" s="239">
        <f t="shared" si="2"/>
        <v>0</v>
      </c>
    </row>
    <row r="50" spans="1:24" ht="15.75" customHeight="1">
      <c r="A50" s="339"/>
      <c r="B50" s="211"/>
      <c r="C50" s="352"/>
      <c r="D50" s="295"/>
      <c r="E50" s="527"/>
      <c r="F50" s="21"/>
      <c r="G50" s="21"/>
      <c r="H50" s="207"/>
      <c r="I50" s="177"/>
      <c r="J50" s="320"/>
      <c r="K50" s="189"/>
      <c r="L50" s="167"/>
      <c r="M50" s="174"/>
      <c r="N50" s="352"/>
      <c r="O50" s="198"/>
      <c r="P50" s="178"/>
      <c r="Q50" s="21"/>
      <c r="R50" s="198"/>
      <c r="S50" s="342"/>
      <c r="T50" s="198"/>
      <c r="U50" s="423"/>
      <c r="V50" s="342"/>
      <c r="X50" s="239">
        <f t="shared" si="2"/>
        <v>0</v>
      </c>
    </row>
    <row r="51" spans="1:24" ht="15.75">
      <c r="A51" s="339"/>
      <c r="B51" s="211"/>
      <c r="C51" s="352"/>
      <c r="D51" s="295"/>
      <c r="E51" s="527"/>
      <c r="F51" s="21"/>
      <c r="G51" s="21"/>
      <c r="H51" s="207"/>
      <c r="I51" s="177"/>
      <c r="J51" s="320"/>
      <c r="K51" s="189"/>
      <c r="L51" s="167"/>
      <c r="M51" s="174"/>
      <c r="N51" s="352"/>
      <c r="O51" s="198"/>
      <c r="P51" s="178"/>
      <c r="Q51" s="21"/>
      <c r="R51" s="198"/>
      <c r="S51" s="342"/>
      <c r="T51" s="198"/>
      <c r="U51" s="423"/>
      <c r="V51" s="342"/>
      <c r="X51" s="239">
        <f t="shared" si="2"/>
        <v>0</v>
      </c>
    </row>
    <row r="52" spans="1:24" ht="15.75">
      <c r="A52" s="339"/>
      <c r="B52" s="211"/>
      <c r="C52" s="352"/>
      <c r="D52" s="295"/>
      <c r="E52" s="527"/>
      <c r="F52" s="21"/>
      <c r="G52" s="21"/>
      <c r="H52" s="207"/>
      <c r="I52" s="177"/>
      <c r="J52" s="320"/>
      <c r="K52" s="189"/>
      <c r="L52" s="167"/>
      <c r="M52" s="174"/>
      <c r="N52" s="352"/>
      <c r="O52" s="198"/>
      <c r="P52" s="178"/>
      <c r="Q52" s="21"/>
      <c r="R52" s="198"/>
      <c r="S52" s="342"/>
      <c r="T52" s="198"/>
      <c r="U52" s="423"/>
      <c r="V52" s="342"/>
      <c r="X52" s="239">
        <f t="shared" si="2"/>
        <v>0</v>
      </c>
    </row>
    <row r="53" spans="1:24" ht="15.75">
      <c r="A53" s="339"/>
      <c r="B53" s="211"/>
      <c r="C53" s="352"/>
      <c r="D53" s="295"/>
      <c r="E53" s="527"/>
      <c r="F53" s="21"/>
      <c r="G53" s="21"/>
      <c r="H53" s="207"/>
      <c r="I53" s="177"/>
      <c r="J53" s="320"/>
      <c r="K53" s="189"/>
      <c r="L53" s="167"/>
      <c r="M53" s="174"/>
      <c r="N53" s="352"/>
      <c r="O53" s="198"/>
      <c r="P53" s="178"/>
      <c r="Q53" s="21"/>
      <c r="R53" s="198"/>
      <c r="S53" s="342"/>
      <c r="T53" s="198"/>
      <c r="U53" s="423"/>
      <c r="V53" s="342"/>
      <c r="X53" s="239">
        <f t="shared" si="2"/>
        <v>0</v>
      </c>
    </row>
    <row r="54" spans="1:24" ht="15.75">
      <c r="A54" s="339"/>
      <c r="B54" s="211"/>
      <c r="C54" s="352"/>
      <c r="D54" s="295"/>
      <c r="E54" s="527"/>
      <c r="F54" s="21"/>
      <c r="G54" s="21"/>
      <c r="H54" s="207"/>
      <c r="I54" s="177"/>
      <c r="J54" s="320"/>
      <c r="K54" s="189"/>
      <c r="L54" s="167"/>
      <c r="M54" s="174"/>
      <c r="N54" s="352"/>
      <c r="O54" s="198"/>
      <c r="P54" s="178"/>
      <c r="Q54" s="21"/>
      <c r="R54" s="198"/>
      <c r="S54" s="342"/>
      <c r="T54" s="198"/>
      <c r="U54" s="423"/>
      <c r="V54" s="342"/>
      <c r="X54" s="239">
        <f t="shared" si="2"/>
        <v>0</v>
      </c>
    </row>
    <row r="55" spans="1:24" ht="15.75" customHeight="1">
      <c r="A55" s="339"/>
      <c r="B55" s="211"/>
      <c r="C55" s="352"/>
      <c r="D55" s="295"/>
      <c r="E55" s="527"/>
      <c r="F55" s="21"/>
      <c r="G55" s="21"/>
      <c r="H55" s="207"/>
      <c r="I55" s="177"/>
      <c r="J55" s="320"/>
      <c r="K55" s="189"/>
      <c r="L55" s="167"/>
      <c r="M55" s="174"/>
      <c r="N55" s="352"/>
      <c r="O55" s="198"/>
      <c r="P55" s="178"/>
      <c r="Q55" s="21"/>
      <c r="R55" s="198"/>
      <c r="S55" s="342"/>
      <c r="T55" s="198"/>
      <c r="U55" s="423"/>
      <c r="V55" s="342"/>
      <c r="X55" s="239">
        <f t="shared" si="2"/>
        <v>0</v>
      </c>
    </row>
    <row r="56" spans="1:24" ht="15.75" customHeight="1">
      <c r="A56" s="339"/>
      <c r="B56" s="211"/>
      <c r="C56" s="352"/>
      <c r="D56" s="295"/>
      <c r="E56" s="527"/>
      <c r="F56" s="21"/>
      <c r="G56" s="21"/>
      <c r="H56" s="207"/>
      <c r="I56" s="177"/>
      <c r="J56" s="320"/>
      <c r="K56" s="189"/>
      <c r="L56" s="167"/>
      <c r="M56" s="174"/>
      <c r="N56" s="352"/>
      <c r="O56" s="198"/>
      <c r="P56" s="178"/>
      <c r="Q56" s="21"/>
      <c r="R56" s="198"/>
      <c r="S56" s="342"/>
      <c r="T56" s="198"/>
      <c r="U56" s="423"/>
      <c r="V56" s="342"/>
      <c r="X56" s="239">
        <f t="shared" si="2"/>
        <v>0</v>
      </c>
    </row>
    <row r="57" spans="1:24" ht="15.75" customHeight="1">
      <c r="A57" s="339"/>
      <c r="B57" s="211"/>
      <c r="C57" s="352"/>
      <c r="D57" s="295"/>
      <c r="E57" s="527"/>
      <c r="F57" s="21"/>
      <c r="G57" s="21"/>
      <c r="H57" s="207"/>
      <c r="I57" s="177"/>
      <c r="J57" s="320"/>
      <c r="K57" s="189"/>
      <c r="L57" s="167"/>
      <c r="M57" s="174"/>
      <c r="N57" s="352"/>
      <c r="O57" s="198"/>
      <c r="P57" s="178"/>
      <c r="Q57" s="21"/>
      <c r="R57" s="198"/>
      <c r="S57" s="342"/>
      <c r="T57" s="198"/>
      <c r="U57" s="423"/>
      <c r="V57" s="342"/>
      <c r="X57" s="239">
        <f t="shared" si="2"/>
        <v>0</v>
      </c>
    </row>
    <row r="58" spans="1:24" ht="15.75" customHeight="1">
      <c r="A58" s="339"/>
      <c r="B58" s="211"/>
      <c r="C58" s="352"/>
      <c r="D58" s="295"/>
      <c r="E58" s="527"/>
      <c r="F58" s="21"/>
      <c r="G58" s="21"/>
      <c r="H58" s="207"/>
      <c r="I58" s="177"/>
      <c r="J58" s="320"/>
      <c r="K58" s="189"/>
      <c r="L58" s="167"/>
      <c r="M58" s="174"/>
      <c r="N58" s="352"/>
      <c r="O58" s="198"/>
      <c r="P58" s="178"/>
      <c r="Q58" s="21"/>
      <c r="R58" s="198"/>
      <c r="S58" s="342"/>
      <c r="T58" s="198"/>
      <c r="U58" s="423"/>
      <c r="V58" s="342"/>
      <c r="X58" s="239">
        <f t="shared" si="2"/>
        <v>0</v>
      </c>
    </row>
    <row r="59" spans="1:24" ht="15.75" customHeight="1">
      <c r="A59" s="339"/>
      <c r="B59" s="211"/>
      <c r="C59" s="352"/>
      <c r="D59" s="295"/>
      <c r="E59" s="527"/>
      <c r="F59" s="21"/>
      <c r="G59" s="21"/>
      <c r="H59" s="207"/>
      <c r="I59" s="177"/>
      <c r="J59" s="320"/>
      <c r="K59" s="189"/>
      <c r="L59" s="167"/>
      <c r="M59" s="174"/>
      <c r="N59" s="352"/>
      <c r="O59" s="198"/>
      <c r="P59" s="178"/>
      <c r="Q59" s="21"/>
      <c r="R59" s="198"/>
      <c r="S59" s="342"/>
      <c r="T59" s="198"/>
      <c r="U59" s="423"/>
      <c r="V59" s="342"/>
      <c r="X59" s="239">
        <f t="shared" si="2"/>
        <v>0</v>
      </c>
    </row>
    <row r="60" spans="1:24" ht="15.75" customHeight="1">
      <c r="A60" s="339"/>
      <c r="B60" s="211"/>
      <c r="C60" s="352"/>
      <c r="D60" s="295"/>
      <c r="E60" s="527"/>
      <c r="F60" s="21"/>
      <c r="G60" s="21"/>
      <c r="H60" s="207"/>
      <c r="I60" s="177"/>
      <c r="J60" s="320"/>
      <c r="K60" s="189"/>
      <c r="L60" s="167"/>
      <c r="M60" s="174"/>
      <c r="N60" s="352"/>
      <c r="O60" s="198"/>
      <c r="P60" s="178"/>
      <c r="Q60" s="21"/>
      <c r="R60" s="198"/>
      <c r="S60" s="342"/>
      <c r="T60" s="198"/>
      <c r="U60" s="423"/>
      <c r="V60" s="342"/>
      <c r="X60" s="239">
        <f t="shared" si="2"/>
        <v>0</v>
      </c>
    </row>
    <row r="61" spans="1:24" ht="15.75" customHeight="1">
      <c r="A61" s="339"/>
      <c r="B61" s="211"/>
      <c r="C61" s="352"/>
      <c r="D61" s="295"/>
      <c r="E61" s="527"/>
      <c r="F61" s="21"/>
      <c r="G61" s="21"/>
      <c r="H61" s="207"/>
      <c r="I61" s="177"/>
      <c r="J61" s="320"/>
      <c r="K61" s="189"/>
      <c r="L61" s="167"/>
      <c r="M61" s="174"/>
      <c r="N61" s="352"/>
      <c r="O61" s="198"/>
      <c r="P61" s="178"/>
      <c r="Q61" s="21"/>
      <c r="R61" s="198"/>
      <c r="S61" s="342"/>
      <c r="T61" s="198"/>
      <c r="U61" s="423"/>
      <c r="V61" s="342"/>
      <c r="X61" s="239">
        <f t="shared" si="2"/>
        <v>0</v>
      </c>
    </row>
    <row r="62" spans="1:24" s="256" customFormat="1" ht="15.75" customHeight="1">
      <c r="A62" s="339"/>
      <c r="B62" s="211"/>
      <c r="C62" s="352"/>
      <c r="D62" s="295"/>
      <c r="E62" s="527"/>
      <c r="F62" s="21"/>
      <c r="G62" s="21"/>
      <c r="H62" s="207"/>
      <c r="I62" s="177"/>
      <c r="J62" s="320"/>
      <c r="K62" s="189"/>
      <c r="L62" s="167"/>
      <c r="M62" s="174"/>
      <c r="N62" s="352"/>
      <c r="O62" s="198"/>
      <c r="P62" s="178"/>
      <c r="Q62" s="21"/>
      <c r="R62" s="198"/>
      <c r="S62" s="342"/>
      <c r="T62" s="198"/>
      <c r="U62" s="423"/>
      <c r="V62" s="342"/>
      <c r="X62" s="239">
        <f t="shared" si="2"/>
        <v>0</v>
      </c>
    </row>
    <row r="63" spans="1:24" ht="15.75" customHeight="1">
      <c r="A63" s="339"/>
      <c r="B63" s="211"/>
      <c r="C63" s="352"/>
      <c r="D63" s="295"/>
      <c r="E63" s="527"/>
      <c r="F63" s="21"/>
      <c r="G63" s="21"/>
      <c r="H63" s="207"/>
      <c r="I63" s="177"/>
      <c r="J63" s="320"/>
      <c r="K63" s="189"/>
      <c r="L63" s="167"/>
      <c r="M63" s="174"/>
      <c r="N63" s="352"/>
      <c r="O63" s="198"/>
      <c r="P63" s="178"/>
      <c r="Q63" s="21"/>
      <c r="R63" s="198"/>
      <c r="S63" s="342"/>
      <c r="T63" s="198"/>
      <c r="U63" s="423"/>
      <c r="V63" s="342"/>
      <c r="X63" s="239">
        <f t="shared" si="2"/>
        <v>0</v>
      </c>
    </row>
    <row r="64" spans="1:24" ht="15.75" customHeight="1">
      <c r="A64" s="339"/>
      <c r="B64" s="211"/>
      <c r="C64" s="352"/>
      <c r="D64" s="295"/>
      <c r="E64" s="527"/>
      <c r="F64" s="21"/>
      <c r="G64" s="21"/>
      <c r="H64" s="207"/>
      <c r="I64" s="177"/>
      <c r="J64" s="320"/>
      <c r="K64" s="189"/>
      <c r="L64" s="167"/>
      <c r="M64" s="174"/>
      <c r="N64" s="352"/>
      <c r="O64" s="198"/>
      <c r="P64" s="178"/>
      <c r="Q64" s="21"/>
      <c r="R64" s="198"/>
      <c r="S64" s="342"/>
      <c r="T64" s="198"/>
      <c r="U64" s="423"/>
      <c r="V64" s="342"/>
      <c r="X64" s="239">
        <f t="shared" si="2"/>
        <v>0</v>
      </c>
    </row>
    <row r="65" spans="1:24" ht="15.75">
      <c r="A65" s="339"/>
      <c r="B65" s="211"/>
      <c r="C65" s="352"/>
      <c r="D65" s="295"/>
      <c r="E65" s="527"/>
      <c r="F65" s="21"/>
      <c r="G65" s="21"/>
      <c r="H65" s="207"/>
      <c r="I65" s="177"/>
      <c r="J65" s="320"/>
      <c r="K65" s="189"/>
      <c r="L65" s="167"/>
      <c r="M65" s="174"/>
      <c r="N65" s="352"/>
      <c r="O65" s="198"/>
      <c r="P65" s="178"/>
      <c r="Q65" s="21"/>
      <c r="R65" s="198"/>
      <c r="S65" s="342"/>
      <c r="T65" s="198"/>
      <c r="U65" s="423"/>
      <c r="V65" s="342"/>
      <c r="X65" s="239">
        <f t="shared" si="2"/>
        <v>0</v>
      </c>
    </row>
    <row r="66" spans="1:24" ht="15.75">
      <c r="A66" s="339"/>
      <c r="B66" s="211"/>
      <c r="C66" s="352"/>
      <c r="D66" s="295"/>
      <c r="E66" s="527"/>
      <c r="F66" s="21"/>
      <c r="G66" s="21"/>
      <c r="H66" s="207"/>
      <c r="I66" s="177"/>
      <c r="J66" s="320"/>
      <c r="K66" s="189"/>
      <c r="L66" s="167"/>
      <c r="M66" s="174"/>
      <c r="N66" s="352"/>
      <c r="O66" s="198"/>
      <c r="P66" s="178"/>
      <c r="Q66" s="21"/>
      <c r="R66" s="198"/>
      <c r="S66" s="342"/>
      <c r="T66" s="198"/>
      <c r="U66" s="423"/>
      <c r="V66" s="342"/>
      <c r="X66" s="239">
        <f t="shared" si="2"/>
        <v>0</v>
      </c>
    </row>
    <row r="67" spans="1:24" ht="15.75">
      <c r="A67" s="339"/>
      <c r="B67" s="211"/>
      <c r="C67" s="352"/>
      <c r="D67" s="295"/>
      <c r="E67" s="527"/>
      <c r="F67" s="21"/>
      <c r="G67" s="21"/>
      <c r="H67" s="207"/>
      <c r="I67" s="177"/>
      <c r="J67" s="320"/>
      <c r="K67" s="189"/>
      <c r="L67" s="167"/>
      <c r="M67" s="174"/>
      <c r="N67" s="352"/>
      <c r="O67" s="198"/>
      <c r="P67" s="178"/>
      <c r="Q67" s="21"/>
      <c r="R67" s="198"/>
      <c r="S67" s="342"/>
      <c r="T67" s="198"/>
      <c r="U67" s="423"/>
      <c r="V67" s="342"/>
      <c r="X67" s="239">
        <f t="shared" si="2"/>
        <v>0</v>
      </c>
    </row>
    <row r="68" spans="1:24" ht="15.75">
      <c r="A68" s="339"/>
      <c r="B68" s="211"/>
      <c r="C68" s="352"/>
      <c r="D68" s="295"/>
      <c r="E68" s="527"/>
      <c r="F68" s="21"/>
      <c r="G68" s="21"/>
      <c r="H68" s="207"/>
      <c r="I68" s="177"/>
      <c r="J68" s="320"/>
      <c r="K68" s="189"/>
      <c r="L68" s="167"/>
      <c r="M68" s="174"/>
      <c r="N68" s="352"/>
      <c r="O68" s="198"/>
      <c r="P68" s="178"/>
      <c r="Q68" s="21"/>
      <c r="R68" s="198"/>
      <c r="S68" s="342"/>
      <c r="T68" s="198"/>
      <c r="U68" s="423"/>
      <c r="V68" s="342"/>
      <c r="X68" s="239">
        <f t="shared" si="2"/>
        <v>0</v>
      </c>
    </row>
    <row r="69" spans="1:24" ht="15.75">
      <c r="A69" s="339"/>
      <c r="B69" s="211"/>
      <c r="C69" s="352"/>
      <c r="D69" s="295"/>
      <c r="E69" s="527"/>
      <c r="F69" s="21"/>
      <c r="G69" s="21"/>
      <c r="H69" s="207"/>
      <c r="I69" s="177"/>
      <c r="J69" s="320"/>
      <c r="K69" s="189"/>
      <c r="L69" s="167"/>
      <c r="M69" s="174"/>
      <c r="N69" s="352"/>
      <c r="O69" s="198"/>
      <c r="P69" s="178"/>
      <c r="Q69" s="21"/>
      <c r="R69" s="198"/>
      <c r="S69" s="342"/>
      <c r="T69" s="198"/>
      <c r="U69" s="423"/>
      <c r="V69" s="342"/>
      <c r="X69" s="239">
        <f t="shared" si="2"/>
        <v>0</v>
      </c>
    </row>
    <row r="70" spans="1:24" ht="15.75">
      <c r="A70" s="339"/>
      <c r="B70" s="211"/>
      <c r="C70" s="352"/>
      <c r="D70" s="295"/>
      <c r="E70" s="527"/>
      <c r="F70" s="21"/>
      <c r="G70" s="21"/>
      <c r="H70" s="207"/>
      <c r="I70" s="177"/>
      <c r="J70" s="320"/>
      <c r="K70" s="189"/>
      <c r="L70" s="167"/>
      <c r="M70" s="174"/>
      <c r="N70" s="352"/>
      <c r="O70" s="198"/>
      <c r="P70" s="178"/>
      <c r="Q70" s="21"/>
      <c r="R70" s="198"/>
      <c r="S70" s="342"/>
      <c r="T70" s="198"/>
      <c r="U70" s="423"/>
      <c r="V70" s="342"/>
      <c r="X70" s="239">
        <f t="shared" si="2"/>
        <v>0</v>
      </c>
    </row>
    <row r="71" spans="1:24" ht="15.75">
      <c r="A71" s="339"/>
      <c r="B71" s="211"/>
      <c r="C71" s="352"/>
      <c r="D71" s="295"/>
      <c r="E71" s="527"/>
      <c r="F71" s="21"/>
      <c r="G71" s="21"/>
      <c r="H71" s="207"/>
      <c r="I71" s="177"/>
      <c r="J71" s="320"/>
      <c r="K71" s="189"/>
      <c r="L71" s="167"/>
      <c r="M71" s="174"/>
      <c r="N71" s="352"/>
      <c r="O71" s="198"/>
      <c r="P71" s="178"/>
      <c r="Q71" s="21"/>
      <c r="R71" s="198"/>
      <c r="S71" s="342"/>
      <c r="T71" s="198"/>
      <c r="U71" s="423"/>
      <c r="V71" s="342"/>
      <c r="X71" s="239">
        <f t="shared" si="2"/>
        <v>0</v>
      </c>
    </row>
    <row r="72" spans="1:24" ht="15.75">
      <c r="A72" s="339"/>
      <c r="B72" s="211"/>
      <c r="C72" s="352"/>
      <c r="D72" s="295"/>
      <c r="E72" s="527"/>
      <c r="F72" s="21"/>
      <c r="G72" s="21"/>
      <c r="H72" s="207"/>
      <c r="I72" s="177"/>
      <c r="J72" s="320"/>
      <c r="K72" s="189"/>
      <c r="L72" s="167"/>
      <c r="M72" s="174"/>
      <c r="N72" s="352"/>
      <c r="O72" s="198"/>
      <c r="P72" s="178"/>
      <c r="Q72" s="21"/>
      <c r="R72" s="198"/>
      <c r="S72" s="342"/>
      <c r="T72" s="198"/>
      <c r="U72" s="423"/>
      <c r="V72" s="342"/>
      <c r="X72" s="239">
        <f t="shared" si="2"/>
        <v>0</v>
      </c>
    </row>
    <row r="73" spans="1:24" ht="15.75">
      <c r="A73" s="339"/>
      <c r="B73" s="211"/>
      <c r="C73" s="352"/>
      <c r="D73" s="295"/>
      <c r="E73" s="527"/>
      <c r="F73" s="21"/>
      <c r="G73" s="21"/>
      <c r="H73" s="207"/>
      <c r="I73" s="177"/>
      <c r="J73" s="320"/>
      <c r="K73" s="189"/>
      <c r="L73" s="167"/>
      <c r="M73" s="174"/>
      <c r="N73" s="352"/>
      <c r="O73" s="198"/>
      <c r="P73" s="178"/>
      <c r="Q73" s="21"/>
      <c r="R73" s="198"/>
      <c r="S73" s="342"/>
      <c r="T73" s="198"/>
      <c r="U73" s="423"/>
      <c r="V73" s="342"/>
      <c r="X73" s="239">
        <f t="shared" si="2"/>
        <v>0</v>
      </c>
    </row>
    <row r="74" spans="1:24" ht="15.75">
      <c r="A74" s="339"/>
      <c r="B74" s="211"/>
      <c r="C74" s="352"/>
      <c r="D74" s="295"/>
      <c r="E74" s="527"/>
      <c r="F74" s="21"/>
      <c r="G74" s="21"/>
      <c r="H74" s="207"/>
      <c r="I74" s="177"/>
      <c r="J74" s="320"/>
      <c r="K74" s="189"/>
      <c r="L74" s="167"/>
      <c r="M74" s="174"/>
      <c r="N74" s="352"/>
      <c r="O74" s="198"/>
      <c r="P74" s="178"/>
      <c r="Q74" s="21"/>
      <c r="R74" s="198"/>
      <c r="S74" s="342"/>
      <c r="T74" s="198"/>
      <c r="U74" s="423"/>
      <c r="V74" s="342"/>
      <c r="X74" s="239">
        <f t="shared" si="2"/>
        <v>0</v>
      </c>
    </row>
    <row r="75" spans="1:24" ht="15.75">
      <c r="A75" s="339"/>
      <c r="B75" s="211"/>
      <c r="C75" s="352"/>
      <c r="D75" s="295"/>
      <c r="E75" s="527"/>
      <c r="F75" s="21"/>
      <c r="G75" s="21"/>
      <c r="H75" s="207"/>
      <c r="I75" s="177"/>
      <c r="J75" s="320"/>
      <c r="K75" s="189"/>
      <c r="L75" s="167"/>
      <c r="M75" s="174"/>
      <c r="N75" s="352"/>
      <c r="O75" s="198"/>
      <c r="P75" s="178"/>
      <c r="Q75" s="21"/>
      <c r="R75" s="198"/>
      <c r="S75" s="342"/>
      <c r="T75" s="198"/>
      <c r="U75" s="423"/>
      <c r="V75" s="342"/>
      <c r="X75" s="239">
        <f t="shared" si="2"/>
        <v>0</v>
      </c>
    </row>
    <row r="76" spans="1:24" ht="15.75">
      <c r="A76" s="339"/>
      <c r="B76" s="211"/>
      <c r="C76" s="352"/>
      <c r="D76" s="295"/>
      <c r="E76" s="527"/>
      <c r="F76" s="21"/>
      <c r="G76" s="21"/>
      <c r="H76" s="207"/>
      <c r="I76" s="177"/>
      <c r="J76" s="320"/>
      <c r="K76" s="189"/>
      <c r="L76" s="167"/>
      <c r="M76" s="174"/>
      <c r="N76" s="352"/>
      <c r="O76" s="198"/>
      <c r="P76" s="178"/>
      <c r="Q76" s="21"/>
      <c r="R76" s="198"/>
      <c r="S76" s="342"/>
      <c r="T76" s="198"/>
      <c r="U76" s="423"/>
      <c r="V76" s="342"/>
      <c r="X76" s="239">
        <f t="shared" si="2"/>
        <v>0</v>
      </c>
    </row>
    <row r="77" spans="1:24" ht="15.75">
      <c r="A77" s="339"/>
      <c r="B77" s="211"/>
      <c r="C77" s="352"/>
      <c r="D77" s="295"/>
      <c r="E77" s="527"/>
      <c r="F77" s="21"/>
      <c r="G77" s="21"/>
      <c r="H77" s="207"/>
      <c r="I77" s="177"/>
      <c r="J77" s="320"/>
      <c r="K77" s="189"/>
      <c r="L77" s="167"/>
      <c r="M77" s="174"/>
      <c r="N77" s="352"/>
      <c r="O77" s="198"/>
      <c r="P77" s="178"/>
      <c r="Q77" s="21"/>
      <c r="R77" s="198"/>
      <c r="S77" s="342"/>
      <c r="T77" s="198"/>
      <c r="U77" s="423"/>
      <c r="V77" s="342"/>
      <c r="X77" s="239">
        <f t="shared" si="2"/>
        <v>0</v>
      </c>
    </row>
    <row r="78" spans="1:24" ht="15.75">
      <c r="A78" s="339"/>
      <c r="B78" s="211"/>
      <c r="C78" s="352"/>
      <c r="D78" s="295"/>
      <c r="E78" s="527"/>
      <c r="F78" s="21"/>
      <c r="G78" s="21"/>
      <c r="H78" s="207"/>
      <c r="I78" s="177"/>
      <c r="J78" s="320"/>
      <c r="K78" s="189"/>
      <c r="L78" s="167"/>
      <c r="M78" s="174"/>
      <c r="N78" s="352"/>
      <c r="O78" s="198"/>
      <c r="P78" s="178"/>
      <c r="Q78" s="21"/>
      <c r="R78" s="198"/>
      <c r="S78" s="342"/>
      <c r="T78" s="198"/>
      <c r="U78" s="423"/>
      <c r="V78" s="342"/>
      <c r="X78" s="239">
        <f t="shared" ref="X78:X141" si="5">L78/1000</f>
        <v>0</v>
      </c>
    </row>
    <row r="79" spans="1:24" ht="15.75">
      <c r="A79" s="339"/>
      <c r="B79" s="211"/>
      <c r="C79" s="352"/>
      <c r="D79" s="295"/>
      <c r="E79" s="527"/>
      <c r="F79" s="21"/>
      <c r="G79" s="21"/>
      <c r="H79" s="207"/>
      <c r="I79" s="177"/>
      <c r="J79" s="320"/>
      <c r="K79" s="189"/>
      <c r="L79" s="167"/>
      <c r="M79" s="174"/>
      <c r="N79" s="352"/>
      <c r="O79" s="198"/>
      <c r="P79" s="178"/>
      <c r="Q79" s="21"/>
      <c r="R79" s="198"/>
      <c r="S79" s="342"/>
      <c r="T79" s="198"/>
      <c r="U79" s="423"/>
      <c r="V79" s="342"/>
      <c r="X79" s="239">
        <f t="shared" si="5"/>
        <v>0</v>
      </c>
    </row>
    <row r="80" spans="1:24" ht="15.75">
      <c r="A80" s="339"/>
      <c r="B80" s="211"/>
      <c r="C80" s="352"/>
      <c r="D80" s="295"/>
      <c r="E80" s="527"/>
      <c r="F80" s="21"/>
      <c r="G80" s="21"/>
      <c r="H80" s="207"/>
      <c r="I80" s="177"/>
      <c r="J80" s="320"/>
      <c r="K80" s="189"/>
      <c r="L80" s="167"/>
      <c r="M80" s="174"/>
      <c r="N80" s="352"/>
      <c r="O80" s="198"/>
      <c r="P80" s="178"/>
      <c r="Q80" s="21"/>
      <c r="R80" s="198"/>
      <c r="S80" s="342"/>
      <c r="T80" s="198"/>
      <c r="U80" s="423"/>
      <c r="V80" s="342"/>
      <c r="X80" s="239">
        <f t="shared" si="5"/>
        <v>0</v>
      </c>
    </row>
    <row r="81" spans="1:31" ht="15.75">
      <c r="A81" s="339"/>
      <c r="B81" s="211"/>
      <c r="C81" s="352"/>
      <c r="D81" s="295"/>
      <c r="E81" s="527"/>
      <c r="F81" s="21"/>
      <c r="G81" s="21"/>
      <c r="H81" s="207"/>
      <c r="I81" s="177"/>
      <c r="J81" s="320"/>
      <c r="K81" s="189"/>
      <c r="L81" s="167"/>
      <c r="M81" s="174"/>
      <c r="N81" s="352"/>
      <c r="O81" s="198"/>
      <c r="P81" s="178"/>
      <c r="Q81" s="21"/>
      <c r="R81" s="198"/>
      <c r="S81" s="342"/>
      <c r="T81" s="198"/>
      <c r="U81" s="423"/>
      <c r="V81" s="342"/>
      <c r="X81" s="239">
        <f t="shared" si="5"/>
        <v>0</v>
      </c>
    </row>
    <row r="82" spans="1:31" ht="15.75">
      <c r="A82" s="339"/>
      <c r="B82" s="211"/>
      <c r="C82" s="352"/>
      <c r="D82" s="295"/>
      <c r="E82" s="527"/>
      <c r="F82" s="21"/>
      <c r="G82" s="21"/>
      <c r="H82" s="207"/>
      <c r="I82" s="177"/>
      <c r="J82" s="320"/>
      <c r="K82" s="189"/>
      <c r="L82" s="167"/>
      <c r="M82" s="174"/>
      <c r="N82" s="352"/>
      <c r="O82" s="198"/>
      <c r="P82" s="178"/>
      <c r="Q82" s="21"/>
      <c r="R82" s="198"/>
      <c r="S82" s="342"/>
      <c r="T82" s="198"/>
      <c r="U82" s="423"/>
      <c r="V82" s="342"/>
      <c r="X82" s="239">
        <f t="shared" si="5"/>
        <v>0</v>
      </c>
    </row>
    <row r="83" spans="1:31" s="7" customFormat="1" ht="15.75">
      <c r="A83" s="339"/>
      <c r="B83" s="211"/>
      <c r="C83" s="352"/>
      <c r="D83" s="295"/>
      <c r="E83" s="527"/>
      <c r="F83" s="21"/>
      <c r="G83" s="21"/>
      <c r="H83" s="207"/>
      <c r="I83" s="177"/>
      <c r="J83" s="320"/>
      <c r="K83" s="189"/>
      <c r="L83" s="167"/>
      <c r="M83" s="174"/>
      <c r="N83" s="352"/>
      <c r="O83" s="198"/>
      <c r="P83" s="178"/>
      <c r="Q83" s="21"/>
      <c r="R83" s="198"/>
      <c r="S83" s="342"/>
      <c r="T83" s="198"/>
      <c r="U83" s="423"/>
      <c r="V83" s="342"/>
      <c r="W83"/>
      <c r="X83" s="239">
        <f t="shared" si="5"/>
        <v>0</v>
      </c>
      <c r="Y83"/>
      <c r="Z83"/>
      <c r="AA83"/>
      <c r="AB83"/>
      <c r="AC83"/>
      <c r="AD83"/>
      <c r="AE83"/>
    </row>
    <row r="84" spans="1:31" s="7" customFormat="1" ht="15.75">
      <c r="A84" s="339"/>
      <c r="B84" s="211"/>
      <c r="C84" s="352"/>
      <c r="D84" s="295"/>
      <c r="E84" s="527"/>
      <c r="F84" s="21"/>
      <c r="G84" s="21"/>
      <c r="H84" s="207"/>
      <c r="I84" s="177"/>
      <c r="J84" s="320"/>
      <c r="K84" s="189"/>
      <c r="L84" s="167"/>
      <c r="M84" s="174"/>
      <c r="N84" s="352"/>
      <c r="O84" s="198"/>
      <c r="P84" s="178"/>
      <c r="Q84" s="21"/>
      <c r="R84" s="198"/>
      <c r="S84" s="342"/>
      <c r="T84" s="198"/>
      <c r="U84" s="423"/>
      <c r="V84" s="342"/>
      <c r="W84"/>
      <c r="X84" s="239">
        <f t="shared" si="5"/>
        <v>0</v>
      </c>
      <c r="Y84"/>
      <c r="Z84"/>
      <c r="AA84"/>
      <c r="AB84"/>
      <c r="AC84"/>
      <c r="AD84"/>
      <c r="AE84"/>
    </row>
    <row r="85" spans="1:31" ht="15.75">
      <c r="A85" s="339"/>
      <c r="B85" s="211"/>
      <c r="C85" s="352"/>
      <c r="D85" s="295"/>
      <c r="E85" s="527"/>
      <c r="F85" s="21"/>
      <c r="G85" s="21"/>
      <c r="H85" s="207"/>
      <c r="I85" s="177"/>
      <c r="J85" s="320"/>
      <c r="K85" s="189"/>
      <c r="L85" s="167"/>
      <c r="M85" s="174"/>
      <c r="N85" s="352"/>
      <c r="O85" s="198"/>
      <c r="P85" s="178"/>
      <c r="Q85" s="21"/>
      <c r="R85" s="198"/>
      <c r="S85" s="342"/>
      <c r="T85" s="198"/>
      <c r="U85" s="423"/>
      <c r="V85" s="342"/>
      <c r="X85" s="239">
        <f t="shared" si="5"/>
        <v>0</v>
      </c>
    </row>
    <row r="86" spans="1:31" ht="15.75">
      <c r="A86" s="339"/>
      <c r="B86" s="211"/>
      <c r="C86" s="352"/>
      <c r="D86" s="295"/>
      <c r="E86" s="527"/>
      <c r="F86" s="21"/>
      <c r="G86" s="21"/>
      <c r="H86" s="207"/>
      <c r="I86" s="177"/>
      <c r="J86" s="320"/>
      <c r="K86" s="189"/>
      <c r="L86" s="167"/>
      <c r="M86" s="174"/>
      <c r="N86" s="352"/>
      <c r="O86" s="198"/>
      <c r="P86" s="178"/>
      <c r="Q86" s="21"/>
      <c r="R86" s="198"/>
      <c r="S86" s="342"/>
      <c r="T86" s="198"/>
      <c r="U86" s="423"/>
      <c r="V86" s="342"/>
      <c r="X86" s="239">
        <f t="shared" si="5"/>
        <v>0</v>
      </c>
    </row>
    <row r="87" spans="1:31" ht="15.75">
      <c r="A87" s="339"/>
      <c r="B87" s="211"/>
      <c r="C87" s="352"/>
      <c r="D87" s="295"/>
      <c r="E87" s="527"/>
      <c r="F87" s="21"/>
      <c r="G87" s="21"/>
      <c r="H87" s="207"/>
      <c r="I87" s="177"/>
      <c r="J87" s="320"/>
      <c r="K87" s="189"/>
      <c r="L87" s="167"/>
      <c r="M87" s="174"/>
      <c r="N87" s="352"/>
      <c r="O87" s="198"/>
      <c r="P87" s="178"/>
      <c r="Q87" s="21"/>
      <c r="R87" s="198"/>
      <c r="S87" s="342"/>
      <c r="T87" s="198"/>
      <c r="U87" s="423"/>
      <c r="V87" s="342"/>
      <c r="X87" s="239">
        <f t="shared" si="5"/>
        <v>0</v>
      </c>
    </row>
    <row r="88" spans="1:31" ht="15.75">
      <c r="A88" s="339"/>
      <c r="B88" s="211"/>
      <c r="C88" s="352"/>
      <c r="D88" s="295"/>
      <c r="E88" s="527"/>
      <c r="F88" s="21"/>
      <c r="G88" s="21"/>
      <c r="H88" s="207"/>
      <c r="I88" s="177"/>
      <c r="J88" s="320"/>
      <c r="K88" s="189"/>
      <c r="L88" s="167"/>
      <c r="M88" s="174"/>
      <c r="N88" s="352"/>
      <c r="O88" s="198"/>
      <c r="P88" s="178"/>
      <c r="Q88" s="21"/>
      <c r="R88" s="198"/>
      <c r="S88" s="342"/>
      <c r="T88" s="198"/>
      <c r="U88" s="423"/>
      <c r="V88" s="342"/>
      <c r="X88" s="239">
        <f t="shared" si="5"/>
        <v>0</v>
      </c>
    </row>
    <row r="89" spans="1:31" ht="15.75">
      <c r="A89" s="339"/>
      <c r="B89" s="211"/>
      <c r="C89" s="352"/>
      <c r="D89" s="295"/>
      <c r="E89" s="527"/>
      <c r="F89" s="21"/>
      <c r="G89" s="21"/>
      <c r="H89" s="207"/>
      <c r="I89" s="177"/>
      <c r="J89" s="320"/>
      <c r="K89" s="189"/>
      <c r="L89" s="167"/>
      <c r="M89" s="174"/>
      <c r="N89" s="352"/>
      <c r="O89" s="198"/>
      <c r="P89" s="178"/>
      <c r="Q89" s="21"/>
      <c r="R89" s="198"/>
      <c r="S89" s="342"/>
      <c r="T89" s="198"/>
      <c r="U89" s="423"/>
      <c r="V89" s="342"/>
      <c r="X89" s="239">
        <f t="shared" si="5"/>
        <v>0</v>
      </c>
    </row>
    <row r="90" spans="1:31" ht="15.75">
      <c r="A90" s="339"/>
      <c r="B90" s="211"/>
      <c r="C90" s="352"/>
      <c r="D90" s="295"/>
      <c r="E90" s="527"/>
      <c r="F90" s="21"/>
      <c r="G90" s="21"/>
      <c r="H90" s="207"/>
      <c r="I90" s="177"/>
      <c r="J90" s="320"/>
      <c r="K90" s="189"/>
      <c r="L90" s="167"/>
      <c r="M90" s="174"/>
      <c r="N90" s="352"/>
      <c r="O90" s="198"/>
      <c r="P90" s="178"/>
      <c r="Q90" s="21"/>
      <c r="R90" s="198"/>
      <c r="S90" s="342"/>
      <c r="T90" s="198"/>
      <c r="U90" s="423"/>
      <c r="V90" s="342"/>
      <c r="X90" s="239">
        <f t="shared" si="5"/>
        <v>0</v>
      </c>
    </row>
    <row r="91" spans="1:31" ht="15.75">
      <c r="A91" s="339"/>
      <c r="B91" s="211"/>
      <c r="C91" s="352"/>
      <c r="D91" s="295"/>
      <c r="E91" s="527"/>
      <c r="F91" s="21"/>
      <c r="G91" s="21"/>
      <c r="H91" s="207"/>
      <c r="I91" s="177"/>
      <c r="J91" s="320"/>
      <c r="K91" s="189"/>
      <c r="L91" s="167"/>
      <c r="M91" s="174"/>
      <c r="N91" s="352"/>
      <c r="O91" s="198"/>
      <c r="P91" s="178"/>
      <c r="Q91" s="21"/>
      <c r="R91" s="198"/>
      <c r="S91" s="342"/>
      <c r="T91" s="198"/>
      <c r="U91" s="423"/>
      <c r="V91" s="342"/>
      <c r="X91" s="239">
        <f t="shared" si="5"/>
        <v>0</v>
      </c>
    </row>
    <row r="92" spans="1:31" ht="15.75">
      <c r="A92" s="339"/>
      <c r="B92" s="211"/>
      <c r="C92" s="352"/>
      <c r="D92" s="295"/>
      <c r="E92" s="527"/>
      <c r="F92" s="21"/>
      <c r="G92" s="21"/>
      <c r="H92" s="207"/>
      <c r="I92" s="177"/>
      <c r="J92" s="320"/>
      <c r="K92" s="189"/>
      <c r="L92" s="167"/>
      <c r="M92" s="174"/>
      <c r="N92" s="352"/>
      <c r="O92" s="198"/>
      <c r="P92" s="178"/>
      <c r="Q92" s="21"/>
      <c r="R92" s="198"/>
      <c r="S92" s="342"/>
      <c r="T92" s="198"/>
      <c r="U92" s="423"/>
      <c r="V92" s="342"/>
      <c r="X92" s="239">
        <f t="shared" si="5"/>
        <v>0</v>
      </c>
    </row>
    <row r="93" spans="1:31" ht="31.5" customHeight="1">
      <c r="A93" s="339"/>
      <c r="B93" s="211"/>
      <c r="C93" s="352"/>
      <c r="D93" s="295"/>
      <c r="E93" s="527"/>
      <c r="F93" s="21"/>
      <c r="G93" s="21"/>
      <c r="H93" s="207"/>
      <c r="I93" s="177"/>
      <c r="J93" s="320"/>
      <c r="K93" s="189"/>
      <c r="L93" s="167"/>
      <c r="M93" s="174"/>
      <c r="N93" s="352"/>
      <c r="O93" s="198"/>
      <c r="P93" s="178"/>
      <c r="Q93" s="21"/>
      <c r="R93" s="198"/>
      <c r="S93" s="342"/>
      <c r="T93" s="198"/>
      <c r="U93" s="423"/>
      <c r="V93" s="342"/>
      <c r="X93" s="239">
        <f t="shared" si="5"/>
        <v>0</v>
      </c>
    </row>
    <row r="94" spans="1:31" ht="15.75">
      <c r="A94" s="339"/>
      <c r="B94" s="211"/>
      <c r="C94" s="352"/>
      <c r="D94" s="295"/>
      <c r="E94" s="527"/>
      <c r="F94" s="21"/>
      <c r="G94" s="21"/>
      <c r="H94" s="207"/>
      <c r="I94" s="177"/>
      <c r="J94" s="320"/>
      <c r="K94" s="189"/>
      <c r="L94" s="167"/>
      <c r="M94" s="174"/>
      <c r="N94" s="352"/>
      <c r="O94" s="198"/>
      <c r="P94" s="178"/>
      <c r="Q94" s="21"/>
      <c r="R94" s="198"/>
      <c r="S94" s="342"/>
      <c r="T94" s="198"/>
      <c r="U94" s="423"/>
      <c r="V94" s="342"/>
      <c r="X94" s="239">
        <f t="shared" si="5"/>
        <v>0</v>
      </c>
    </row>
    <row r="95" spans="1:31" ht="15.75">
      <c r="A95" s="339"/>
      <c r="B95" s="211"/>
      <c r="C95" s="352"/>
      <c r="D95" s="295"/>
      <c r="E95" s="527"/>
      <c r="F95" s="21"/>
      <c r="G95" s="21"/>
      <c r="H95" s="207"/>
      <c r="I95" s="177"/>
      <c r="J95" s="320"/>
      <c r="K95" s="189"/>
      <c r="L95" s="167"/>
      <c r="M95" s="174"/>
      <c r="N95" s="352"/>
      <c r="O95" s="198"/>
      <c r="P95" s="178"/>
      <c r="Q95" s="21"/>
      <c r="R95" s="198"/>
      <c r="S95" s="342"/>
      <c r="T95" s="198"/>
      <c r="U95" s="423"/>
      <c r="V95" s="342"/>
      <c r="X95" s="239">
        <f t="shared" si="5"/>
        <v>0</v>
      </c>
    </row>
    <row r="96" spans="1:31" ht="15.75">
      <c r="A96" s="339"/>
      <c r="B96" s="211"/>
      <c r="C96" s="352"/>
      <c r="D96" s="295"/>
      <c r="E96" s="527"/>
      <c r="F96" s="21"/>
      <c r="G96" s="21"/>
      <c r="H96" s="207"/>
      <c r="I96" s="177"/>
      <c r="J96" s="320"/>
      <c r="K96" s="189"/>
      <c r="L96" s="167"/>
      <c r="M96" s="174"/>
      <c r="N96" s="352"/>
      <c r="O96" s="198"/>
      <c r="P96" s="178"/>
      <c r="Q96" s="21"/>
      <c r="R96" s="198"/>
      <c r="S96" s="342"/>
      <c r="T96" s="198"/>
      <c r="U96" s="423"/>
      <c r="V96" s="342"/>
      <c r="X96" s="239">
        <f t="shared" si="5"/>
        <v>0</v>
      </c>
    </row>
    <row r="97" spans="1:24" ht="15.75">
      <c r="A97" s="339"/>
      <c r="B97" s="211"/>
      <c r="C97" s="352"/>
      <c r="D97" s="295"/>
      <c r="E97" s="527"/>
      <c r="F97" s="21"/>
      <c r="G97" s="21"/>
      <c r="H97" s="207"/>
      <c r="I97" s="177"/>
      <c r="J97" s="320"/>
      <c r="K97" s="189"/>
      <c r="L97" s="167"/>
      <c r="M97" s="174"/>
      <c r="N97" s="352"/>
      <c r="O97" s="198"/>
      <c r="P97" s="178"/>
      <c r="Q97" s="21"/>
      <c r="R97" s="198"/>
      <c r="S97" s="342"/>
      <c r="T97" s="198"/>
      <c r="U97" s="423"/>
      <c r="V97" s="342"/>
      <c r="X97" s="239">
        <f t="shared" si="5"/>
        <v>0</v>
      </c>
    </row>
    <row r="98" spans="1:24" ht="15.75">
      <c r="A98" s="339"/>
      <c r="B98" s="211"/>
      <c r="C98" s="352"/>
      <c r="D98" s="295"/>
      <c r="E98" s="527"/>
      <c r="F98" s="21"/>
      <c r="G98" s="21"/>
      <c r="H98" s="207"/>
      <c r="I98" s="177"/>
      <c r="J98" s="320"/>
      <c r="K98" s="189"/>
      <c r="L98" s="167"/>
      <c r="M98" s="174"/>
      <c r="N98" s="352"/>
      <c r="O98" s="198"/>
      <c r="P98" s="178"/>
      <c r="Q98" s="21"/>
      <c r="R98" s="198"/>
      <c r="S98" s="342"/>
      <c r="T98" s="198"/>
      <c r="U98" s="423"/>
      <c r="V98" s="342"/>
      <c r="X98" s="239">
        <f t="shared" si="5"/>
        <v>0</v>
      </c>
    </row>
    <row r="99" spans="1:24" ht="15.75">
      <c r="A99" s="339"/>
      <c r="B99" s="211"/>
      <c r="C99" s="352"/>
      <c r="D99" s="295"/>
      <c r="E99" s="527"/>
      <c r="F99" s="21"/>
      <c r="G99" s="21"/>
      <c r="H99" s="207"/>
      <c r="I99" s="177"/>
      <c r="J99" s="320"/>
      <c r="K99" s="189"/>
      <c r="L99" s="167"/>
      <c r="M99" s="174"/>
      <c r="N99" s="352"/>
      <c r="O99" s="198"/>
      <c r="P99" s="178"/>
      <c r="Q99" s="21"/>
      <c r="R99" s="198"/>
      <c r="S99" s="342"/>
      <c r="T99" s="198"/>
      <c r="U99" s="423"/>
      <c r="V99" s="342"/>
      <c r="X99" s="239">
        <f t="shared" si="5"/>
        <v>0</v>
      </c>
    </row>
    <row r="100" spans="1:24" ht="15.75">
      <c r="A100" s="339"/>
      <c r="B100" s="211"/>
      <c r="C100" s="352"/>
      <c r="D100" s="295"/>
      <c r="E100" s="527"/>
      <c r="F100" s="21"/>
      <c r="G100" s="21"/>
      <c r="H100" s="207"/>
      <c r="I100" s="177"/>
      <c r="J100" s="320"/>
      <c r="K100" s="189"/>
      <c r="L100" s="167"/>
      <c r="M100" s="174"/>
      <c r="N100" s="352"/>
      <c r="O100" s="198"/>
      <c r="P100" s="178"/>
      <c r="Q100" s="21"/>
      <c r="R100" s="198"/>
      <c r="S100" s="342"/>
      <c r="T100" s="198"/>
      <c r="U100" s="423"/>
      <c r="V100" s="342"/>
      <c r="X100" s="239">
        <f t="shared" si="5"/>
        <v>0</v>
      </c>
    </row>
    <row r="101" spans="1:24" ht="15.75">
      <c r="A101" s="339"/>
      <c r="B101" s="211"/>
      <c r="C101" s="352"/>
      <c r="D101" s="295"/>
      <c r="E101" s="527"/>
      <c r="F101" s="21"/>
      <c r="G101" s="21"/>
      <c r="H101" s="207"/>
      <c r="I101" s="177"/>
      <c r="J101" s="320"/>
      <c r="K101" s="189"/>
      <c r="L101" s="167"/>
      <c r="M101" s="174"/>
      <c r="N101" s="352"/>
      <c r="O101" s="198"/>
      <c r="P101" s="178"/>
      <c r="Q101" s="21"/>
      <c r="R101" s="198"/>
      <c r="S101" s="342"/>
      <c r="T101" s="198"/>
      <c r="U101" s="423"/>
      <c r="V101" s="342"/>
      <c r="X101" s="239">
        <f t="shared" si="5"/>
        <v>0</v>
      </c>
    </row>
    <row r="102" spans="1:24" ht="15.75">
      <c r="A102" s="339"/>
      <c r="B102" s="211"/>
      <c r="C102" s="352"/>
      <c r="D102" s="295"/>
      <c r="E102" s="527"/>
      <c r="F102" s="21"/>
      <c r="G102" s="21"/>
      <c r="H102" s="207"/>
      <c r="I102" s="177"/>
      <c r="J102" s="320"/>
      <c r="K102" s="189"/>
      <c r="L102" s="167"/>
      <c r="M102" s="174"/>
      <c r="N102" s="352"/>
      <c r="O102" s="198"/>
      <c r="P102" s="178"/>
      <c r="Q102" s="21"/>
      <c r="R102" s="198"/>
      <c r="S102" s="342"/>
      <c r="T102" s="198"/>
      <c r="U102" s="423"/>
      <c r="V102" s="342"/>
      <c r="X102" s="239">
        <f t="shared" si="5"/>
        <v>0</v>
      </c>
    </row>
    <row r="103" spans="1:24" ht="15.75">
      <c r="A103" s="339"/>
      <c r="B103" s="211"/>
      <c r="C103" s="352"/>
      <c r="D103" s="295"/>
      <c r="E103" s="527"/>
      <c r="F103" s="21"/>
      <c r="G103" s="21"/>
      <c r="H103" s="207"/>
      <c r="I103" s="177"/>
      <c r="J103" s="320"/>
      <c r="K103" s="189"/>
      <c r="L103" s="167"/>
      <c r="M103" s="174"/>
      <c r="N103" s="352"/>
      <c r="O103" s="198"/>
      <c r="P103" s="178"/>
      <c r="Q103" s="21"/>
      <c r="R103" s="198"/>
      <c r="S103" s="342"/>
      <c r="T103" s="198"/>
      <c r="U103" s="423"/>
      <c r="V103" s="342"/>
      <c r="X103" s="239">
        <f t="shared" si="5"/>
        <v>0</v>
      </c>
    </row>
    <row r="104" spans="1:24" ht="15.75">
      <c r="A104" s="339"/>
      <c r="B104" s="211"/>
      <c r="C104" s="352"/>
      <c r="D104" s="295"/>
      <c r="E104" s="527"/>
      <c r="F104" s="21"/>
      <c r="G104" s="21"/>
      <c r="H104" s="207"/>
      <c r="I104" s="177"/>
      <c r="J104" s="320"/>
      <c r="K104" s="189"/>
      <c r="L104" s="167"/>
      <c r="M104" s="174"/>
      <c r="N104" s="352"/>
      <c r="O104" s="198"/>
      <c r="P104" s="178"/>
      <c r="Q104" s="21"/>
      <c r="R104" s="198"/>
      <c r="S104" s="342"/>
      <c r="T104" s="198"/>
      <c r="U104" s="423"/>
      <c r="V104" s="342"/>
      <c r="X104" s="239">
        <f t="shared" si="5"/>
        <v>0</v>
      </c>
    </row>
    <row r="105" spans="1:24" ht="15.75">
      <c r="A105" s="339"/>
      <c r="B105" s="211"/>
      <c r="C105" s="352"/>
      <c r="D105" s="295"/>
      <c r="E105" s="527"/>
      <c r="F105" s="21"/>
      <c r="G105" s="21"/>
      <c r="H105" s="207"/>
      <c r="I105" s="177"/>
      <c r="J105" s="320"/>
      <c r="K105" s="189"/>
      <c r="L105" s="167"/>
      <c r="M105" s="174"/>
      <c r="N105" s="352"/>
      <c r="O105" s="198"/>
      <c r="P105" s="178"/>
      <c r="Q105" s="21"/>
      <c r="R105" s="198"/>
      <c r="S105" s="342"/>
      <c r="T105" s="198"/>
      <c r="U105" s="423"/>
      <c r="V105" s="342"/>
      <c r="X105" s="239">
        <f t="shared" si="5"/>
        <v>0</v>
      </c>
    </row>
    <row r="106" spans="1:24" ht="15.75">
      <c r="A106" s="339"/>
      <c r="B106" s="211"/>
      <c r="C106" s="352"/>
      <c r="D106" s="295"/>
      <c r="E106" s="527"/>
      <c r="F106" s="21"/>
      <c r="G106" s="21"/>
      <c r="H106" s="207"/>
      <c r="I106" s="177"/>
      <c r="J106" s="320"/>
      <c r="K106" s="189"/>
      <c r="L106" s="167"/>
      <c r="M106" s="174"/>
      <c r="N106" s="352"/>
      <c r="O106" s="198"/>
      <c r="P106" s="178"/>
      <c r="Q106" s="21"/>
      <c r="R106" s="198"/>
      <c r="S106" s="342"/>
      <c r="T106" s="198"/>
      <c r="U106" s="423"/>
      <c r="V106" s="342"/>
      <c r="X106" s="239">
        <f t="shared" si="5"/>
        <v>0</v>
      </c>
    </row>
    <row r="107" spans="1:24" ht="15.75">
      <c r="A107" s="339"/>
      <c r="B107" s="211"/>
      <c r="C107" s="352"/>
      <c r="D107" s="295"/>
      <c r="E107" s="527"/>
      <c r="F107" s="21"/>
      <c r="G107" s="21"/>
      <c r="H107" s="207"/>
      <c r="I107" s="177"/>
      <c r="J107" s="320"/>
      <c r="K107" s="189"/>
      <c r="L107" s="167"/>
      <c r="M107" s="174"/>
      <c r="N107" s="352"/>
      <c r="O107" s="198"/>
      <c r="P107" s="178"/>
      <c r="Q107" s="21"/>
      <c r="R107" s="198"/>
      <c r="S107" s="342"/>
      <c r="T107" s="198"/>
      <c r="U107" s="423"/>
      <c r="V107" s="342"/>
      <c r="X107" s="239">
        <f t="shared" si="5"/>
        <v>0</v>
      </c>
    </row>
    <row r="108" spans="1:24" ht="15.75">
      <c r="A108" s="339"/>
      <c r="B108" s="211"/>
      <c r="C108" s="352"/>
      <c r="D108" s="295"/>
      <c r="E108" s="527"/>
      <c r="F108" s="21"/>
      <c r="G108" s="21"/>
      <c r="H108" s="207"/>
      <c r="I108" s="177"/>
      <c r="J108" s="320"/>
      <c r="K108" s="189"/>
      <c r="L108" s="167"/>
      <c r="M108" s="174"/>
      <c r="N108" s="352"/>
      <c r="O108" s="198"/>
      <c r="P108" s="178"/>
      <c r="Q108" s="21"/>
      <c r="R108" s="198"/>
      <c r="S108" s="342"/>
      <c r="T108" s="198"/>
      <c r="U108" s="423"/>
      <c r="V108" s="342"/>
      <c r="X108" s="239">
        <f t="shared" si="5"/>
        <v>0</v>
      </c>
    </row>
    <row r="109" spans="1:24" ht="15.75">
      <c r="A109" s="339"/>
      <c r="B109" s="211"/>
      <c r="C109" s="352"/>
      <c r="D109" s="295"/>
      <c r="E109" s="527"/>
      <c r="F109" s="21"/>
      <c r="G109" s="21"/>
      <c r="H109" s="207"/>
      <c r="I109" s="177"/>
      <c r="J109" s="320"/>
      <c r="K109" s="189"/>
      <c r="L109" s="167"/>
      <c r="M109" s="174"/>
      <c r="N109" s="352"/>
      <c r="O109" s="198"/>
      <c r="P109" s="178"/>
      <c r="Q109" s="21"/>
      <c r="R109" s="198"/>
      <c r="S109" s="342"/>
      <c r="T109" s="198"/>
      <c r="U109" s="423"/>
      <c r="V109" s="342"/>
      <c r="X109" s="239">
        <f t="shared" si="5"/>
        <v>0</v>
      </c>
    </row>
    <row r="110" spans="1:24" ht="15.75">
      <c r="A110" s="339"/>
      <c r="B110" s="211"/>
      <c r="C110" s="352"/>
      <c r="D110" s="295"/>
      <c r="E110" s="527"/>
      <c r="F110" s="21"/>
      <c r="G110" s="21"/>
      <c r="H110" s="207"/>
      <c r="I110" s="177"/>
      <c r="J110" s="320"/>
      <c r="K110" s="189"/>
      <c r="L110" s="167"/>
      <c r="M110" s="174"/>
      <c r="N110" s="352"/>
      <c r="O110" s="198"/>
      <c r="P110" s="178"/>
      <c r="Q110" s="21"/>
      <c r="R110" s="198"/>
      <c r="S110" s="342"/>
      <c r="T110" s="198"/>
      <c r="U110" s="423"/>
      <c r="V110" s="342"/>
      <c r="X110" s="239">
        <f t="shared" si="5"/>
        <v>0</v>
      </c>
    </row>
    <row r="111" spans="1:24" ht="15.75">
      <c r="A111" s="339"/>
      <c r="B111" s="211"/>
      <c r="C111" s="352"/>
      <c r="D111" s="295"/>
      <c r="E111" s="527"/>
      <c r="F111" s="21"/>
      <c r="G111" s="21"/>
      <c r="H111" s="207"/>
      <c r="I111" s="177"/>
      <c r="J111" s="320"/>
      <c r="K111" s="189"/>
      <c r="L111" s="167"/>
      <c r="M111" s="174"/>
      <c r="N111" s="352"/>
      <c r="O111" s="198"/>
      <c r="P111" s="178"/>
      <c r="Q111" s="21"/>
      <c r="R111" s="198"/>
      <c r="S111" s="342"/>
      <c r="T111" s="198"/>
      <c r="U111" s="423"/>
      <c r="V111" s="342"/>
      <c r="X111" s="239">
        <f t="shared" si="5"/>
        <v>0</v>
      </c>
    </row>
    <row r="112" spans="1:24" ht="15.75">
      <c r="A112" s="339"/>
      <c r="B112" s="211"/>
      <c r="C112" s="352"/>
      <c r="D112" s="295"/>
      <c r="E112" s="527"/>
      <c r="F112" s="21"/>
      <c r="G112" s="21"/>
      <c r="H112" s="207"/>
      <c r="I112" s="177"/>
      <c r="J112" s="320"/>
      <c r="K112" s="189"/>
      <c r="L112" s="167"/>
      <c r="M112" s="174"/>
      <c r="N112" s="352"/>
      <c r="O112" s="198"/>
      <c r="P112" s="178"/>
      <c r="Q112" s="21"/>
      <c r="R112" s="198"/>
      <c r="S112" s="342"/>
      <c r="T112" s="198"/>
      <c r="U112" s="423"/>
      <c r="V112" s="342"/>
      <c r="X112" s="239">
        <f t="shared" si="5"/>
        <v>0</v>
      </c>
    </row>
    <row r="113" spans="1:24" ht="15.75">
      <c r="A113" s="339"/>
      <c r="B113" s="211"/>
      <c r="C113" s="352"/>
      <c r="D113" s="295"/>
      <c r="E113" s="527"/>
      <c r="F113" s="21"/>
      <c r="G113" s="21"/>
      <c r="H113" s="207"/>
      <c r="I113" s="177"/>
      <c r="J113" s="320"/>
      <c r="K113" s="189"/>
      <c r="L113" s="167"/>
      <c r="M113" s="174"/>
      <c r="N113" s="352"/>
      <c r="O113" s="198"/>
      <c r="P113" s="178"/>
      <c r="Q113" s="21"/>
      <c r="R113" s="198"/>
      <c r="S113" s="342"/>
      <c r="T113" s="198"/>
      <c r="U113" s="423"/>
      <c r="V113" s="342"/>
      <c r="X113" s="239">
        <f t="shared" si="5"/>
        <v>0</v>
      </c>
    </row>
    <row r="114" spans="1:24" ht="15.75">
      <c r="A114" s="339"/>
      <c r="B114" s="211"/>
      <c r="C114" s="352"/>
      <c r="D114" s="295"/>
      <c r="E114" s="527"/>
      <c r="F114" s="21"/>
      <c r="G114" s="21"/>
      <c r="H114" s="207"/>
      <c r="I114" s="177"/>
      <c r="J114" s="320"/>
      <c r="K114" s="189"/>
      <c r="L114" s="167"/>
      <c r="M114" s="174"/>
      <c r="N114" s="352"/>
      <c r="O114" s="198"/>
      <c r="P114" s="178"/>
      <c r="Q114" s="21"/>
      <c r="R114" s="198"/>
      <c r="S114" s="342"/>
      <c r="T114" s="198"/>
      <c r="U114" s="423"/>
      <c r="V114" s="342"/>
      <c r="X114" s="239">
        <f t="shared" si="5"/>
        <v>0</v>
      </c>
    </row>
    <row r="115" spans="1:24" ht="15.75">
      <c r="A115" s="339"/>
      <c r="B115" s="211"/>
      <c r="C115" s="352"/>
      <c r="D115" s="295"/>
      <c r="E115" s="527"/>
      <c r="F115" s="21"/>
      <c r="G115" s="21"/>
      <c r="H115" s="207"/>
      <c r="I115" s="177"/>
      <c r="J115" s="320"/>
      <c r="K115" s="189"/>
      <c r="L115" s="167"/>
      <c r="M115" s="174"/>
      <c r="N115" s="352"/>
      <c r="O115" s="198"/>
      <c r="P115" s="178"/>
      <c r="Q115" s="21"/>
      <c r="R115" s="198"/>
      <c r="S115" s="342"/>
      <c r="T115" s="198"/>
      <c r="U115" s="423"/>
      <c r="V115" s="342"/>
      <c r="X115" s="239">
        <f t="shared" si="5"/>
        <v>0</v>
      </c>
    </row>
    <row r="116" spans="1:24" ht="15.75">
      <c r="A116" s="339"/>
      <c r="B116" s="211"/>
      <c r="C116" s="352"/>
      <c r="D116" s="295"/>
      <c r="E116" s="527"/>
      <c r="F116" s="21"/>
      <c r="G116" s="21"/>
      <c r="H116" s="207"/>
      <c r="I116" s="177"/>
      <c r="J116" s="320"/>
      <c r="K116" s="189"/>
      <c r="L116" s="167"/>
      <c r="M116" s="174"/>
      <c r="N116" s="352"/>
      <c r="O116" s="198"/>
      <c r="P116" s="178"/>
      <c r="Q116" s="21"/>
      <c r="R116" s="198"/>
      <c r="S116" s="342"/>
      <c r="T116" s="198"/>
      <c r="U116" s="423"/>
      <c r="V116" s="342"/>
      <c r="X116" s="239">
        <f t="shared" si="5"/>
        <v>0</v>
      </c>
    </row>
    <row r="117" spans="1:24" ht="15.75">
      <c r="A117" s="339"/>
      <c r="B117" s="211"/>
      <c r="C117" s="352"/>
      <c r="D117" s="295"/>
      <c r="E117" s="527"/>
      <c r="F117" s="21"/>
      <c r="G117" s="21"/>
      <c r="H117" s="207"/>
      <c r="I117" s="177"/>
      <c r="J117" s="320"/>
      <c r="K117" s="189"/>
      <c r="L117" s="167"/>
      <c r="M117" s="174"/>
      <c r="N117" s="352"/>
      <c r="O117" s="198"/>
      <c r="P117" s="178"/>
      <c r="Q117" s="21"/>
      <c r="R117" s="198"/>
      <c r="S117" s="342"/>
      <c r="T117" s="198"/>
      <c r="U117" s="423"/>
      <c r="V117" s="342"/>
      <c r="X117" s="239">
        <f t="shared" si="5"/>
        <v>0</v>
      </c>
    </row>
    <row r="118" spans="1:24" ht="15.75">
      <c r="A118" s="339"/>
      <c r="B118" s="211"/>
      <c r="C118" s="352"/>
      <c r="D118" s="295"/>
      <c r="E118" s="527"/>
      <c r="F118" s="21"/>
      <c r="G118" s="21"/>
      <c r="H118" s="207"/>
      <c r="I118" s="177"/>
      <c r="J118" s="320"/>
      <c r="K118" s="189"/>
      <c r="L118" s="167"/>
      <c r="M118" s="174"/>
      <c r="N118" s="352"/>
      <c r="O118" s="198"/>
      <c r="P118" s="178"/>
      <c r="Q118" s="21"/>
      <c r="R118" s="198"/>
      <c r="S118" s="342"/>
      <c r="T118" s="198"/>
      <c r="U118" s="423"/>
      <c r="V118" s="342"/>
      <c r="X118" s="239">
        <f t="shared" si="5"/>
        <v>0</v>
      </c>
    </row>
    <row r="119" spans="1:24" ht="15.75">
      <c r="A119" s="339"/>
      <c r="B119" s="211"/>
      <c r="C119" s="352"/>
      <c r="D119" s="295"/>
      <c r="E119" s="527"/>
      <c r="F119" s="21"/>
      <c r="G119" s="21"/>
      <c r="H119" s="207"/>
      <c r="I119" s="177"/>
      <c r="J119" s="320"/>
      <c r="K119" s="189"/>
      <c r="L119" s="167"/>
      <c r="M119" s="174"/>
      <c r="N119" s="352"/>
      <c r="O119" s="198"/>
      <c r="P119" s="178"/>
      <c r="Q119" s="21"/>
      <c r="R119" s="198"/>
      <c r="S119" s="342"/>
      <c r="T119" s="198"/>
      <c r="U119" s="423"/>
      <c r="V119" s="342"/>
      <c r="X119" s="239">
        <f t="shared" si="5"/>
        <v>0</v>
      </c>
    </row>
    <row r="120" spans="1:24" ht="15.75">
      <c r="A120" s="339"/>
      <c r="B120" s="211"/>
      <c r="C120" s="352"/>
      <c r="D120" s="295"/>
      <c r="E120" s="527"/>
      <c r="F120" s="21"/>
      <c r="G120" s="21"/>
      <c r="H120" s="207"/>
      <c r="I120" s="177"/>
      <c r="J120" s="320"/>
      <c r="K120" s="189"/>
      <c r="L120" s="167"/>
      <c r="M120" s="174"/>
      <c r="N120" s="352"/>
      <c r="O120" s="198"/>
      <c r="P120" s="178"/>
      <c r="Q120" s="21"/>
      <c r="R120" s="198"/>
      <c r="S120" s="342"/>
      <c r="T120" s="198"/>
      <c r="U120" s="423"/>
      <c r="V120" s="342"/>
      <c r="X120" s="239">
        <f t="shared" si="5"/>
        <v>0</v>
      </c>
    </row>
    <row r="121" spans="1:24" ht="15.75">
      <c r="A121" s="339"/>
      <c r="B121" s="211"/>
      <c r="C121" s="352"/>
      <c r="D121" s="295"/>
      <c r="E121" s="527"/>
      <c r="F121" s="21"/>
      <c r="G121" s="21"/>
      <c r="H121" s="207"/>
      <c r="I121" s="177"/>
      <c r="J121" s="320"/>
      <c r="K121" s="189"/>
      <c r="L121" s="167"/>
      <c r="M121" s="174"/>
      <c r="N121" s="352"/>
      <c r="O121" s="198"/>
      <c r="P121" s="178"/>
      <c r="Q121" s="21"/>
      <c r="R121" s="198"/>
      <c r="S121" s="342"/>
      <c r="T121" s="198"/>
      <c r="U121" s="423"/>
      <c r="V121" s="342"/>
      <c r="X121" s="239">
        <f t="shared" si="5"/>
        <v>0</v>
      </c>
    </row>
    <row r="122" spans="1:24" ht="15.75">
      <c r="A122" s="339"/>
      <c r="B122" s="211"/>
      <c r="C122" s="352"/>
      <c r="D122" s="295"/>
      <c r="E122" s="527"/>
      <c r="F122" s="21"/>
      <c r="G122" s="21"/>
      <c r="H122" s="207"/>
      <c r="I122" s="177"/>
      <c r="J122" s="320"/>
      <c r="K122" s="189"/>
      <c r="L122" s="167"/>
      <c r="M122" s="174"/>
      <c r="N122" s="352"/>
      <c r="O122" s="198"/>
      <c r="P122" s="178"/>
      <c r="Q122" s="21"/>
      <c r="R122" s="198"/>
      <c r="S122" s="342"/>
      <c r="T122" s="198"/>
      <c r="U122" s="423"/>
      <c r="V122" s="342"/>
      <c r="X122" s="239">
        <f t="shared" si="5"/>
        <v>0</v>
      </c>
    </row>
    <row r="123" spans="1:24" ht="15.75">
      <c r="A123" s="339"/>
      <c r="B123" s="211"/>
      <c r="C123" s="352"/>
      <c r="D123" s="295"/>
      <c r="E123" s="527"/>
      <c r="F123" s="21"/>
      <c r="G123" s="21"/>
      <c r="H123" s="207"/>
      <c r="I123" s="177"/>
      <c r="J123" s="320"/>
      <c r="K123" s="189"/>
      <c r="L123" s="167"/>
      <c r="M123" s="174"/>
      <c r="N123" s="352"/>
      <c r="O123" s="198"/>
      <c r="P123" s="178"/>
      <c r="Q123" s="21"/>
      <c r="R123" s="198"/>
      <c r="S123" s="342"/>
      <c r="T123" s="198"/>
      <c r="U123" s="423"/>
      <c r="V123" s="342"/>
      <c r="X123" s="239">
        <f t="shared" si="5"/>
        <v>0</v>
      </c>
    </row>
    <row r="124" spans="1:24" ht="15.75">
      <c r="A124" s="339"/>
      <c r="B124" s="211"/>
      <c r="C124" s="352"/>
      <c r="D124" s="295"/>
      <c r="E124" s="527"/>
      <c r="F124" s="21"/>
      <c r="G124" s="21"/>
      <c r="H124" s="207"/>
      <c r="I124" s="177"/>
      <c r="J124" s="320"/>
      <c r="K124" s="189"/>
      <c r="L124" s="167"/>
      <c r="M124" s="174"/>
      <c r="N124" s="352"/>
      <c r="O124" s="198"/>
      <c r="P124" s="178"/>
      <c r="Q124" s="21"/>
      <c r="R124" s="198"/>
      <c r="S124" s="342"/>
      <c r="T124" s="198"/>
      <c r="U124" s="423"/>
      <c r="V124" s="342"/>
      <c r="X124" s="239">
        <f t="shared" si="5"/>
        <v>0</v>
      </c>
    </row>
    <row r="125" spans="1:24" ht="15.75">
      <c r="A125" s="339"/>
      <c r="B125" s="211"/>
      <c r="C125" s="352"/>
      <c r="D125" s="295"/>
      <c r="E125" s="527"/>
      <c r="F125" s="21"/>
      <c r="G125" s="21"/>
      <c r="H125" s="207"/>
      <c r="I125" s="177"/>
      <c r="J125" s="320"/>
      <c r="K125" s="189"/>
      <c r="L125" s="167"/>
      <c r="M125" s="174"/>
      <c r="N125" s="352"/>
      <c r="O125" s="198"/>
      <c r="P125" s="178"/>
      <c r="Q125" s="21"/>
      <c r="R125" s="198"/>
      <c r="S125" s="342"/>
      <c r="T125" s="198"/>
      <c r="U125" s="423"/>
      <c r="V125" s="342"/>
      <c r="X125" s="239">
        <f t="shared" si="5"/>
        <v>0</v>
      </c>
    </row>
    <row r="126" spans="1:24" ht="15.75">
      <c r="A126" s="339"/>
      <c r="B126" s="211"/>
      <c r="C126" s="352"/>
      <c r="D126" s="295"/>
      <c r="E126" s="527"/>
      <c r="F126" s="21"/>
      <c r="G126" s="21"/>
      <c r="H126" s="207"/>
      <c r="I126" s="177"/>
      <c r="J126" s="320"/>
      <c r="K126" s="189"/>
      <c r="L126" s="167"/>
      <c r="M126" s="174"/>
      <c r="N126" s="352"/>
      <c r="O126" s="198"/>
      <c r="P126" s="178"/>
      <c r="Q126" s="21"/>
      <c r="R126" s="198"/>
      <c r="S126" s="342"/>
      <c r="T126" s="198"/>
      <c r="U126" s="423"/>
      <c r="V126" s="342"/>
      <c r="X126" s="239">
        <f t="shared" si="5"/>
        <v>0</v>
      </c>
    </row>
    <row r="127" spans="1:24" ht="15.75">
      <c r="A127" s="339"/>
      <c r="B127" s="211"/>
      <c r="C127" s="352"/>
      <c r="D127" s="295"/>
      <c r="E127" s="527"/>
      <c r="F127" s="21"/>
      <c r="G127" s="21"/>
      <c r="H127" s="207"/>
      <c r="I127" s="177"/>
      <c r="J127" s="320"/>
      <c r="K127" s="189"/>
      <c r="L127" s="167"/>
      <c r="M127" s="174"/>
      <c r="N127" s="352"/>
      <c r="O127" s="198"/>
      <c r="P127" s="178"/>
      <c r="Q127" s="21"/>
      <c r="R127" s="198"/>
      <c r="S127" s="342"/>
      <c r="T127" s="198"/>
      <c r="U127" s="423"/>
      <c r="V127" s="342"/>
      <c r="X127" s="239">
        <f t="shared" si="5"/>
        <v>0</v>
      </c>
    </row>
    <row r="128" spans="1:24" ht="15.75">
      <c r="A128" s="339"/>
      <c r="B128" s="211"/>
      <c r="C128" s="352"/>
      <c r="D128" s="295"/>
      <c r="E128" s="527"/>
      <c r="F128" s="21"/>
      <c r="G128" s="21"/>
      <c r="H128" s="207"/>
      <c r="I128" s="177"/>
      <c r="J128" s="320"/>
      <c r="K128" s="189"/>
      <c r="L128" s="167"/>
      <c r="M128" s="174"/>
      <c r="N128" s="352"/>
      <c r="O128" s="198"/>
      <c r="P128" s="178"/>
      <c r="Q128" s="21"/>
      <c r="R128" s="198"/>
      <c r="S128" s="342"/>
      <c r="T128" s="198"/>
      <c r="U128" s="423"/>
      <c r="V128" s="342"/>
      <c r="X128" s="239">
        <f t="shared" si="5"/>
        <v>0</v>
      </c>
    </row>
    <row r="129" spans="1:24" ht="15.75">
      <c r="A129" s="339"/>
      <c r="B129" s="211"/>
      <c r="C129" s="352"/>
      <c r="D129" s="295"/>
      <c r="E129" s="527"/>
      <c r="F129" s="21"/>
      <c r="G129" s="21"/>
      <c r="H129" s="207"/>
      <c r="I129" s="177"/>
      <c r="J129" s="320"/>
      <c r="K129" s="189"/>
      <c r="L129" s="167"/>
      <c r="M129" s="174"/>
      <c r="N129" s="352"/>
      <c r="O129" s="198"/>
      <c r="P129" s="178"/>
      <c r="Q129" s="21"/>
      <c r="R129" s="198"/>
      <c r="S129" s="342"/>
      <c r="T129" s="198"/>
      <c r="U129" s="423"/>
      <c r="V129" s="342"/>
      <c r="X129" s="239">
        <f t="shared" si="5"/>
        <v>0</v>
      </c>
    </row>
    <row r="130" spans="1:24" ht="15.75">
      <c r="A130" s="339"/>
      <c r="B130" s="211"/>
      <c r="C130" s="352"/>
      <c r="D130" s="295"/>
      <c r="E130" s="527"/>
      <c r="F130" s="21"/>
      <c r="G130" s="21"/>
      <c r="H130" s="207"/>
      <c r="I130" s="177"/>
      <c r="J130" s="320"/>
      <c r="K130" s="189"/>
      <c r="L130" s="167"/>
      <c r="M130" s="174"/>
      <c r="N130" s="352"/>
      <c r="O130" s="198"/>
      <c r="P130" s="178"/>
      <c r="Q130" s="21"/>
      <c r="R130" s="198"/>
      <c r="S130" s="342"/>
      <c r="T130" s="198"/>
      <c r="U130" s="423"/>
      <c r="V130" s="342"/>
      <c r="X130" s="239">
        <f t="shared" si="5"/>
        <v>0</v>
      </c>
    </row>
    <row r="131" spans="1:24" ht="15.75">
      <c r="A131" s="339"/>
      <c r="B131" s="211"/>
      <c r="C131" s="352"/>
      <c r="D131" s="295"/>
      <c r="E131" s="527"/>
      <c r="F131" s="21"/>
      <c r="G131" s="21"/>
      <c r="H131" s="207"/>
      <c r="I131" s="177"/>
      <c r="J131" s="320"/>
      <c r="K131" s="189"/>
      <c r="L131" s="167"/>
      <c r="M131" s="174"/>
      <c r="N131" s="352"/>
      <c r="O131" s="198"/>
      <c r="P131" s="178"/>
      <c r="Q131" s="21"/>
      <c r="R131" s="198"/>
      <c r="S131" s="342"/>
      <c r="T131" s="198"/>
      <c r="U131" s="423"/>
      <c r="V131" s="342"/>
      <c r="X131" s="239">
        <f t="shared" si="5"/>
        <v>0</v>
      </c>
    </row>
    <row r="132" spans="1:24" ht="15.75">
      <c r="A132" s="339"/>
      <c r="B132" s="211"/>
      <c r="C132" s="352"/>
      <c r="D132" s="295"/>
      <c r="E132" s="527"/>
      <c r="F132" s="21"/>
      <c r="G132" s="21"/>
      <c r="H132" s="207"/>
      <c r="I132" s="177"/>
      <c r="J132" s="320"/>
      <c r="K132" s="189"/>
      <c r="L132" s="167"/>
      <c r="M132" s="174"/>
      <c r="N132" s="352"/>
      <c r="O132" s="198"/>
      <c r="P132" s="178"/>
      <c r="Q132" s="21"/>
      <c r="R132" s="198"/>
      <c r="S132" s="342"/>
      <c r="T132" s="198"/>
      <c r="U132" s="423"/>
      <c r="V132" s="342"/>
      <c r="X132" s="239">
        <f t="shared" si="5"/>
        <v>0</v>
      </c>
    </row>
    <row r="133" spans="1:24" ht="15.75">
      <c r="A133" s="339"/>
      <c r="B133" s="211"/>
      <c r="C133" s="352"/>
      <c r="D133" s="295"/>
      <c r="E133" s="527"/>
      <c r="F133" s="21"/>
      <c r="G133" s="21"/>
      <c r="H133" s="207"/>
      <c r="I133" s="177"/>
      <c r="J133" s="320"/>
      <c r="K133" s="189"/>
      <c r="L133" s="167"/>
      <c r="M133" s="174"/>
      <c r="N133" s="352"/>
      <c r="O133" s="198"/>
      <c r="P133" s="178"/>
      <c r="Q133" s="21"/>
      <c r="R133" s="198"/>
      <c r="S133" s="342"/>
      <c r="T133" s="198"/>
      <c r="U133" s="423"/>
      <c r="V133" s="342"/>
      <c r="X133" s="239">
        <f t="shared" si="5"/>
        <v>0</v>
      </c>
    </row>
    <row r="134" spans="1:24" ht="15.75">
      <c r="A134" s="339"/>
      <c r="B134" s="211"/>
      <c r="C134" s="352"/>
      <c r="D134" s="295"/>
      <c r="E134" s="527"/>
      <c r="F134" s="21"/>
      <c r="G134" s="21"/>
      <c r="H134" s="207"/>
      <c r="I134" s="177"/>
      <c r="J134" s="320"/>
      <c r="K134" s="189"/>
      <c r="L134" s="167"/>
      <c r="M134" s="174"/>
      <c r="N134" s="352"/>
      <c r="O134" s="198"/>
      <c r="P134" s="178"/>
      <c r="Q134" s="21"/>
      <c r="R134" s="198"/>
      <c r="S134" s="342"/>
      <c r="T134" s="198"/>
      <c r="U134" s="423"/>
      <c r="V134" s="342"/>
      <c r="X134" s="239">
        <f t="shared" si="5"/>
        <v>0</v>
      </c>
    </row>
    <row r="135" spans="1:24" ht="15.75">
      <c r="A135" s="339"/>
      <c r="B135" s="211"/>
      <c r="C135" s="352"/>
      <c r="D135" s="295"/>
      <c r="E135" s="527"/>
      <c r="F135" s="21"/>
      <c r="G135" s="21"/>
      <c r="H135" s="207"/>
      <c r="I135" s="177"/>
      <c r="J135" s="320"/>
      <c r="K135" s="189"/>
      <c r="L135" s="167"/>
      <c r="M135" s="174"/>
      <c r="N135" s="352"/>
      <c r="O135" s="198"/>
      <c r="P135" s="178"/>
      <c r="Q135" s="21"/>
      <c r="R135" s="198"/>
      <c r="S135" s="342"/>
      <c r="T135" s="198"/>
      <c r="U135" s="423"/>
      <c r="V135" s="342"/>
      <c r="X135" s="239">
        <f t="shared" si="5"/>
        <v>0</v>
      </c>
    </row>
    <row r="136" spans="1:24" ht="15.75">
      <c r="A136" s="339"/>
      <c r="B136" s="211"/>
      <c r="C136" s="352"/>
      <c r="D136" s="295"/>
      <c r="E136" s="527"/>
      <c r="F136" s="21"/>
      <c r="G136" s="21"/>
      <c r="H136" s="207"/>
      <c r="I136" s="177"/>
      <c r="J136" s="320"/>
      <c r="K136" s="189"/>
      <c r="L136" s="167"/>
      <c r="M136" s="174"/>
      <c r="N136" s="352"/>
      <c r="O136" s="198"/>
      <c r="P136" s="178"/>
      <c r="Q136" s="21"/>
      <c r="R136" s="198"/>
      <c r="S136" s="342"/>
      <c r="T136" s="198"/>
      <c r="U136" s="423"/>
      <c r="V136" s="342"/>
      <c r="X136" s="239">
        <f t="shared" si="5"/>
        <v>0</v>
      </c>
    </row>
    <row r="137" spans="1:24" ht="15.75">
      <c r="A137" s="339"/>
      <c r="B137" s="211"/>
      <c r="C137" s="352"/>
      <c r="D137" s="295"/>
      <c r="E137" s="527"/>
      <c r="F137" s="21"/>
      <c r="G137" s="21"/>
      <c r="H137" s="207"/>
      <c r="I137" s="177"/>
      <c r="J137" s="320"/>
      <c r="K137" s="189"/>
      <c r="L137" s="167"/>
      <c r="M137" s="174"/>
      <c r="N137" s="352"/>
      <c r="O137" s="198"/>
      <c r="P137" s="178"/>
      <c r="Q137" s="21"/>
      <c r="R137" s="198"/>
      <c r="S137" s="342"/>
      <c r="T137" s="198"/>
      <c r="U137" s="423"/>
      <c r="V137" s="342"/>
      <c r="X137" s="239">
        <f t="shared" si="5"/>
        <v>0</v>
      </c>
    </row>
    <row r="138" spans="1:24" ht="15.75">
      <c r="A138" s="339"/>
      <c r="B138" s="211"/>
      <c r="C138" s="352"/>
      <c r="D138" s="295"/>
      <c r="E138" s="527"/>
      <c r="F138" s="21"/>
      <c r="G138" s="21"/>
      <c r="H138" s="207"/>
      <c r="I138" s="177"/>
      <c r="J138" s="320"/>
      <c r="K138" s="189"/>
      <c r="L138" s="167"/>
      <c r="M138" s="174"/>
      <c r="N138" s="352"/>
      <c r="O138" s="198"/>
      <c r="P138" s="178"/>
      <c r="Q138" s="21"/>
      <c r="R138" s="198"/>
      <c r="S138" s="342"/>
      <c r="T138" s="198"/>
      <c r="U138" s="423"/>
      <c r="V138" s="342"/>
      <c r="X138" s="239">
        <f t="shared" si="5"/>
        <v>0</v>
      </c>
    </row>
    <row r="139" spans="1:24" ht="15.75">
      <c r="A139" s="339"/>
      <c r="B139" s="211"/>
      <c r="C139" s="352"/>
      <c r="D139" s="295"/>
      <c r="E139" s="527"/>
      <c r="F139" s="21"/>
      <c r="G139" s="21"/>
      <c r="H139" s="207"/>
      <c r="I139" s="177"/>
      <c r="J139" s="320"/>
      <c r="K139" s="189"/>
      <c r="L139" s="167"/>
      <c r="M139" s="174"/>
      <c r="N139" s="352"/>
      <c r="O139" s="198"/>
      <c r="P139" s="178"/>
      <c r="Q139" s="21"/>
      <c r="R139" s="198"/>
      <c r="S139" s="342"/>
      <c r="T139" s="198"/>
      <c r="U139" s="423"/>
      <c r="V139" s="342"/>
      <c r="X139" s="239">
        <f t="shared" si="5"/>
        <v>0</v>
      </c>
    </row>
    <row r="140" spans="1:24" ht="15.75">
      <c r="A140" s="339"/>
      <c r="B140" s="211"/>
      <c r="C140" s="352"/>
      <c r="D140" s="295"/>
      <c r="E140" s="527"/>
      <c r="F140" s="21"/>
      <c r="G140" s="21"/>
      <c r="H140" s="207"/>
      <c r="I140" s="177"/>
      <c r="J140" s="320"/>
      <c r="K140" s="189"/>
      <c r="L140" s="167"/>
      <c r="M140" s="174"/>
      <c r="N140" s="352"/>
      <c r="O140" s="198"/>
      <c r="P140" s="178"/>
      <c r="Q140" s="21"/>
      <c r="R140" s="198"/>
      <c r="S140" s="342"/>
      <c r="T140" s="198"/>
      <c r="U140" s="423"/>
      <c r="V140" s="342"/>
      <c r="X140" s="239">
        <f t="shared" si="5"/>
        <v>0</v>
      </c>
    </row>
    <row r="141" spans="1:24" ht="15.75">
      <c r="A141" s="339"/>
      <c r="B141" s="211"/>
      <c r="C141" s="352"/>
      <c r="D141" s="295"/>
      <c r="E141" s="527"/>
      <c r="F141" s="21"/>
      <c r="G141" s="21"/>
      <c r="H141" s="207"/>
      <c r="I141" s="177"/>
      <c r="J141" s="320"/>
      <c r="K141" s="189"/>
      <c r="L141" s="167"/>
      <c r="M141" s="174"/>
      <c r="N141" s="352"/>
      <c r="O141" s="198"/>
      <c r="P141" s="178"/>
      <c r="Q141" s="21"/>
      <c r="R141" s="198"/>
      <c r="S141" s="342"/>
      <c r="T141" s="198"/>
      <c r="U141" s="423"/>
      <c r="V141" s="342"/>
      <c r="X141" s="239">
        <f t="shared" si="5"/>
        <v>0</v>
      </c>
    </row>
    <row r="142" spans="1:24" ht="15.75">
      <c r="A142" s="339"/>
      <c r="B142" s="211"/>
      <c r="C142" s="352"/>
      <c r="D142" s="295"/>
      <c r="E142" s="527"/>
      <c r="F142" s="21"/>
      <c r="G142" s="21"/>
      <c r="H142" s="207"/>
      <c r="I142" s="177"/>
      <c r="J142" s="320"/>
      <c r="K142" s="189"/>
      <c r="L142" s="167"/>
      <c r="M142" s="174"/>
      <c r="N142" s="352"/>
      <c r="O142" s="198"/>
      <c r="P142" s="178"/>
      <c r="Q142" s="21"/>
      <c r="R142" s="198"/>
      <c r="S142" s="342"/>
      <c r="T142" s="198"/>
      <c r="U142" s="423"/>
      <c r="V142" s="342"/>
      <c r="X142" s="239">
        <f t="shared" ref="X142" si="6">L142/1000</f>
        <v>0</v>
      </c>
    </row>
    <row r="143" spans="1:24" ht="15.75">
      <c r="A143" s="339"/>
      <c r="B143" s="211"/>
      <c r="C143" s="352"/>
      <c r="D143" s="295"/>
      <c r="E143" s="527"/>
      <c r="F143" s="21"/>
      <c r="G143" s="21"/>
      <c r="H143" s="207"/>
      <c r="I143" s="177"/>
      <c r="J143" s="320"/>
      <c r="K143" s="189"/>
      <c r="L143" s="167"/>
      <c r="M143" s="174"/>
      <c r="N143" s="352"/>
      <c r="O143" s="198"/>
      <c r="P143" s="178"/>
      <c r="Q143" s="21"/>
      <c r="R143" s="198"/>
      <c r="S143" s="342"/>
      <c r="T143" s="198"/>
      <c r="U143" s="423"/>
      <c r="V143" s="342"/>
    </row>
  </sheetData>
  <autoFilter ref="A12:AE107"/>
  <dataConsolidate/>
  <mergeCells count="25">
    <mergeCell ref="M34:M35"/>
    <mergeCell ref="M37:M44"/>
    <mergeCell ref="M13:M18"/>
    <mergeCell ref="M19:M27"/>
    <mergeCell ref="M28:M33"/>
    <mergeCell ref="A1:C1"/>
    <mergeCell ref="AA3:AA4"/>
    <mergeCell ref="AB3:AD3"/>
    <mergeCell ref="AE3:AE4"/>
    <mergeCell ref="A11:A12"/>
    <mergeCell ref="B11:B12"/>
    <mergeCell ref="C11:C12"/>
    <mergeCell ref="D11:D12"/>
    <mergeCell ref="E11:E12"/>
    <mergeCell ref="N11:N12"/>
    <mergeCell ref="P11:Q11"/>
    <mergeCell ref="R11:R12"/>
    <mergeCell ref="S11:S12"/>
    <mergeCell ref="T11:T12"/>
    <mergeCell ref="X11:X12"/>
    <mergeCell ref="U13:U18"/>
    <mergeCell ref="U19:U27"/>
    <mergeCell ref="U28:U33"/>
    <mergeCell ref="U34:U35"/>
    <mergeCell ref="U37:U4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3"/>
  <sheetViews>
    <sheetView topLeftCell="A10" zoomScale="70" zoomScaleNormal="70" workbookViewId="0">
      <pane xSplit="5" ySplit="3" topLeftCell="T97" activePane="bottomRight" state="frozen"/>
      <selection activeCell="A10" sqref="A10"/>
      <selection pane="topRight" activeCell="F10" sqref="F10"/>
      <selection pane="bottomLeft" activeCell="A13" sqref="A13"/>
      <selection pane="bottomRight" activeCell="U111" sqref="U111:U112"/>
    </sheetView>
  </sheetViews>
  <sheetFormatPr defaultRowHeight="15"/>
  <cols>
    <col min="1" max="1" width="9.140625" style="156" customWidth="1"/>
    <col min="2" max="2" width="22.28515625" customWidth="1"/>
    <col min="3" max="3" width="14.7109375" style="350" customWidth="1"/>
    <col min="4" max="4" width="22.42578125" customWidth="1"/>
    <col min="5" max="5" width="22.7109375" style="9" customWidth="1"/>
    <col min="6" max="6" width="41" customWidth="1"/>
    <col min="7" max="7" width="27.28515625" customWidth="1"/>
    <col min="8" max="8" width="14.85546875" customWidth="1"/>
    <col min="9" max="9" width="13" style="153" customWidth="1"/>
    <col min="10" max="10" width="14.7109375" style="267" customWidth="1"/>
    <col min="11" max="11" width="13.140625" customWidth="1"/>
    <col min="12" max="12" width="13" customWidth="1"/>
    <col min="13" max="13" width="12.42578125" style="162" customWidth="1"/>
    <col min="14" max="14" width="13.7109375" style="9" customWidth="1"/>
    <col min="15" max="15" width="32.140625" style="9" customWidth="1"/>
    <col min="16" max="16" width="23.85546875" style="1" customWidth="1"/>
    <col min="17" max="17" width="15.5703125" customWidth="1"/>
    <col min="18" max="18" width="17.7109375" style="9" customWidth="1"/>
    <col min="19" max="19" width="16.7109375" style="7" customWidth="1"/>
    <col min="20" max="20" width="18.7109375" style="404" customWidth="1"/>
    <col min="21" max="21" width="20.85546875" style="238" customWidth="1"/>
    <col min="22" max="22" width="15.140625" style="7" customWidth="1"/>
    <col min="24" max="24" width="16.7109375" customWidth="1"/>
    <col min="25" max="25" width="14.42578125" customWidth="1"/>
    <col min="26" max="26" width="13.7109375" customWidth="1"/>
    <col min="27" max="27" width="19.7109375" bestFit="1" customWidth="1"/>
    <col min="28" max="30" width="11" customWidth="1"/>
    <col min="31" max="31" width="13.28515625" customWidth="1"/>
    <col min="32" max="32" width="16.140625" customWidth="1"/>
  </cols>
  <sheetData>
    <row r="1" spans="1:31" ht="34.5" customHeight="1">
      <c r="A1" s="1023">
        <v>43891</v>
      </c>
      <c r="B1" s="1023"/>
      <c r="C1" s="1023"/>
      <c r="D1" s="2"/>
      <c r="E1" s="508"/>
      <c r="F1" s="2"/>
      <c r="G1" s="2"/>
      <c r="H1" s="2"/>
      <c r="I1" s="152"/>
      <c r="J1" s="152"/>
      <c r="K1" s="2"/>
      <c r="L1" s="2"/>
      <c r="M1" s="160"/>
      <c r="N1" s="508"/>
      <c r="O1" s="508"/>
      <c r="P1" s="8"/>
      <c r="Q1" s="2"/>
      <c r="R1" s="508"/>
      <c r="S1" s="508"/>
      <c r="T1" s="2"/>
      <c r="U1" s="233"/>
    </row>
    <row r="2" spans="1:31" ht="34.5" customHeight="1">
      <c r="A2" s="157"/>
      <c r="B2" s="44"/>
      <c r="C2" s="349"/>
      <c r="D2" s="2"/>
      <c r="E2" s="508"/>
      <c r="F2" s="2"/>
      <c r="G2" s="2"/>
      <c r="H2" s="2"/>
      <c r="I2" s="152"/>
      <c r="J2" s="152"/>
      <c r="K2" s="2"/>
      <c r="L2" s="2"/>
      <c r="M2" s="160"/>
      <c r="N2" s="508"/>
      <c r="O2" s="508"/>
      <c r="P2" s="8"/>
      <c r="Q2" s="2"/>
      <c r="R2" s="508"/>
      <c r="S2" s="508"/>
      <c r="T2" s="2"/>
      <c r="U2" s="233"/>
    </row>
    <row r="3" spans="1:31" ht="54.75" customHeight="1">
      <c r="A3" s="157"/>
      <c r="B3" s="44"/>
      <c r="C3" s="349"/>
      <c r="D3" s="2"/>
      <c r="E3" s="508"/>
      <c r="F3" s="2"/>
      <c r="G3" s="2"/>
      <c r="H3" s="2"/>
      <c r="I3" s="152"/>
      <c r="J3" s="152"/>
      <c r="K3" s="2"/>
      <c r="L3" s="2"/>
      <c r="M3" s="160"/>
      <c r="N3" s="510" t="s">
        <v>0</v>
      </c>
      <c r="O3" s="511" t="s">
        <v>16</v>
      </c>
      <c r="P3" s="511" t="s">
        <v>27</v>
      </c>
      <c r="Q3" s="511" t="s">
        <v>14</v>
      </c>
      <c r="R3" s="511" t="s">
        <v>31</v>
      </c>
      <c r="S3" s="511" t="s">
        <v>203</v>
      </c>
      <c r="T3" s="155" t="s">
        <v>46</v>
      </c>
      <c r="U3" s="234" t="s">
        <v>45</v>
      </c>
      <c r="AA3" s="1024" t="s">
        <v>14</v>
      </c>
      <c r="AB3" s="1026" t="s">
        <v>3</v>
      </c>
      <c r="AC3" s="1027"/>
      <c r="AD3" s="1028"/>
      <c r="AE3" s="1009" t="s">
        <v>21</v>
      </c>
    </row>
    <row r="4" spans="1:31" ht="46.5" customHeight="1">
      <c r="A4" s="157"/>
      <c r="B4" s="44"/>
      <c r="C4" s="349"/>
      <c r="D4" s="2"/>
      <c r="E4" s="508"/>
      <c r="F4" s="2"/>
      <c r="G4" s="2"/>
      <c r="H4" s="2"/>
      <c r="I4" s="152"/>
      <c r="J4" s="152"/>
      <c r="K4" s="2"/>
      <c r="L4" s="2"/>
      <c r="M4" s="160"/>
      <c r="N4" s="32">
        <v>1</v>
      </c>
      <c r="O4" s="32" t="s">
        <v>28</v>
      </c>
      <c r="P4" s="32">
        <v>7</v>
      </c>
      <c r="Q4" s="32" t="s">
        <v>24</v>
      </c>
      <c r="R4" s="32" t="s">
        <v>32</v>
      </c>
      <c r="S4" s="32" t="s">
        <v>4</v>
      </c>
      <c r="T4" s="101"/>
      <c r="U4" s="235" t="s">
        <v>178</v>
      </c>
      <c r="AA4" s="1025"/>
      <c r="AB4" s="118" t="s">
        <v>20</v>
      </c>
      <c r="AC4" s="119" t="s">
        <v>22</v>
      </c>
      <c r="AD4" s="120" t="s">
        <v>23</v>
      </c>
      <c r="AE4" s="1010"/>
    </row>
    <row r="5" spans="1:31" ht="48.75" customHeight="1">
      <c r="A5" s="157"/>
      <c r="B5" s="44"/>
      <c r="C5" s="349"/>
      <c r="D5" s="2"/>
      <c r="E5" s="508"/>
      <c r="F5" s="508"/>
      <c r="G5" s="2"/>
      <c r="H5" s="2"/>
      <c r="I5" s="152"/>
      <c r="J5" s="152"/>
      <c r="K5" s="2"/>
      <c r="L5" s="2"/>
      <c r="M5" s="160"/>
      <c r="N5" s="61">
        <v>2</v>
      </c>
      <c r="O5" s="61" t="s">
        <v>180</v>
      </c>
      <c r="P5" s="61">
        <v>4</v>
      </c>
      <c r="Q5" s="61" t="s">
        <v>24</v>
      </c>
      <c r="R5" s="61" t="s">
        <v>32</v>
      </c>
      <c r="S5" s="61" t="s">
        <v>7</v>
      </c>
      <c r="T5" s="403"/>
      <c r="U5" s="236" t="s">
        <v>178</v>
      </c>
      <c r="AA5" s="121" t="s">
        <v>24</v>
      </c>
      <c r="AB5" s="121"/>
      <c r="AC5" s="121"/>
      <c r="AD5" s="121"/>
      <c r="AE5" s="121">
        <f>SUM(AB5:AD5)</f>
        <v>0</v>
      </c>
    </row>
    <row r="6" spans="1:31" ht="37.5" customHeight="1">
      <c r="A6" s="157"/>
      <c r="B6" s="44"/>
      <c r="C6" s="349"/>
      <c r="D6" s="2"/>
      <c r="E6" s="508"/>
      <c r="F6" s="2"/>
      <c r="G6" s="2"/>
      <c r="H6" s="2"/>
      <c r="I6" s="152"/>
      <c r="J6" s="152"/>
      <c r="K6" s="2"/>
      <c r="L6" s="2"/>
      <c r="M6" s="160"/>
      <c r="N6" s="32">
        <v>3</v>
      </c>
      <c r="O6" s="32" t="s">
        <v>217</v>
      </c>
      <c r="P6" s="32">
        <v>1</v>
      </c>
      <c r="Q6" s="32" t="s">
        <v>218</v>
      </c>
      <c r="R6" s="32" t="s">
        <v>32</v>
      </c>
      <c r="S6" s="32"/>
      <c r="T6" s="101" t="s">
        <v>29</v>
      </c>
      <c r="U6" s="235" t="s">
        <v>29</v>
      </c>
      <c r="AA6" s="124" t="s">
        <v>171</v>
      </c>
      <c r="AB6" s="61"/>
      <c r="AC6" s="124"/>
      <c r="AD6" s="61"/>
      <c r="AE6" s="61">
        <f>+AB6+AC6+AD6</f>
        <v>0</v>
      </c>
    </row>
    <row r="7" spans="1:31" ht="38.25" customHeight="1">
      <c r="A7" s="157"/>
      <c r="B7" s="44"/>
      <c r="C7" s="349"/>
      <c r="D7" s="2"/>
      <c r="E7" s="508"/>
      <c r="F7" s="2"/>
      <c r="G7" s="2"/>
      <c r="H7" s="2"/>
      <c r="I7" s="152"/>
      <c r="J7" s="152"/>
      <c r="K7" s="2"/>
      <c r="L7" s="2"/>
      <c r="M7" s="160"/>
      <c r="N7" s="61"/>
      <c r="O7" s="61"/>
      <c r="P7" s="61"/>
      <c r="Q7" s="61"/>
      <c r="R7" s="61"/>
      <c r="S7" s="61"/>
      <c r="T7" s="403"/>
      <c r="U7" s="236"/>
      <c r="AA7" s="121" t="s">
        <v>21</v>
      </c>
      <c r="AB7" s="121">
        <f>AB5+AB6</f>
        <v>0</v>
      </c>
      <c r="AC7" s="121">
        <f>AC5+AC6</f>
        <v>0</v>
      </c>
      <c r="AD7" s="121">
        <f>AD5+AD6</f>
        <v>0</v>
      </c>
      <c r="AE7" s="121">
        <f>AE5+AE6</f>
        <v>0</v>
      </c>
    </row>
    <row r="8" spans="1:31" ht="34.5" customHeight="1">
      <c r="A8" s="157"/>
      <c r="B8" s="44"/>
      <c r="C8" s="349"/>
      <c r="D8" s="2"/>
      <c r="E8" s="508"/>
      <c r="F8" s="2"/>
      <c r="G8" s="2"/>
      <c r="H8" s="2"/>
      <c r="I8" s="152"/>
      <c r="J8" s="152"/>
      <c r="K8" s="2"/>
      <c r="L8" s="2"/>
      <c r="M8" s="160"/>
      <c r="N8" s="32"/>
      <c r="O8" s="32"/>
      <c r="P8" s="32"/>
      <c r="Q8" s="32"/>
      <c r="R8" s="32"/>
      <c r="S8" s="32"/>
      <c r="T8" s="101"/>
      <c r="U8" s="235"/>
      <c r="AB8" s="138" t="e">
        <f>+AB7/$AE$7</f>
        <v>#DIV/0!</v>
      </c>
      <c r="AC8" s="138" t="e">
        <f t="shared" ref="AC8:AD8" si="0">+AC7/$AE$7</f>
        <v>#DIV/0!</v>
      </c>
      <c r="AD8" s="138" t="e">
        <f t="shared" si="0"/>
        <v>#DIV/0!</v>
      </c>
    </row>
    <row r="9" spans="1:31" ht="34.5" customHeight="1">
      <c r="A9" s="157"/>
      <c r="B9" s="44"/>
      <c r="C9" s="349"/>
      <c r="D9" s="2"/>
      <c r="E9" s="508"/>
      <c r="F9" s="2"/>
      <c r="G9" s="2"/>
      <c r="H9" s="2"/>
      <c r="I9" s="152"/>
      <c r="J9" s="152"/>
      <c r="K9" s="2"/>
      <c r="L9" s="2"/>
      <c r="M9" s="160"/>
      <c r="N9" s="508"/>
      <c r="O9" s="508"/>
      <c r="P9" s="8"/>
      <c r="Q9" s="2"/>
      <c r="R9" s="508"/>
      <c r="S9" s="508"/>
      <c r="T9" s="2"/>
      <c r="U9" s="233"/>
    </row>
    <row r="10" spans="1:31" ht="26.25" customHeight="1">
      <c r="T10" s="404" t="s">
        <v>198</v>
      </c>
      <c r="U10" s="237">
        <v>23580</v>
      </c>
    </row>
    <row r="11" spans="1:31" ht="30" customHeight="1">
      <c r="A11" s="1011" t="s">
        <v>0</v>
      </c>
      <c r="B11" s="1013" t="s">
        <v>1</v>
      </c>
      <c r="C11" s="1015" t="s">
        <v>13</v>
      </c>
      <c r="D11" s="1013" t="s">
        <v>14</v>
      </c>
      <c r="E11" s="1013" t="s">
        <v>37</v>
      </c>
      <c r="F11" s="365" t="s">
        <v>9</v>
      </c>
      <c r="G11" s="366"/>
      <c r="H11" s="366"/>
      <c r="I11" s="366"/>
      <c r="J11" s="366"/>
      <c r="K11" s="366"/>
      <c r="L11" s="366"/>
      <c r="M11" s="367"/>
      <c r="N11" s="1017" t="s">
        <v>5</v>
      </c>
      <c r="O11" s="155" t="s">
        <v>205</v>
      </c>
      <c r="P11" s="1032" t="s">
        <v>10</v>
      </c>
      <c r="Q11" s="1033"/>
      <c r="R11" s="1034" t="s">
        <v>203</v>
      </c>
      <c r="S11" s="1013" t="s">
        <v>2</v>
      </c>
      <c r="T11" s="1019" t="s">
        <v>35</v>
      </c>
      <c r="U11" s="451" t="s">
        <v>190</v>
      </c>
      <c r="V11" s="1071" t="s">
        <v>184</v>
      </c>
      <c r="X11" s="1021" t="s">
        <v>206</v>
      </c>
    </row>
    <row r="12" spans="1:31" ht="23.25" customHeight="1">
      <c r="A12" s="1012"/>
      <c r="B12" s="1014"/>
      <c r="C12" s="1016"/>
      <c r="D12" s="1014"/>
      <c r="E12" s="1014"/>
      <c r="F12" s="151" t="s">
        <v>15</v>
      </c>
      <c r="G12" s="151" t="s">
        <v>16</v>
      </c>
      <c r="H12" s="151" t="s">
        <v>193</v>
      </c>
      <c r="I12" s="154" t="s">
        <v>195</v>
      </c>
      <c r="J12" s="268" t="s">
        <v>194</v>
      </c>
      <c r="K12" s="151" t="s">
        <v>195</v>
      </c>
      <c r="L12" s="151" t="s">
        <v>21</v>
      </c>
      <c r="M12" s="161" t="s">
        <v>34</v>
      </c>
      <c r="N12" s="1018"/>
      <c r="O12" s="158"/>
      <c r="P12" s="509" t="s">
        <v>17</v>
      </c>
      <c r="Q12" s="510" t="s">
        <v>3</v>
      </c>
      <c r="R12" s="1013"/>
      <c r="S12" s="1014"/>
      <c r="T12" s="1020"/>
      <c r="U12" s="452"/>
      <c r="V12" s="1013"/>
      <c r="X12" s="1022"/>
    </row>
    <row r="13" spans="1:31" s="9" customFormat="1" ht="15.75">
      <c r="A13" s="338">
        <v>37</v>
      </c>
      <c r="B13" s="296" t="s">
        <v>462</v>
      </c>
      <c r="C13" s="351">
        <v>44012</v>
      </c>
      <c r="D13" s="297" t="s">
        <v>24</v>
      </c>
      <c r="E13" s="369" t="s">
        <v>463</v>
      </c>
      <c r="F13" s="19" t="s">
        <v>317</v>
      </c>
      <c r="G13" s="19" t="s">
        <v>246</v>
      </c>
      <c r="H13" s="279">
        <v>10</v>
      </c>
      <c r="I13" s="175" t="s">
        <v>207</v>
      </c>
      <c r="J13" s="318">
        <v>2.5</v>
      </c>
      <c r="K13" s="185" t="s">
        <v>197</v>
      </c>
      <c r="L13" s="165">
        <f>J13*H13</f>
        <v>25</v>
      </c>
      <c r="M13" s="1072">
        <v>30</v>
      </c>
      <c r="N13" s="351">
        <v>44012</v>
      </c>
      <c r="O13" s="197" t="s">
        <v>219</v>
      </c>
      <c r="P13" s="176"/>
      <c r="Q13" s="19"/>
      <c r="R13" s="197" t="s">
        <v>4</v>
      </c>
      <c r="S13" s="341"/>
      <c r="T13" s="341" t="s">
        <v>178</v>
      </c>
      <c r="U13" s="1048">
        <v>6644283.0999999996</v>
      </c>
      <c r="V13" s="341"/>
      <c r="W13"/>
      <c r="X13" s="239">
        <f>L13/1000</f>
        <v>2.5000000000000001E-2</v>
      </c>
      <c r="Y13"/>
      <c r="Z13"/>
      <c r="AA13"/>
      <c r="AB13"/>
      <c r="AC13"/>
      <c r="AD13"/>
      <c r="AE13"/>
    </row>
    <row r="14" spans="1:31" s="9" customFormat="1" ht="15.75">
      <c r="A14" s="339">
        <v>37</v>
      </c>
      <c r="B14" s="211" t="s">
        <v>462</v>
      </c>
      <c r="C14" s="352">
        <v>44012</v>
      </c>
      <c r="D14" s="295" t="s">
        <v>24</v>
      </c>
      <c r="E14" s="370" t="s">
        <v>463</v>
      </c>
      <c r="F14" s="21" t="s">
        <v>464</v>
      </c>
      <c r="G14" s="21" t="s">
        <v>156</v>
      </c>
      <c r="H14" s="207">
        <v>14</v>
      </c>
      <c r="I14" s="177" t="s">
        <v>207</v>
      </c>
      <c r="J14" s="320">
        <v>3</v>
      </c>
      <c r="K14" s="189" t="s">
        <v>197</v>
      </c>
      <c r="L14" s="167">
        <f t="shared" ref="L14:L77" si="1">J14*H14</f>
        <v>42</v>
      </c>
      <c r="M14" s="1073"/>
      <c r="N14" s="352">
        <v>44012</v>
      </c>
      <c r="O14" s="198" t="s">
        <v>219</v>
      </c>
      <c r="P14" s="178"/>
      <c r="Q14" s="21"/>
      <c r="R14" s="198" t="s">
        <v>4</v>
      </c>
      <c r="S14" s="342"/>
      <c r="T14" s="342" t="s">
        <v>178</v>
      </c>
      <c r="U14" s="1050"/>
      <c r="V14" s="342"/>
      <c r="W14"/>
      <c r="X14" s="239">
        <f t="shared" ref="X14:X77" si="2">L14/1000</f>
        <v>4.2000000000000003E-2</v>
      </c>
      <c r="Y14"/>
      <c r="Z14"/>
      <c r="AA14"/>
      <c r="AB14"/>
      <c r="AC14"/>
      <c r="AD14"/>
      <c r="AE14"/>
    </row>
    <row r="15" spans="1:31" s="9" customFormat="1" ht="15.75">
      <c r="A15" s="339">
        <v>37</v>
      </c>
      <c r="B15" s="211" t="s">
        <v>462</v>
      </c>
      <c r="C15" s="352">
        <v>44012</v>
      </c>
      <c r="D15" s="295" t="s">
        <v>24</v>
      </c>
      <c r="E15" s="370" t="s">
        <v>463</v>
      </c>
      <c r="F15" s="21" t="s">
        <v>464</v>
      </c>
      <c r="G15" s="21" t="s">
        <v>156</v>
      </c>
      <c r="H15" s="207">
        <v>12</v>
      </c>
      <c r="I15" s="177" t="s">
        <v>207</v>
      </c>
      <c r="J15" s="320">
        <v>3</v>
      </c>
      <c r="K15" s="189" t="s">
        <v>197</v>
      </c>
      <c r="L15" s="167">
        <f t="shared" si="1"/>
        <v>36</v>
      </c>
      <c r="M15" s="1073"/>
      <c r="N15" s="352">
        <v>44012</v>
      </c>
      <c r="O15" s="198" t="s">
        <v>219</v>
      </c>
      <c r="P15" s="178"/>
      <c r="Q15" s="21"/>
      <c r="R15" s="198" t="s">
        <v>4</v>
      </c>
      <c r="S15" s="342"/>
      <c r="T15" s="342" t="s">
        <v>178</v>
      </c>
      <c r="U15" s="1050"/>
      <c r="V15" s="342"/>
      <c r="W15"/>
      <c r="X15" s="239">
        <f t="shared" si="2"/>
        <v>3.5999999999999997E-2</v>
      </c>
      <c r="Y15"/>
      <c r="Z15"/>
      <c r="AA15"/>
      <c r="AB15"/>
      <c r="AC15"/>
      <c r="AD15"/>
      <c r="AE15"/>
    </row>
    <row r="16" spans="1:31" s="9" customFormat="1" ht="15.75">
      <c r="A16" s="339">
        <v>37</v>
      </c>
      <c r="B16" s="211" t="s">
        <v>462</v>
      </c>
      <c r="C16" s="352">
        <v>44012</v>
      </c>
      <c r="D16" s="295" t="s">
        <v>24</v>
      </c>
      <c r="E16" s="370" t="s">
        <v>463</v>
      </c>
      <c r="F16" s="21" t="s">
        <v>465</v>
      </c>
      <c r="G16" s="21" t="s">
        <v>449</v>
      </c>
      <c r="H16" s="207">
        <v>1</v>
      </c>
      <c r="I16" s="177" t="s">
        <v>207</v>
      </c>
      <c r="J16" s="320">
        <v>5</v>
      </c>
      <c r="K16" s="189" t="s">
        <v>197</v>
      </c>
      <c r="L16" s="167">
        <f t="shared" si="1"/>
        <v>5</v>
      </c>
      <c r="M16" s="1073"/>
      <c r="N16" s="352">
        <v>44012</v>
      </c>
      <c r="O16" s="198" t="s">
        <v>219</v>
      </c>
      <c r="P16" s="178"/>
      <c r="Q16" s="21"/>
      <c r="R16" s="198" t="s">
        <v>4</v>
      </c>
      <c r="S16" s="342"/>
      <c r="T16" s="342" t="s">
        <v>178</v>
      </c>
      <c r="U16" s="1050"/>
      <c r="V16" s="342"/>
      <c r="W16"/>
      <c r="X16" s="239">
        <f t="shared" si="2"/>
        <v>5.0000000000000001E-3</v>
      </c>
      <c r="Y16"/>
      <c r="Z16"/>
      <c r="AA16"/>
      <c r="AB16"/>
      <c r="AC16"/>
      <c r="AD16"/>
      <c r="AE16"/>
    </row>
    <row r="17" spans="1:31" s="9" customFormat="1" ht="15.75">
      <c r="A17" s="339">
        <v>37</v>
      </c>
      <c r="B17" s="211" t="s">
        <v>462</v>
      </c>
      <c r="C17" s="352">
        <v>44012</v>
      </c>
      <c r="D17" s="295" t="s">
        <v>24</v>
      </c>
      <c r="E17" s="370" t="s">
        <v>463</v>
      </c>
      <c r="F17" s="21" t="s">
        <v>466</v>
      </c>
      <c r="G17" s="21" t="s">
        <v>249</v>
      </c>
      <c r="H17" s="207">
        <v>5</v>
      </c>
      <c r="I17" s="177" t="s">
        <v>207</v>
      </c>
      <c r="J17" s="320">
        <v>7</v>
      </c>
      <c r="K17" s="189" t="s">
        <v>197</v>
      </c>
      <c r="L17" s="167">
        <f t="shared" si="1"/>
        <v>35</v>
      </c>
      <c r="M17" s="1073"/>
      <c r="N17" s="352">
        <v>44012</v>
      </c>
      <c r="O17" s="198" t="s">
        <v>219</v>
      </c>
      <c r="P17" s="178"/>
      <c r="Q17" s="21"/>
      <c r="R17" s="198" t="s">
        <v>4</v>
      </c>
      <c r="S17" s="342"/>
      <c r="T17" s="342" t="s">
        <v>178</v>
      </c>
      <c r="U17" s="1050"/>
      <c r="V17" s="342"/>
      <c r="W17"/>
      <c r="X17" s="239">
        <f t="shared" si="2"/>
        <v>3.5000000000000003E-2</v>
      </c>
      <c r="Y17"/>
      <c r="Z17"/>
      <c r="AA17"/>
      <c r="AB17"/>
      <c r="AC17"/>
      <c r="AD17"/>
      <c r="AE17"/>
    </row>
    <row r="18" spans="1:31" s="9" customFormat="1" ht="15.75">
      <c r="A18" s="339">
        <v>37</v>
      </c>
      <c r="B18" s="211" t="s">
        <v>462</v>
      </c>
      <c r="C18" s="352">
        <v>44012</v>
      </c>
      <c r="D18" s="295" t="s">
        <v>24</v>
      </c>
      <c r="E18" s="370" t="s">
        <v>463</v>
      </c>
      <c r="F18" s="21" t="s">
        <v>467</v>
      </c>
      <c r="G18" s="21" t="s">
        <v>213</v>
      </c>
      <c r="H18" s="207">
        <v>2</v>
      </c>
      <c r="I18" s="177" t="s">
        <v>207</v>
      </c>
      <c r="J18" s="320">
        <v>11</v>
      </c>
      <c r="K18" s="189" t="s">
        <v>197</v>
      </c>
      <c r="L18" s="167">
        <f t="shared" si="1"/>
        <v>22</v>
      </c>
      <c r="M18" s="1073"/>
      <c r="N18" s="352">
        <v>44012</v>
      </c>
      <c r="O18" s="198" t="s">
        <v>219</v>
      </c>
      <c r="P18" s="178"/>
      <c r="Q18" s="21"/>
      <c r="R18" s="198" t="s">
        <v>4</v>
      </c>
      <c r="S18" s="342"/>
      <c r="T18" s="342" t="s">
        <v>178</v>
      </c>
      <c r="U18" s="1050"/>
      <c r="V18" s="342"/>
      <c r="W18"/>
      <c r="X18" s="239">
        <f t="shared" si="2"/>
        <v>2.1999999999999999E-2</v>
      </c>
      <c r="Y18"/>
      <c r="Z18"/>
      <c r="AA18"/>
      <c r="AB18"/>
      <c r="AC18"/>
      <c r="AD18"/>
      <c r="AE18"/>
    </row>
    <row r="19" spans="1:31" s="9" customFormat="1" ht="15.75">
      <c r="A19" s="340">
        <v>37</v>
      </c>
      <c r="B19" s="214" t="s">
        <v>462</v>
      </c>
      <c r="C19" s="353">
        <v>44012</v>
      </c>
      <c r="D19" s="309" t="s">
        <v>24</v>
      </c>
      <c r="E19" s="371" t="s">
        <v>463</v>
      </c>
      <c r="F19" s="22" t="s">
        <v>347</v>
      </c>
      <c r="G19" s="22" t="s">
        <v>351</v>
      </c>
      <c r="H19" s="209">
        <v>1</v>
      </c>
      <c r="I19" s="179" t="s">
        <v>207</v>
      </c>
      <c r="J19" s="321">
        <v>15</v>
      </c>
      <c r="K19" s="195" t="s">
        <v>197</v>
      </c>
      <c r="L19" s="170">
        <f t="shared" si="1"/>
        <v>15</v>
      </c>
      <c r="M19" s="1074"/>
      <c r="N19" s="353">
        <v>44012</v>
      </c>
      <c r="O19" s="201" t="s">
        <v>219</v>
      </c>
      <c r="P19" s="180"/>
      <c r="Q19" s="22"/>
      <c r="R19" s="201" t="s">
        <v>4</v>
      </c>
      <c r="S19" s="181"/>
      <c r="T19" s="181" t="s">
        <v>178</v>
      </c>
      <c r="U19" s="1049"/>
      <c r="V19" s="181"/>
      <c r="W19"/>
      <c r="X19" s="239">
        <f t="shared" si="2"/>
        <v>1.4999999999999999E-2</v>
      </c>
      <c r="Y19"/>
      <c r="Z19"/>
      <c r="AA19"/>
      <c r="AB19"/>
      <c r="AC19"/>
      <c r="AD19"/>
      <c r="AE19"/>
    </row>
    <row r="20" spans="1:31" s="9" customFormat="1" ht="15.75">
      <c r="A20" s="338">
        <v>39</v>
      </c>
      <c r="B20" s="296" t="s">
        <v>468</v>
      </c>
      <c r="C20" s="351">
        <v>44014</v>
      </c>
      <c r="D20" s="297" t="s">
        <v>24</v>
      </c>
      <c r="E20" s="369" t="s">
        <v>469</v>
      </c>
      <c r="F20" s="19" t="s">
        <v>470</v>
      </c>
      <c r="G20" s="19" t="s">
        <v>290</v>
      </c>
      <c r="H20" s="279">
        <v>1</v>
      </c>
      <c r="I20" s="175" t="s">
        <v>207</v>
      </c>
      <c r="J20" s="318">
        <v>5</v>
      </c>
      <c r="K20" s="185" t="s">
        <v>197</v>
      </c>
      <c r="L20" s="165">
        <f t="shared" si="1"/>
        <v>5</v>
      </c>
      <c r="M20" s="1072">
        <v>50.5</v>
      </c>
      <c r="N20" s="351">
        <v>44015</v>
      </c>
      <c r="O20" s="197" t="s">
        <v>219</v>
      </c>
      <c r="P20" s="52" t="s">
        <v>482</v>
      </c>
      <c r="Q20" s="19" t="s">
        <v>20</v>
      </c>
      <c r="R20" s="197" t="s">
        <v>4</v>
      </c>
      <c r="S20" s="341" t="s">
        <v>19</v>
      </c>
      <c r="T20" s="512" t="s">
        <v>178</v>
      </c>
      <c r="U20" s="1048">
        <v>9552567.6999999993</v>
      </c>
      <c r="V20" s="341"/>
      <c r="W20"/>
      <c r="X20" s="239">
        <f t="shared" si="2"/>
        <v>5.0000000000000001E-3</v>
      </c>
      <c r="Y20"/>
      <c r="Z20"/>
      <c r="AA20"/>
      <c r="AB20"/>
      <c r="AC20"/>
      <c r="AD20"/>
      <c r="AE20"/>
    </row>
    <row r="21" spans="1:31" s="9" customFormat="1" ht="15.75">
      <c r="A21" s="339">
        <v>39</v>
      </c>
      <c r="B21" s="211" t="s">
        <v>468</v>
      </c>
      <c r="C21" s="352">
        <v>44014</v>
      </c>
      <c r="D21" s="295" t="s">
        <v>24</v>
      </c>
      <c r="E21" s="370" t="s">
        <v>469</v>
      </c>
      <c r="F21" s="21" t="s">
        <v>471</v>
      </c>
      <c r="G21" s="21" t="s">
        <v>290</v>
      </c>
      <c r="H21" s="207">
        <v>1</v>
      </c>
      <c r="I21" s="177" t="s">
        <v>207</v>
      </c>
      <c r="J21" s="320">
        <v>7</v>
      </c>
      <c r="K21" s="189" t="s">
        <v>197</v>
      </c>
      <c r="L21" s="167">
        <f t="shared" si="1"/>
        <v>7</v>
      </c>
      <c r="M21" s="1073"/>
      <c r="N21" s="352">
        <v>44015</v>
      </c>
      <c r="O21" s="198" t="s">
        <v>219</v>
      </c>
      <c r="P21" s="53" t="s">
        <v>482</v>
      </c>
      <c r="Q21" s="21" t="s">
        <v>20</v>
      </c>
      <c r="R21" s="198" t="s">
        <v>4</v>
      </c>
      <c r="S21" s="342" t="s">
        <v>19</v>
      </c>
      <c r="T21" s="513" t="s">
        <v>178</v>
      </c>
      <c r="U21" s="1050"/>
      <c r="V21" s="342"/>
      <c r="W21"/>
      <c r="X21" s="239">
        <f t="shared" si="2"/>
        <v>7.0000000000000001E-3</v>
      </c>
      <c r="Y21"/>
      <c r="Z21"/>
      <c r="AA21"/>
      <c r="AB21"/>
      <c r="AC21"/>
      <c r="AD21"/>
      <c r="AE21"/>
    </row>
    <row r="22" spans="1:31" s="327" customFormat="1" ht="15.75">
      <c r="A22" s="339">
        <v>39</v>
      </c>
      <c r="B22" s="211" t="s">
        <v>468</v>
      </c>
      <c r="C22" s="352">
        <v>44014</v>
      </c>
      <c r="D22" s="295" t="s">
        <v>24</v>
      </c>
      <c r="E22" s="370" t="s">
        <v>469</v>
      </c>
      <c r="F22" s="21" t="s">
        <v>472</v>
      </c>
      <c r="G22" s="21" t="s">
        <v>290</v>
      </c>
      <c r="H22" s="207">
        <v>1</v>
      </c>
      <c r="I22" s="177" t="s">
        <v>207</v>
      </c>
      <c r="J22" s="320">
        <v>5</v>
      </c>
      <c r="K22" s="189" t="s">
        <v>197</v>
      </c>
      <c r="L22" s="167">
        <f t="shared" si="1"/>
        <v>5</v>
      </c>
      <c r="M22" s="1073"/>
      <c r="N22" s="352">
        <v>44015</v>
      </c>
      <c r="O22" s="198" t="s">
        <v>219</v>
      </c>
      <c r="P22" s="53" t="s">
        <v>482</v>
      </c>
      <c r="Q22" s="21" t="s">
        <v>20</v>
      </c>
      <c r="R22" s="198" t="s">
        <v>4</v>
      </c>
      <c r="S22" s="342" t="s">
        <v>19</v>
      </c>
      <c r="T22" s="513" t="s">
        <v>178</v>
      </c>
      <c r="U22" s="1050"/>
      <c r="V22" s="342"/>
      <c r="W22" s="230"/>
      <c r="X22" s="239">
        <f t="shared" si="2"/>
        <v>5.0000000000000001E-3</v>
      </c>
      <c r="Y22" s="230"/>
      <c r="Z22" s="230"/>
      <c r="AA22" s="230"/>
      <c r="AB22" s="230"/>
      <c r="AC22" s="230"/>
      <c r="AD22" s="230"/>
      <c r="AE22" s="230"/>
    </row>
    <row r="23" spans="1:31" s="327" customFormat="1" ht="15.75">
      <c r="A23" s="339">
        <v>39</v>
      </c>
      <c r="B23" s="211" t="s">
        <v>468</v>
      </c>
      <c r="C23" s="352">
        <v>44014</v>
      </c>
      <c r="D23" s="295" t="s">
        <v>24</v>
      </c>
      <c r="E23" s="370" t="s">
        <v>469</v>
      </c>
      <c r="F23" s="21" t="s">
        <v>473</v>
      </c>
      <c r="G23" s="21" t="s">
        <v>290</v>
      </c>
      <c r="H23" s="207">
        <v>1</v>
      </c>
      <c r="I23" s="177" t="s">
        <v>207</v>
      </c>
      <c r="J23" s="320">
        <v>3</v>
      </c>
      <c r="K23" s="189" t="s">
        <v>197</v>
      </c>
      <c r="L23" s="167">
        <f t="shared" si="1"/>
        <v>3</v>
      </c>
      <c r="M23" s="1073"/>
      <c r="N23" s="352">
        <v>44015</v>
      </c>
      <c r="O23" s="198" t="s">
        <v>219</v>
      </c>
      <c r="P23" s="53" t="s">
        <v>482</v>
      </c>
      <c r="Q23" s="21" t="s">
        <v>20</v>
      </c>
      <c r="R23" s="198" t="s">
        <v>4</v>
      </c>
      <c r="S23" s="342" t="s">
        <v>19</v>
      </c>
      <c r="T23" s="513" t="s">
        <v>178</v>
      </c>
      <c r="U23" s="1050"/>
      <c r="V23" s="342"/>
      <c r="W23" s="230"/>
      <c r="X23" s="239">
        <f t="shared" si="2"/>
        <v>3.0000000000000001E-3</v>
      </c>
      <c r="Y23" s="230"/>
      <c r="Z23" s="230"/>
      <c r="AA23" s="230"/>
      <c r="AB23" s="230"/>
      <c r="AC23" s="230"/>
      <c r="AD23" s="230"/>
      <c r="AE23" s="230"/>
    </row>
    <row r="24" spans="1:31" s="327" customFormat="1" ht="15.75">
      <c r="A24" s="339">
        <v>39</v>
      </c>
      <c r="B24" s="211" t="s">
        <v>468</v>
      </c>
      <c r="C24" s="352">
        <v>44014</v>
      </c>
      <c r="D24" s="295" t="s">
        <v>24</v>
      </c>
      <c r="E24" s="370" t="s">
        <v>469</v>
      </c>
      <c r="F24" s="21" t="s">
        <v>474</v>
      </c>
      <c r="G24" s="21" t="s">
        <v>290</v>
      </c>
      <c r="H24" s="207">
        <v>1</v>
      </c>
      <c r="I24" s="177" t="s">
        <v>207</v>
      </c>
      <c r="J24" s="320">
        <v>7</v>
      </c>
      <c r="K24" s="189" t="s">
        <v>197</v>
      </c>
      <c r="L24" s="167">
        <f t="shared" si="1"/>
        <v>7</v>
      </c>
      <c r="M24" s="1073"/>
      <c r="N24" s="352">
        <v>44015</v>
      </c>
      <c r="O24" s="198" t="s">
        <v>219</v>
      </c>
      <c r="P24" s="53" t="s">
        <v>482</v>
      </c>
      <c r="Q24" s="21" t="s">
        <v>20</v>
      </c>
      <c r="R24" s="198" t="s">
        <v>4</v>
      </c>
      <c r="S24" s="342" t="s">
        <v>19</v>
      </c>
      <c r="T24" s="513" t="s">
        <v>178</v>
      </c>
      <c r="U24" s="1050"/>
      <c r="V24" s="342"/>
      <c r="W24" s="230"/>
      <c r="X24" s="239">
        <f t="shared" si="2"/>
        <v>7.0000000000000001E-3</v>
      </c>
      <c r="Y24" s="230"/>
      <c r="Z24" s="230"/>
      <c r="AA24" s="230"/>
      <c r="AB24" s="230"/>
      <c r="AC24" s="230"/>
      <c r="AD24" s="230"/>
      <c r="AE24" s="230"/>
    </row>
    <row r="25" spans="1:31" s="327" customFormat="1" ht="15.75">
      <c r="A25" s="339">
        <v>39</v>
      </c>
      <c r="B25" s="211" t="s">
        <v>468</v>
      </c>
      <c r="C25" s="352">
        <v>44014</v>
      </c>
      <c r="D25" s="295" t="s">
        <v>24</v>
      </c>
      <c r="E25" s="370" t="s">
        <v>469</v>
      </c>
      <c r="F25" s="21" t="s">
        <v>475</v>
      </c>
      <c r="G25" s="21" t="s">
        <v>290</v>
      </c>
      <c r="H25" s="207">
        <v>1</v>
      </c>
      <c r="I25" s="177" t="s">
        <v>207</v>
      </c>
      <c r="J25" s="320">
        <v>7</v>
      </c>
      <c r="K25" s="189" t="s">
        <v>197</v>
      </c>
      <c r="L25" s="167">
        <f t="shared" si="1"/>
        <v>7</v>
      </c>
      <c r="M25" s="1073"/>
      <c r="N25" s="352">
        <v>44015</v>
      </c>
      <c r="O25" s="198" t="s">
        <v>219</v>
      </c>
      <c r="P25" s="53" t="s">
        <v>482</v>
      </c>
      <c r="Q25" s="21" t="s">
        <v>20</v>
      </c>
      <c r="R25" s="198" t="s">
        <v>4</v>
      </c>
      <c r="S25" s="342" t="s">
        <v>19</v>
      </c>
      <c r="T25" s="513" t="s">
        <v>178</v>
      </c>
      <c r="U25" s="1050"/>
      <c r="V25" s="342"/>
      <c r="W25" s="230"/>
      <c r="X25" s="239">
        <f t="shared" si="2"/>
        <v>7.0000000000000001E-3</v>
      </c>
      <c r="Y25" s="230"/>
      <c r="Z25" s="230"/>
      <c r="AA25" s="230"/>
      <c r="AB25" s="230"/>
      <c r="AC25" s="230"/>
      <c r="AD25" s="230"/>
      <c r="AE25" s="230"/>
    </row>
    <row r="26" spans="1:31" s="327" customFormat="1" ht="15.75">
      <c r="A26" s="339">
        <v>39</v>
      </c>
      <c r="B26" s="211" t="s">
        <v>468</v>
      </c>
      <c r="C26" s="352">
        <v>44014</v>
      </c>
      <c r="D26" s="295" t="s">
        <v>24</v>
      </c>
      <c r="E26" s="370" t="s">
        <v>469</v>
      </c>
      <c r="F26" s="21" t="s">
        <v>347</v>
      </c>
      <c r="G26" s="21" t="s">
        <v>351</v>
      </c>
      <c r="H26" s="207">
        <v>1</v>
      </c>
      <c r="I26" s="177" t="s">
        <v>207</v>
      </c>
      <c r="J26" s="320">
        <v>15</v>
      </c>
      <c r="K26" s="189" t="s">
        <v>197</v>
      </c>
      <c r="L26" s="167">
        <f t="shared" si="1"/>
        <v>15</v>
      </c>
      <c r="M26" s="1073"/>
      <c r="N26" s="352">
        <v>44015</v>
      </c>
      <c r="O26" s="198" t="s">
        <v>219</v>
      </c>
      <c r="P26" s="53" t="s">
        <v>482</v>
      </c>
      <c r="Q26" s="21" t="s">
        <v>20</v>
      </c>
      <c r="R26" s="198" t="s">
        <v>4</v>
      </c>
      <c r="S26" s="342" t="s">
        <v>19</v>
      </c>
      <c r="T26" s="513" t="s">
        <v>178</v>
      </c>
      <c r="U26" s="1050"/>
      <c r="V26" s="342"/>
      <c r="W26" s="230"/>
      <c r="X26" s="239">
        <f t="shared" si="2"/>
        <v>1.4999999999999999E-2</v>
      </c>
      <c r="Y26" s="230"/>
      <c r="Z26" s="230"/>
      <c r="AA26" s="230"/>
      <c r="AB26" s="230"/>
      <c r="AC26" s="230"/>
      <c r="AD26" s="230"/>
      <c r="AE26" s="230"/>
    </row>
    <row r="27" spans="1:31" s="327" customFormat="1" ht="15.75">
      <c r="A27" s="339">
        <v>39</v>
      </c>
      <c r="B27" s="211" t="s">
        <v>468</v>
      </c>
      <c r="C27" s="352">
        <v>44014</v>
      </c>
      <c r="D27" s="295" t="s">
        <v>24</v>
      </c>
      <c r="E27" s="370" t="s">
        <v>469</v>
      </c>
      <c r="F27" s="21" t="s">
        <v>476</v>
      </c>
      <c r="G27" s="21" t="s">
        <v>416</v>
      </c>
      <c r="H27" s="207">
        <v>2</v>
      </c>
      <c r="I27" s="177" t="s">
        <v>207</v>
      </c>
      <c r="J27" s="320">
        <v>10</v>
      </c>
      <c r="K27" s="189" t="s">
        <v>197</v>
      </c>
      <c r="L27" s="167">
        <f t="shared" si="1"/>
        <v>20</v>
      </c>
      <c r="M27" s="1073"/>
      <c r="N27" s="352">
        <v>44015</v>
      </c>
      <c r="O27" s="198" t="s">
        <v>219</v>
      </c>
      <c r="P27" s="53" t="s">
        <v>482</v>
      </c>
      <c r="Q27" s="21" t="s">
        <v>20</v>
      </c>
      <c r="R27" s="198" t="s">
        <v>4</v>
      </c>
      <c r="S27" s="342" t="s">
        <v>19</v>
      </c>
      <c r="T27" s="513" t="s">
        <v>178</v>
      </c>
      <c r="U27" s="1050"/>
      <c r="V27" s="342"/>
      <c r="W27" s="230"/>
      <c r="X27" s="239">
        <f t="shared" si="2"/>
        <v>0.02</v>
      </c>
      <c r="Y27" s="230"/>
      <c r="Z27" s="230"/>
      <c r="AA27" s="230"/>
      <c r="AB27" s="230"/>
      <c r="AC27" s="230"/>
      <c r="AD27" s="230"/>
      <c r="AE27" s="230"/>
    </row>
    <row r="28" spans="1:31" s="327" customFormat="1" ht="15.75">
      <c r="A28" s="339">
        <v>39</v>
      </c>
      <c r="B28" s="211" t="s">
        <v>468</v>
      </c>
      <c r="C28" s="352">
        <v>44014</v>
      </c>
      <c r="D28" s="295" t="s">
        <v>24</v>
      </c>
      <c r="E28" s="370" t="s">
        <v>469</v>
      </c>
      <c r="F28" s="21" t="s">
        <v>477</v>
      </c>
      <c r="G28" s="21" t="s">
        <v>416</v>
      </c>
      <c r="H28" s="207">
        <v>1</v>
      </c>
      <c r="I28" s="177" t="s">
        <v>207</v>
      </c>
      <c r="J28" s="320">
        <v>5</v>
      </c>
      <c r="K28" s="189" t="s">
        <v>197</v>
      </c>
      <c r="L28" s="167">
        <f t="shared" si="1"/>
        <v>5</v>
      </c>
      <c r="M28" s="1073"/>
      <c r="N28" s="352">
        <v>44015</v>
      </c>
      <c r="O28" s="198" t="s">
        <v>219</v>
      </c>
      <c r="P28" s="53" t="s">
        <v>482</v>
      </c>
      <c r="Q28" s="21" t="s">
        <v>20</v>
      </c>
      <c r="R28" s="198" t="s">
        <v>4</v>
      </c>
      <c r="S28" s="342" t="s">
        <v>19</v>
      </c>
      <c r="T28" s="513" t="s">
        <v>178</v>
      </c>
      <c r="U28" s="1050"/>
      <c r="V28" s="342"/>
      <c r="W28" s="230"/>
      <c r="X28" s="239">
        <f t="shared" si="2"/>
        <v>5.0000000000000001E-3</v>
      </c>
      <c r="Y28" s="230"/>
      <c r="Z28" s="230"/>
      <c r="AA28" s="230"/>
      <c r="AB28" s="230"/>
      <c r="AC28" s="230"/>
      <c r="AD28" s="230"/>
      <c r="AE28" s="230"/>
    </row>
    <row r="29" spans="1:31" s="327" customFormat="1" ht="15.75">
      <c r="A29" s="339">
        <v>39</v>
      </c>
      <c r="B29" s="211" t="s">
        <v>468</v>
      </c>
      <c r="C29" s="352">
        <v>44014</v>
      </c>
      <c r="D29" s="295" t="s">
        <v>24</v>
      </c>
      <c r="E29" s="370" t="s">
        <v>469</v>
      </c>
      <c r="F29" s="21" t="s">
        <v>478</v>
      </c>
      <c r="G29" s="21" t="s">
        <v>416</v>
      </c>
      <c r="H29" s="207">
        <v>2</v>
      </c>
      <c r="I29" s="177" t="s">
        <v>207</v>
      </c>
      <c r="J29" s="320">
        <v>5.5</v>
      </c>
      <c r="K29" s="189" t="s">
        <v>197</v>
      </c>
      <c r="L29" s="167">
        <f t="shared" si="1"/>
        <v>11</v>
      </c>
      <c r="M29" s="1073"/>
      <c r="N29" s="352">
        <v>44015</v>
      </c>
      <c r="O29" s="198" t="s">
        <v>219</v>
      </c>
      <c r="P29" s="53" t="s">
        <v>482</v>
      </c>
      <c r="Q29" s="21" t="s">
        <v>20</v>
      </c>
      <c r="R29" s="198" t="s">
        <v>4</v>
      </c>
      <c r="S29" s="342" t="s">
        <v>19</v>
      </c>
      <c r="T29" s="513" t="s">
        <v>178</v>
      </c>
      <c r="U29" s="1050"/>
      <c r="V29" s="342"/>
      <c r="W29" s="230"/>
      <c r="X29" s="239">
        <f t="shared" si="2"/>
        <v>1.0999999999999999E-2</v>
      </c>
      <c r="Y29" s="230"/>
      <c r="Z29" s="230"/>
      <c r="AA29" s="230"/>
      <c r="AB29" s="230"/>
      <c r="AC29" s="230"/>
      <c r="AD29" s="230"/>
      <c r="AE29" s="230"/>
    </row>
    <row r="30" spans="1:31" s="327" customFormat="1" ht="15.75">
      <c r="A30" s="339">
        <v>39</v>
      </c>
      <c r="B30" s="211" t="s">
        <v>468</v>
      </c>
      <c r="C30" s="352">
        <v>44014</v>
      </c>
      <c r="D30" s="295" t="s">
        <v>24</v>
      </c>
      <c r="E30" s="370" t="s">
        <v>469</v>
      </c>
      <c r="F30" s="21" t="s">
        <v>415</v>
      </c>
      <c r="G30" s="21" t="s">
        <v>416</v>
      </c>
      <c r="H30" s="207">
        <v>6</v>
      </c>
      <c r="I30" s="177" t="s">
        <v>207</v>
      </c>
      <c r="J30" s="320">
        <v>7</v>
      </c>
      <c r="K30" s="189" t="s">
        <v>197</v>
      </c>
      <c r="L30" s="167">
        <f t="shared" si="1"/>
        <v>42</v>
      </c>
      <c r="M30" s="1073"/>
      <c r="N30" s="352">
        <v>44015</v>
      </c>
      <c r="O30" s="198" t="s">
        <v>219</v>
      </c>
      <c r="P30" s="53" t="s">
        <v>482</v>
      </c>
      <c r="Q30" s="21" t="s">
        <v>20</v>
      </c>
      <c r="R30" s="198" t="s">
        <v>4</v>
      </c>
      <c r="S30" s="342" t="s">
        <v>19</v>
      </c>
      <c r="T30" s="513" t="s">
        <v>178</v>
      </c>
      <c r="U30" s="1050"/>
      <c r="V30" s="342"/>
      <c r="W30" s="230"/>
      <c r="X30" s="239">
        <f t="shared" si="2"/>
        <v>4.2000000000000003E-2</v>
      </c>
      <c r="Y30" s="230"/>
      <c r="Z30" s="230"/>
      <c r="AA30" s="230"/>
      <c r="AB30" s="230"/>
      <c r="AC30" s="230"/>
      <c r="AD30" s="230"/>
      <c r="AE30" s="230"/>
    </row>
    <row r="31" spans="1:31" s="9" customFormat="1" ht="15.75">
      <c r="A31" s="339">
        <v>39</v>
      </c>
      <c r="B31" s="211" t="s">
        <v>468</v>
      </c>
      <c r="C31" s="352">
        <v>44014</v>
      </c>
      <c r="D31" s="295" t="s">
        <v>24</v>
      </c>
      <c r="E31" s="370" t="s">
        <v>469</v>
      </c>
      <c r="F31" s="21" t="s">
        <v>415</v>
      </c>
      <c r="G31" s="21" t="s">
        <v>416</v>
      </c>
      <c r="H31" s="207">
        <v>3</v>
      </c>
      <c r="I31" s="177" t="s">
        <v>207</v>
      </c>
      <c r="J31" s="320">
        <v>7</v>
      </c>
      <c r="K31" s="189" t="s">
        <v>197</v>
      </c>
      <c r="L31" s="167">
        <f t="shared" si="1"/>
        <v>21</v>
      </c>
      <c r="M31" s="1073"/>
      <c r="N31" s="352">
        <v>44015</v>
      </c>
      <c r="O31" s="198" t="s">
        <v>219</v>
      </c>
      <c r="P31" s="53" t="s">
        <v>482</v>
      </c>
      <c r="Q31" s="21" t="s">
        <v>20</v>
      </c>
      <c r="R31" s="198" t="s">
        <v>4</v>
      </c>
      <c r="S31" s="342" t="s">
        <v>19</v>
      </c>
      <c r="T31" s="513" t="s">
        <v>178</v>
      </c>
      <c r="U31" s="1050"/>
      <c r="V31" s="342"/>
      <c r="W31"/>
      <c r="X31" s="239">
        <f t="shared" si="2"/>
        <v>2.1000000000000001E-2</v>
      </c>
      <c r="Y31"/>
      <c r="Z31"/>
      <c r="AA31"/>
      <c r="AB31"/>
      <c r="AC31"/>
      <c r="AD31"/>
      <c r="AE31"/>
    </row>
    <row r="32" spans="1:31" s="9" customFormat="1" ht="15.75">
      <c r="A32" s="339">
        <v>39</v>
      </c>
      <c r="B32" s="211" t="s">
        <v>468</v>
      </c>
      <c r="C32" s="352">
        <v>44014</v>
      </c>
      <c r="D32" s="295" t="s">
        <v>24</v>
      </c>
      <c r="E32" s="370" t="s">
        <v>469</v>
      </c>
      <c r="F32" s="21" t="s">
        <v>479</v>
      </c>
      <c r="G32" s="21" t="s">
        <v>179</v>
      </c>
      <c r="H32" s="207">
        <v>1</v>
      </c>
      <c r="I32" s="177" t="s">
        <v>207</v>
      </c>
      <c r="J32" s="320">
        <v>2</v>
      </c>
      <c r="K32" s="189" t="s">
        <v>197</v>
      </c>
      <c r="L32" s="167">
        <f t="shared" si="1"/>
        <v>2</v>
      </c>
      <c r="M32" s="1073"/>
      <c r="N32" s="352">
        <v>44015</v>
      </c>
      <c r="O32" s="198" t="s">
        <v>219</v>
      </c>
      <c r="P32" s="53" t="s">
        <v>482</v>
      </c>
      <c r="Q32" s="21" t="s">
        <v>20</v>
      </c>
      <c r="R32" s="198" t="s">
        <v>4</v>
      </c>
      <c r="S32" s="342" t="s">
        <v>19</v>
      </c>
      <c r="T32" s="513" t="s">
        <v>178</v>
      </c>
      <c r="U32" s="1050"/>
      <c r="V32" s="342"/>
      <c r="W32"/>
      <c r="X32" s="239">
        <f t="shared" si="2"/>
        <v>2E-3</v>
      </c>
      <c r="Y32"/>
      <c r="Z32"/>
      <c r="AA32"/>
      <c r="AB32"/>
      <c r="AC32"/>
      <c r="AD32"/>
      <c r="AE32"/>
    </row>
    <row r="33" spans="1:31" s="9" customFormat="1" ht="15.75">
      <c r="A33" s="339">
        <v>39</v>
      </c>
      <c r="B33" s="211" t="s">
        <v>468</v>
      </c>
      <c r="C33" s="352">
        <v>44014</v>
      </c>
      <c r="D33" s="295" t="s">
        <v>24</v>
      </c>
      <c r="E33" s="370" t="s">
        <v>469</v>
      </c>
      <c r="F33" s="21" t="s">
        <v>480</v>
      </c>
      <c r="G33" s="21" t="s">
        <v>179</v>
      </c>
      <c r="H33" s="207">
        <v>2</v>
      </c>
      <c r="I33" s="177" t="s">
        <v>207</v>
      </c>
      <c r="J33" s="320">
        <v>2</v>
      </c>
      <c r="K33" s="189" t="s">
        <v>197</v>
      </c>
      <c r="L33" s="167">
        <f t="shared" si="1"/>
        <v>4</v>
      </c>
      <c r="M33" s="1073"/>
      <c r="N33" s="352">
        <v>44015</v>
      </c>
      <c r="O33" s="198" t="s">
        <v>219</v>
      </c>
      <c r="P33" s="53" t="s">
        <v>482</v>
      </c>
      <c r="Q33" s="21" t="s">
        <v>20</v>
      </c>
      <c r="R33" s="198" t="s">
        <v>4</v>
      </c>
      <c r="S33" s="342" t="s">
        <v>19</v>
      </c>
      <c r="T33" s="513" t="s">
        <v>178</v>
      </c>
      <c r="U33" s="1050"/>
      <c r="V33" s="342"/>
      <c r="W33"/>
      <c r="X33" s="239">
        <f t="shared" si="2"/>
        <v>4.0000000000000001E-3</v>
      </c>
      <c r="Y33"/>
      <c r="Z33"/>
      <c r="AA33"/>
      <c r="AB33"/>
      <c r="AC33"/>
      <c r="AD33"/>
      <c r="AE33"/>
    </row>
    <row r="34" spans="1:31" ht="15.75">
      <c r="A34" s="339">
        <v>39</v>
      </c>
      <c r="B34" s="211" t="s">
        <v>468</v>
      </c>
      <c r="C34" s="352">
        <v>44014</v>
      </c>
      <c r="D34" s="295" t="s">
        <v>24</v>
      </c>
      <c r="E34" s="370" t="s">
        <v>469</v>
      </c>
      <c r="F34" s="21" t="s">
        <v>481</v>
      </c>
      <c r="G34" s="21" t="s">
        <v>179</v>
      </c>
      <c r="H34" s="207">
        <v>4</v>
      </c>
      <c r="I34" s="177" t="s">
        <v>207</v>
      </c>
      <c r="J34" s="320">
        <v>2</v>
      </c>
      <c r="K34" s="189" t="s">
        <v>197</v>
      </c>
      <c r="L34" s="167">
        <f t="shared" si="1"/>
        <v>8</v>
      </c>
      <c r="M34" s="1073"/>
      <c r="N34" s="352">
        <v>44015</v>
      </c>
      <c r="O34" s="198" t="s">
        <v>219</v>
      </c>
      <c r="P34" s="53" t="s">
        <v>482</v>
      </c>
      <c r="Q34" s="21" t="s">
        <v>20</v>
      </c>
      <c r="R34" s="198" t="s">
        <v>4</v>
      </c>
      <c r="S34" s="342" t="s">
        <v>19</v>
      </c>
      <c r="T34" s="513" t="s">
        <v>178</v>
      </c>
      <c r="U34" s="1050"/>
      <c r="V34" s="1030">
        <v>260000</v>
      </c>
      <c r="X34" s="239">
        <f t="shared" si="2"/>
        <v>8.0000000000000002E-3</v>
      </c>
    </row>
    <row r="35" spans="1:31" ht="15.75">
      <c r="A35" s="340">
        <v>39</v>
      </c>
      <c r="B35" s="214" t="s">
        <v>468</v>
      </c>
      <c r="C35" s="353">
        <v>44014</v>
      </c>
      <c r="D35" s="309" t="s">
        <v>24</v>
      </c>
      <c r="E35" s="371" t="s">
        <v>469</v>
      </c>
      <c r="F35" s="22" t="s">
        <v>282</v>
      </c>
      <c r="G35" s="22" t="s">
        <v>180</v>
      </c>
      <c r="H35" s="209">
        <v>10</v>
      </c>
      <c r="I35" s="179" t="s">
        <v>207</v>
      </c>
      <c r="J35" s="321">
        <v>1</v>
      </c>
      <c r="K35" s="195" t="s">
        <v>197</v>
      </c>
      <c r="L35" s="170">
        <f t="shared" si="1"/>
        <v>10</v>
      </c>
      <c r="M35" s="1074"/>
      <c r="N35" s="353">
        <v>44015</v>
      </c>
      <c r="O35" s="201" t="s">
        <v>219</v>
      </c>
      <c r="P35" s="54" t="s">
        <v>482</v>
      </c>
      <c r="Q35" s="22" t="s">
        <v>20</v>
      </c>
      <c r="R35" s="201" t="s">
        <v>4</v>
      </c>
      <c r="S35" s="181" t="s">
        <v>19</v>
      </c>
      <c r="T35" s="514" t="s">
        <v>178</v>
      </c>
      <c r="U35" s="1049"/>
      <c r="V35" s="1031"/>
      <c r="X35" s="239">
        <f t="shared" si="2"/>
        <v>0.01</v>
      </c>
    </row>
    <row r="36" spans="1:31" ht="15.75">
      <c r="A36" s="338">
        <v>40</v>
      </c>
      <c r="B36" s="296" t="s">
        <v>483</v>
      </c>
      <c r="C36" s="351">
        <v>44019</v>
      </c>
      <c r="D36" s="297" t="s">
        <v>24</v>
      </c>
      <c r="E36" s="369" t="s">
        <v>484</v>
      </c>
      <c r="F36" s="19" t="s">
        <v>447</v>
      </c>
      <c r="G36" s="19" t="s">
        <v>213</v>
      </c>
      <c r="H36" s="279">
        <v>3</v>
      </c>
      <c r="I36" s="175" t="s">
        <v>207</v>
      </c>
      <c r="J36" s="318">
        <v>11</v>
      </c>
      <c r="K36" s="185" t="s">
        <v>197</v>
      </c>
      <c r="L36" s="165">
        <f t="shared" si="1"/>
        <v>33</v>
      </c>
      <c r="M36" s="1072">
        <v>5.0199999999999996</v>
      </c>
      <c r="N36" s="351">
        <v>44019</v>
      </c>
      <c r="O36" s="197" t="s">
        <v>219</v>
      </c>
      <c r="P36" s="176"/>
      <c r="Q36" s="19"/>
      <c r="R36" s="197" t="s">
        <v>4</v>
      </c>
      <c r="S36" s="341"/>
      <c r="T36" s="512" t="s">
        <v>178</v>
      </c>
      <c r="U36" s="1068">
        <v>1620057.4</v>
      </c>
      <c r="V36" s="341"/>
      <c r="X36" s="239">
        <f t="shared" si="2"/>
        <v>3.3000000000000002E-2</v>
      </c>
    </row>
    <row r="37" spans="1:31" ht="15.75">
      <c r="A37" s="340">
        <v>40</v>
      </c>
      <c r="B37" s="214" t="s">
        <v>483</v>
      </c>
      <c r="C37" s="353">
        <v>44019</v>
      </c>
      <c r="D37" s="309" t="s">
        <v>24</v>
      </c>
      <c r="E37" s="371" t="s">
        <v>484</v>
      </c>
      <c r="F37" s="22" t="s">
        <v>485</v>
      </c>
      <c r="G37" s="22" t="s">
        <v>486</v>
      </c>
      <c r="H37" s="209">
        <v>1</v>
      </c>
      <c r="I37" s="179" t="s">
        <v>207</v>
      </c>
      <c r="J37" s="321">
        <v>2</v>
      </c>
      <c r="K37" s="195" t="s">
        <v>197</v>
      </c>
      <c r="L37" s="170">
        <f t="shared" si="1"/>
        <v>2</v>
      </c>
      <c r="M37" s="1074"/>
      <c r="N37" s="353">
        <v>44019</v>
      </c>
      <c r="O37" s="201" t="s">
        <v>219</v>
      </c>
      <c r="P37" s="180"/>
      <c r="Q37" s="22"/>
      <c r="R37" s="201" t="s">
        <v>4</v>
      </c>
      <c r="S37" s="181"/>
      <c r="T37" s="514" t="s">
        <v>178</v>
      </c>
      <c r="U37" s="1070"/>
      <c r="V37" s="181"/>
      <c r="X37" s="239">
        <f t="shared" si="2"/>
        <v>2E-3</v>
      </c>
    </row>
    <row r="38" spans="1:31" ht="15.75">
      <c r="A38" s="338">
        <v>41</v>
      </c>
      <c r="B38" s="296" t="s">
        <v>487</v>
      </c>
      <c r="C38" s="351">
        <v>44021</v>
      </c>
      <c r="D38" s="297" t="s">
        <v>24</v>
      </c>
      <c r="E38" s="369" t="s">
        <v>499</v>
      </c>
      <c r="F38" s="19" t="s">
        <v>488</v>
      </c>
      <c r="G38" s="19" t="s">
        <v>204</v>
      </c>
      <c r="H38" s="279">
        <v>7</v>
      </c>
      <c r="I38" s="175" t="s">
        <v>207</v>
      </c>
      <c r="J38" s="318">
        <v>10</v>
      </c>
      <c r="K38" s="185" t="s">
        <v>197</v>
      </c>
      <c r="L38" s="165">
        <f t="shared" si="1"/>
        <v>70</v>
      </c>
      <c r="M38" s="1072">
        <v>102.5</v>
      </c>
      <c r="N38" s="351">
        <v>44022</v>
      </c>
      <c r="O38" s="197" t="s">
        <v>219</v>
      </c>
      <c r="P38" s="52" t="s">
        <v>500</v>
      </c>
      <c r="Q38" s="19" t="s">
        <v>20</v>
      </c>
      <c r="R38" s="197" t="s">
        <v>4</v>
      </c>
      <c r="S38" s="341" t="s">
        <v>19</v>
      </c>
      <c r="T38" s="197" t="s">
        <v>178</v>
      </c>
      <c r="U38" s="1048">
        <v>15419865.5</v>
      </c>
      <c r="V38" s="1029">
        <v>260000</v>
      </c>
      <c r="X38" s="239">
        <f t="shared" si="2"/>
        <v>7.0000000000000007E-2</v>
      </c>
    </row>
    <row r="39" spans="1:31" ht="15.75">
      <c r="A39" s="339">
        <v>41</v>
      </c>
      <c r="B39" s="211" t="s">
        <v>487</v>
      </c>
      <c r="C39" s="352">
        <v>44021</v>
      </c>
      <c r="D39" s="295" t="s">
        <v>24</v>
      </c>
      <c r="E39" s="370" t="s">
        <v>499</v>
      </c>
      <c r="F39" s="21" t="s">
        <v>489</v>
      </c>
      <c r="G39" s="21" t="s">
        <v>490</v>
      </c>
      <c r="H39" s="207">
        <v>9</v>
      </c>
      <c r="I39" s="177" t="s">
        <v>207</v>
      </c>
      <c r="J39" s="320">
        <v>3</v>
      </c>
      <c r="K39" s="189" t="s">
        <v>197</v>
      </c>
      <c r="L39" s="167">
        <f t="shared" si="1"/>
        <v>27</v>
      </c>
      <c r="M39" s="1073"/>
      <c r="N39" s="352">
        <v>44022</v>
      </c>
      <c r="O39" s="198" t="s">
        <v>219</v>
      </c>
      <c r="P39" s="53" t="s">
        <v>500</v>
      </c>
      <c r="Q39" s="21" t="s">
        <v>20</v>
      </c>
      <c r="R39" s="198" t="s">
        <v>4</v>
      </c>
      <c r="S39" s="342" t="s">
        <v>19</v>
      </c>
      <c r="T39" s="198" t="s">
        <v>178</v>
      </c>
      <c r="U39" s="1050"/>
      <c r="V39" s="1030"/>
      <c r="X39" s="239">
        <f t="shared" si="2"/>
        <v>2.7E-2</v>
      </c>
    </row>
    <row r="40" spans="1:31" ht="15.75">
      <c r="A40" s="339">
        <v>41</v>
      </c>
      <c r="B40" s="211" t="s">
        <v>487</v>
      </c>
      <c r="C40" s="352">
        <v>44021</v>
      </c>
      <c r="D40" s="295" t="s">
        <v>24</v>
      </c>
      <c r="E40" s="370" t="s">
        <v>499</v>
      </c>
      <c r="F40" s="21" t="s">
        <v>491</v>
      </c>
      <c r="G40" s="21" t="s">
        <v>490</v>
      </c>
      <c r="H40" s="207">
        <v>9</v>
      </c>
      <c r="I40" s="177" t="s">
        <v>207</v>
      </c>
      <c r="J40" s="320">
        <v>5</v>
      </c>
      <c r="K40" s="189" t="s">
        <v>197</v>
      </c>
      <c r="L40" s="167">
        <f t="shared" si="1"/>
        <v>45</v>
      </c>
      <c r="M40" s="1073"/>
      <c r="N40" s="352">
        <v>44022</v>
      </c>
      <c r="O40" s="198" t="s">
        <v>219</v>
      </c>
      <c r="P40" s="53" t="s">
        <v>500</v>
      </c>
      <c r="Q40" s="21" t="s">
        <v>20</v>
      </c>
      <c r="R40" s="198" t="s">
        <v>4</v>
      </c>
      <c r="S40" s="342" t="s">
        <v>19</v>
      </c>
      <c r="T40" s="198" t="s">
        <v>178</v>
      </c>
      <c r="U40" s="1050"/>
      <c r="V40" s="1030"/>
      <c r="X40" s="239">
        <f t="shared" si="2"/>
        <v>4.4999999999999998E-2</v>
      </c>
    </row>
    <row r="41" spans="1:31" ht="15.75">
      <c r="A41" s="339">
        <v>41</v>
      </c>
      <c r="B41" s="211" t="s">
        <v>487</v>
      </c>
      <c r="C41" s="352">
        <v>44021</v>
      </c>
      <c r="D41" s="295" t="s">
        <v>24</v>
      </c>
      <c r="E41" s="370" t="s">
        <v>499</v>
      </c>
      <c r="F41" s="21" t="s">
        <v>478</v>
      </c>
      <c r="G41" s="21" t="s">
        <v>416</v>
      </c>
      <c r="H41" s="207">
        <v>3</v>
      </c>
      <c r="I41" s="177" t="s">
        <v>207</v>
      </c>
      <c r="J41" s="320">
        <v>5.5</v>
      </c>
      <c r="K41" s="189" t="s">
        <v>197</v>
      </c>
      <c r="L41" s="167">
        <f t="shared" si="1"/>
        <v>16.5</v>
      </c>
      <c r="M41" s="1073"/>
      <c r="N41" s="352">
        <v>44022</v>
      </c>
      <c r="O41" s="198" t="s">
        <v>219</v>
      </c>
      <c r="P41" s="53" t="s">
        <v>500</v>
      </c>
      <c r="Q41" s="21" t="s">
        <v>20</v>
      </c>
      <c r="R41" s="198" t="s">
        <v>4</v>
      </c>
      <c r="S41" s="342" t="s">
        <v>19</v>
      </c>
      <c r="T41" s="198" t="s">
        <v>178</v>
      </c>
      <c r="U41" s="1050"/>
      <c r="V41" s="1030"/>
      <c r="X41" s="239">
        <f t="shared" si="2"/>
        <v>1.6500000000000001E-2</v>
      </c>
    </row>
    <row r="42" spans="1:31" ht="15.75">
      <c r="A42" s="339">
        <v>41</v>
      </c>
      <c r="B42" s="211" t="s">
        <v>487</v>
      </c>
      <c r="C42" s="352">
        <v>44021</v>
      </c>
      <c r="D42" s="295" t="s">
        <v>24</v>
      </c>
      <c r="E42" s="370" t="s">
        <v>499</v>
      </c>
      <c r="F42" s="21" t="s">
        <v>492</v>
      </c>
      <c r="G42" s="21" t="s">
        <v>351</v>
      </c>
      <c r="H42" s="207">
        <v>2</v>
      </c>
      <c r="I42" s="177" t="s">
        <v>207</v>
      </c>
      <c r="J42" s="320">
        <v>10</v>
      </c>
      <c r="K42" s="189" t="s">
        <v>197</v>
      </c>
      <c r="L42" s="167">
        <f t="shared" si="1"/>
        <v>20</v>
      </c>
      <c r="M42" s="1073"/>
      <c r="N42" s="352">
        <v>44022</v>
      </c>
      <c r="O42" s="198" t="s">
        <v>219</v>
      </c>
      <c r="P42" s="53" t="s">
        <v>500</v>
      </c>
      <c r="Q42" s="21" t="s">
        <v>20</v>
      </c>
      <c r="R42" s="198" t="s">
        <v>4</v>
      </c>
      <c r="S42" s="342" t="s">
        <v>19</v>
      </c>
      <c r="T42" s="198" t="s">
        <v>178</v>
      </c>
      <c r="U42" s="1050"/>
      <c r="V42" s="1030"/>
      <c r="X42" s="239">
        <f t="shared" si="2"/>
        <v>0.02</v>
      </c>
    </row>
    <row r="43" spans="1:31" ht="15.75" customHeight="1">
      <c r="A43" s="339">
        <v>41</v>
      </c>
      <c r="B43" s="211" t="s">
        <v>487</v>
      </c>
      <c r="C43" s="352">
        <v>44021</v>
      </c>
      <c r="D43" s="295" t="s">
        <v>24</v>
      </c>
      <c r="E43" s="370" t="s">
        <v>499</v>
      </c>
      <c r="F43" s="21" t="s">
        <v>493</v>
      </c>
      <c r="G43" s="21" t="s">
        <v>494</v>
      </c>
      <c r="H43" s="207">
        <v>6</v>
      </c>
      <c r="I43" s="177" t="s">
        <v>207</v>
      </c>
      <c r="J43" s="320">
        <v>5</v>
      </c>
      <c r="K43" s="189" t="s">
        <v>197</v>
      </c>
      <c r="L43" s="167">
        <f t="shared" si="1"/>
        <v>30</v>
      </c>
      <c r="M43" s="1073"/>
      <c r="N43" s="352">
        <v>44022</v>
      </c>
      <c r="O43" s="198" t="s">
        <v>219</v>
      </c>
      <c r="P43" s="53" t="s">
        <v>500</v>
      </c>
      <c r="Q43" s="21" t="s">
        <v>20</v>
      </c>
      <c r="R43" s="198" t="s">
        <v>4</v>
      </c>
      <c r="S43" s="342" t="s">
        <v>19</v>
      </c>
      <c r="T43" s="198" t="s">
        <v>178</v>
      </c>
      <c r="U43" s="1050"/>
      <c r="V43" s="1030"/>
      <c r="X43" s="239">
        <f t="shared" si="2"/>
        <v>0.03</v>
      </c>
    </row>
    <row r="44" spans="1:31" ht="15.75" customHeight="1">
      <c r="A44" s="339">
        <v>41</v>
      </c>
      <c r="B44" s="211" t="s">
        <v>487</v>
      </c>
      <c r="C44" s="352">
        <v>44021</v>
      </c>
      <c r="D44" s="295" t="s">
        <v>24</v>
      </c>
      <c r="E44" s="370" t="s">
        <v>499</v>
      </c>
      <c r="F44" s="21" t="s">
        <v>493</v>
      </c>
      <c r="G44" s="21" t="s">
        <v>494</v>
      </c>
      <c r="H44" s="207">
        <v>6</v>
      </c>
      <c r="I44" s="177" t="s">
        <v>207</v>
      </c>
      <c r="J44" s="320">
        <v>5</v>
      </c>
      <c r="K44" s="189" t="s">
        <v>197</v>
      </c>
      <c r="L44" s="167">
        <f t="shared" si="1"/>
        <v>30</v>
      </c>
      <c r="M44" s="1073"/>
      <c r="N44" s="352">
        <v>44022</v>
      </c>
      <c r="O44" s="198" t="s">
        <v>219</v>
      </c>
      <c r="P44" s="53" t="s">
        <v>500</v>
      </c>
      <c r="Q44" s="21" t="s">
        <v>20</v>
      </c>
      <c r="R44" s="198" t="s">
        <v>4</v>
      </c>
      <c r="S44" s="342" t="s">
        <v>19</v>
      </c>
      <c r="T44" s="198" t="s">
        <v>178</v>
      </c>
      <c r="U44" s="1050"/>
      <c r="V44" s="1030"/>
      <c r="X44" s="239">
        <f t="shared" si="2"/>
        <v>0.03</v>
      </c>
    </row>
    <row r="45" spans="1:31" ht="15.75" customHeight="1">
      <c r="A45" s="339">
        <v>41</v>
      </c>
      <c r="B45" s="211" t="s">
        <v>487</v>
      </c>
      <c r="C45" s="352">
        <v>44021</v>
      </c>
      <c r="D45" s="295" t="s">
        <v>24</v>
      </c>
      <c r="E45" s="370" t="s">
        <v>499</v>
      </c>
      <c r="F45" s="21" t="s">
        <v>493</v>
      </c>
      <c r="G45" s="21" t="s">
        <v>494</v>
      </c>
      <c r="H45" s="207">
        <v>6</v>
      </c>
      <c r="I45" s="177" t="s">
        <v>207</v>
      </c>
      <c r="J45" s="320">
        <v>5</v>
      </c>
      <c r="K45" s="189" t="s">
        <v>197</v>
      </c>
      <c r="L45" s="167">
        <f t="shared" si="1"/>
        <v>30</v>
      </c>
      <c r="M45" s="1073"/>
      <c r="N45" s="352">
        <v>44022</v>
      </c>
      <c r="O45" s="198" t="s">
        <v>219</v>
      </c>
      <c r="P45" s="53" t="s">
        <v>500</v>
      </c>
      <c r="Q45" s="21" t="s">
        <v>20</v>
      </c>
      <c r="R45" s="198" t="s">
        <v>4</v>
      </c>
      <c r="S45" s="342" t="s">
        <v>19</v>
      </c>
      <c r="T45" s="198" t="s">
        <v>178</v>
      </c>
      <c r="U45" s="1050"/>
      <c r="V45" s="1030"/>
      <c r="X45" s="239">
        <f t="shared" si="2"/>
        <v>0.03</v>
      </c>
    </row>
    <row r="46" spans="1:31" ht="15.75" customHeight="1">
      <c r="A46" s="339">
        <v>41</v>
      </c>
      <c r="B46" s="211" t="s">
        <v>487</v>
      </c>
      <c r="C46" s="352">
        <v>44021</v>
      </c>
      <c r="D46" s="295" t="s">
        <v>24</v>
      </c>
      <c r="E46" s="370" t="s">
        <v>499</v>
      </c>
      <c r="F46" s="21" t="s">
        <v>493</v>
      </c>
      <c r="G46" s="21" t="s">
        <v>494</v>
      </c>
      <c r="H46" s="207">
        <v>2</v>
      </c>
      <c r="I46" s="177" t="s">
        <v>207</v>
      </c>
      <c r="J46" s="320">
        <v>5</v>
      </c>
      <c r="K46" s="189" t="s">
        <v>197</v>
      </c>
      <c r="L46" s="167">
        <f t="shared" si="1"/>
        <v>10</v>
      </c>
      <c r="M46" s="1073"/>
      <c r="N46" s="352">
        <v>44022</v>
      </c>
      <c r="O46" s="198" t="s">
        <v>219</v>
      </c>
      <c r="P46" s="53" t="s">
        <v>500</v>
      </c>
      <c r="Q46" s="21" t="s">
        <v>20</v>
      </c>
      <c r="R46" s="198" t="s">
        <v>4</v>
      </c>
      <c r="S46" s="342" t="s">
        <v>19</v>
      </c>
      <c r="T46" s="198" t="s">
        <v>178</v>
      </c>
      <c r="U46" s="1050"/>
      <c r="V46" s="1030"/>
      <c r="X46" s="239">
        <f t="shared" si="2"/>
        <v>0.01</v>
      </c>
    </row>
    <row r="47" spans="1:31" ht="15.75" customHeight="1">
      <c r="A47" s="339">
        <v>41</v>
      </c>
      <c r="B47" s="211" t="s">
        <v>487</v>
      </c>
      <c r="C47" s="352">
        <v>44021</v>
      </c>
      <c r="D47" s="295" t="s">
        <v>24</v>
      </c>
      <c r="E47" s="370" t="s">
        <v>499</v>
      </c>
      <c r="F47" s="21" t="s">
        <v>493</v>
      </c>
      <c r="G47" s="21" t="s">
        <v>495</v>
      </c>
      <c r="H47" s="207">
        <v>4</v>
      </c>
      <c r="I47" s="177" t="s">
        <v>207</v>
      </c>
      <c r="J47" s="320">
        <v>5</v>
      </c>
      <c r="K47" s="189" t="s">
        <v>197</v>
      </c>
      <c r="L47" s="167">
        <f t="shared" si="1"/>
        <v>20</v>
      </c>
      <c r="M47" s="1073"/>
      <c r="N47" s="352">
        <v>44022</v>
      </c>
      <c r="O47" s="198" t="s">
        <v>219</v>
      </c>
      <c r="P47" s="53" t="s">
        <v>500</v>
      </c>
      <c r="Q47" s="21" t="s">
        <v>20</v>
      </c>
      <c r="R47" s="198" t="s">
        <v>4</v>
      </c>
      <c r="S47" s="342" t="s">
        <v>19</v>
      </c>
      <c r="T47" s="198" t="s">
        <v>178</v>
      </c>
      <c r="U47" s="1050"/>
      <c r="V47" s="1030"/>
      <c r="X47" s="239">
        <f t="shared" si="2"/>
        <v>0.02</v>
      </c>
    </row>
    <row r="48" spans="1:31" ht="15.75" customHeight="1">
      <c r="A48" s="339">
        <v>41</v>
      </c>
      <c r="B48" s="211" t="s">
        <v>487</v>
      </c>
      <c r="C48" s="352">
        <v>44021</v>
      </c>
      <c r="D48" s="295" t="s">
        <v>24</v>
      </c>
      <c r="E48" s="370" t="s">
        <v>499</v>
      </c>
      <c r="F48" s="21" t="s">
        <v>496</v>
      </c>
      <c r="G48" s="21" t="s">
        <v>211</v>
      </c>
      <c r="H48" s="207">
        <v>3</v>
      </c>
      <c r="I48" s="177" t="s">
        <v>207</v>
      </c>
      <c r="J48" s="320">
        <v>4</v>
      </c>
      <c r="K48" s="189" t="s">
        <v>197</v>
      </c>
      <c r="L48" s="167">
        <f t="shared" si="1"/>
        <v>12</v>
      </c>
      <c r="M48" s="1073"/>
      <c r="N48" s="352">
        <v>44022</v>
      </c>
      <c r="O48" s="198" t="s">
        <v>219</v>
      </c>
      <c r="P48" s="53" t="s">
        <v>500</v>
      </c>
      <c r="Q48" s="21" t="s">
        <v>20</v>
      </c>
      <c r="R48" s="198" t="s">
        <v>4</v>
      </c>
      <c r="S48" s="342" t="s">
        <v>19</v>
      </c>
      <c r="T48" s="198" t="s">
        <v>178</v>
      </c>
      <c r="U48" s="1050"/>
      <c r="V48" s="1030"/>
      <c r="X48" s="239">
        <f t="shared" si="2"/>
        <v>1.2E-2</v>
      </c>
    </row>
    <row r="49" spans="1:24" ht="15.75" customHeight="1">
      <c r="A49" s="339">
        <v>41</v>
      </c>
      <c r="B49" s="211" t="s">
        <v>487</v>
      </c>
      <c r="C49" s="352">
        <v>44021</v>
      </c>
      <c r="D49" s="295" t="s">
        <v>24</v>
      </c>
      <c r="E49" s="370" t="s">
        <v>499</v>
      </c>
      <c r="F49" s="21" t="s">
        <v>497</v>
      </c>
      <c r="G49" s="21" t="s">
        <v>271</v>
      </c>
      <c r="H49" s="207">
        <v>3</v>
      </c>
      <c r="I49" s="177" t="s">
        <v>207</v>
      </c>
      <c r="J49" s="320">
        <v>15</v>
      </c>
      <c r="K49" s="189" t="s">
        <v>197</v>
      </c>
      <c r="L49" s="167">
        <f t="shared" si="1"/>
        <v>45</v>
      </c>
      <c r="M49" s="1073"/>
      <c r="N49" s="352">
        <v>44022</v>
      </c>
      <c r="O49" s="198" t="s">
        <v>219</v>
      </c>
      <c r="P49" s="53" t="s">
        <v>500</v>
      </c>
      <c r="Q49" s="21" t="s">
        <v>20</v>
      </c>
      <c r="R49" s="198" t="s">
        <v>4</v>
      </c>
      <c r="S49" s="342" t="s">
        <v>19</v>
      </c>
      <c r="T49" s="198" t="s">
        <v>178</v>
      </c>
      <c r="U49" s="1050"/>
      <c r="V49" s="1030"/>
      <c r="X49" s="239">
        <f t="shared" si="2"/>
        <v>4.4999999999999998E-2</v>
      </c>
    </row>
    <row r="50" spans="1:24" ht="15.75" customHeight="1">
      <c r="A50" s="339">
        <v>41</v>
      </c>
      <c r="B50" s="211" t="s">
        <v>487</v>
      </c>
      <c r="C50" s="352">
        <v>44021</v>
      </c>
      <c r="D50" s="295" t="s">
        <v>24</v>
      </c>
      <c r="E50" s="370" t="s">
        <v>499</v>
      </c>
      <c r="F50" s="21" t="s">
        <v>498</v>
      </c>
      <c r="G50" s="21" t="s">
        <v>211</v>
      </c>
      <c r="H50" s="207">
        <v>5</v>
      </c>
      <c r="I50" s="177" t="s">
        <v>207</v>
      </c>
      <c r="J50" s="320">
        <v>4</v>
      </c>
      <c r="K50" s="189" t="s">
        <v>197</v>
      </c>
      <c r="L50" s="167">
        <f t="shared" si="1"/>
        <v>20</v>
      </c>
      <c r="M50" s="1073"/>
      <c r="N50" s="352">
        <v>44022</v>
      </c>
      <c r="O50" s="198" t="s">
        <v>219</v>
      </c>
      <c r="P50" s="53" t="s">
        <v>500</v>
      </c>
      <c r="Q50" s="21" t="s">
        <v>20</v>
      </c>
      <c r="R50" s="198" t="s">
        <v>4</v>
      </c>
      <c r="S50" s="342" t="s">
        <v>19</v>
      </c>
      <c r="T50" s="198" t="s">
        <v>178</v>
      </c>
      <c r="U50" s="1050"/>
      <c r="V50" s="1030"/>
      <c r="X50" s="239">
        <f t="shared" si="2"/>
        <v>0.02</v>
      </c>
    </row>
    <row r="51" spans="1:24" ht="15.75">
      <c r="A51" s="340">
        <v>41</v>
      </c>
      <c r="B51" s="214" t="s">
        <v>487</v>
      </c>
      <c r="C51" s="353">
        <v>44021</v>
      </c>
      <c r="D51" s="309" t="s">
        <v>24</v>
      </c>
      <c r="E51" s="371" t="s">
        <v>499</v>
      </c>
      <c r="F51" s="22" t="s">
        <v>498</v>
      </c>
      <c r="G51" s="22" t="s">
        <v>211</v>
      </c>
      <c r="H51" s="209">
        <v>2</v>
      </c>
      <c r="I51" s="179" t="s">
        <v>207</v>
      </c>
      <c r="J51" s="321">
        <v>4</v>
      </c>
      <c r="K51" s="195" t="s">
        <v>197</v>
      </c>
      <c r="L51" s="170">
        <f t="shared" si="1"/>
        <v>8</v>
      </c>
      <c r="M51" s="1074"/>
      <c r="N51" s="353">
        <v>44022</v>
      </c>
      <c r="O51" s="201" t="s">
        <v>219</v>
      </c>
      <c r="P51" s="54" t="s">
        <v>500</v>
      </c>
      <c r="Q51" s="22" t="s">
        <v>20</v>
      </c>
      <c r="R51" s="201" t="s">
        <v>4</v>
      </c>
      <c r="S51" s="181" t="s">
        <v>19</v>
      </c>
      <c r="T51" s="201" t="s">
        <v>178</v>
      </c>
      <c r="U51" s="1049"/>
      <c r="V51" s="1031"/>
      <c r="X51" s="239">
        <f t="shared" si="2"/>
        <v>8.0000000000000002E-3</v>
      </c>
    </row>
    <row r="52" spans="1:24" ht="15.75">
      <c r="A52" s="338">
        <v>42</v>
      </c>
      <c r="B52" s="296" t="s">
        <v>501</v>
      </c>
      <c r="C52" s="351">
        <v>44022</v>
      </c>
      <c r="D52" s="297" t="s">
        <v>24</v>
      </c>
      <c r="E52" s="369" t="s">
        <v>502</v>
      </c>
      <c r="F52" s="19" t="s">
        <v>503</v>
      </c>
      <c r="G52" s="19" t="s">
        <v>180</v>
      </c>
      <c r="H52" s="279">
        <v>7</v>
      </c>
      <c r="I52" s="175" t="s">
        <v>427</v>
      </c>
      <c r="J52" s="318">
        <v>5</v>
      </c>
      <c r="K52" s="185" t="s">
        <v>197</v>
      </c>
      <c r="L52" s="165">
        <f t="shared" si="1"/>
        <v>35</v>
      </c>
      <c r="M52" s="1029">
        <v>20</v>
      </c>
      <c r="N52" s="351">
        <v>44022</v>
      </c>
      <c r="O52" s="197" t="s">
        <v>219</v>
      </c>
      <c r="P52" s="176"/>
      <c r="Q52" s="19"/>
      <c r="R52" s="197" t="s">
        <v>7</v>
      </c>
      <c r="S52" s="341"/>
      <c r="T52" s="197" t="s">
        <v>178</v>
      </c>
      <c r="U52" s="1068">
        <v>4407338</v>
      </c>
      <c r="V52" s="341"/>
      <c r="X52" s="239">
        <f t="shared" si="2"/>
        <v>3.5000000000000003E-2</v>
      </c>
    </row>
    <row r="53" spans="1:24" ht="15.75">
      <c r="A53" s="340">
        <v>42</v>
      </c>
      <c r="B53" s="214" t="s">
        <v>501</v>
      </c>
      <c r="C53" s="353">
        <v>44022</v>
      </c>
      <c r="D53" s="309" t="s">
        <v>24</v>
      </c>
      <c r="E53" s="371" t="s">
        <v>502</v>
      </c>
      <c r="F53" s="22" t="s">
        <v>339</v>
      </c>
      <c r="G53" s="22" t="s">
        <v>180</v>
      </c>
      <c r="H53" s="209">
        <v>35</v>
      </c>
      <c r="I53" s="179" t="s">
        <v>207</v>
      </c>
      <c r="J53" s="321">
        <v>1</v>
      </c>
      <c r="K53" s="195" t="s">
        <v>197</v>
      </c>
      <c r="L53" s="170">
        <f t="shared" si="1"/>
        <v>35</v>
      </c>
      <c r="M53" s="1031"/>
      <c r="N53" s="353">
        <v>44022</v>
      </c>
      <c r="O53" s="201" t="s">
        <v>219</v>
      </c>
      <c r="P53" s="180"/>
      <c r="Q53" s="22"/>
      <c r="R53" s="201" t="s">
        <v>7</v>
      </c>
      <c r="S53" s="181"/>
      <c r="T53" s="201" t="s">
        <v>178</v>
      </c>
      <c r="U53" s="1070"/>
      <c r="V53" s="181"/>
      <c r="X53" s="239">
        <f t="shared" si="2"/>
        <v>3.5000000000000003E-2</v>
      </c>
    </row>
    <row r="54" spans="1:24" ht="15.75">
      <c r="A54" s="338">
        <v>43</v>
      </c>
      <c r="B54" s="296" t="s">
        <v>504</v>
      </c>
      <c r="C54" s="351">
        <v>44022</v>
      </c>
      <c r="D54" s="297" t="s">
        <v>24</v>
      </c>
      <c r="E54" s="369" t="s">
        <v>505</v>
      </c>
      <c r="F54" s="19" t="s">
        <v>506</v>
      </c>
      <c r="G54" s="19" t="s">
        <v>180</v>
      </c>
      <c r="H54" s="279">
        <v>1</v>
      </c>
      <c r="I54" s="175" t="s">
        <v>520</v>
      </c>
      <c r="J54" s="318">
        <v>2</v>
      </c>
      <c r="K54" s="185" t="s">
        <v>197</v>
      </c>
      <c r="L54" s="165">
        <f t="shared" si="1"/>
        <v>2</v>
      </c>
      <c r="M54" s="1029">
        <v>1.84</v>
      </c>
      <c r="N54" s="351">
        <v>44023</v>
      </c>
      <c r="O54" s="197" t="s">
        <v>219</v>
      </c>
      <c r="P54" s="176"/>
      <c r="Q54" s="19"/>
      <c r="R54" s="197" t="s">
        <v>7</v>
      </c>
      <c r="S54" s="341"/>
      <c r="T54" s="197" t="s">
        <v>178</v>
      </c>
      <c r="U54" s="1048">
        <v>13750475.699999999</v>
      </c>
      <c r="V54" s="341"/>
      <c r="X54" s="239">
        <f t="shared" si="2"/>
        <v>2E-3</v>
      </c>
    </row>
    <row r="55" spans="1:24" ht="15.75" customHeight="1">
      <c r="A55" s="339">
        <v>43</v>
      </c>
      <c r="B55" s="211" t="s">
        <v>504</v>
      </c>
      <c r="C55" s="352">
        <v>44022</v>
      </c>
      <c r="D55" s="295" t="s">
        <v>24</v>
      </c>
      <c r="E55" s="370" t="s">
        <v>505</v>
      </c>
      <c r="F55" s="21" t="s">
        <v>507</v>
      </c>
      <c r="G55" s="21" t="s">
        <v>180</v>
      </c>
      <c r="H55" s="207">
        <v>1</v>
      </c>
      <c r="I55" s="177" t="s">
        <v>520</v>
      </c>
      <c r="J55" s="320">
        <v>2</v>
      </c>
      <c r="K55" s="189" t="s">
        <v>197</v>
      </c>
      <c r="L55" s="167">
        <f t="shared" si="1"/>
        <v>2</v>
      </c>
      <c r="M55" s="1030"/>
      <c r="N55" s="352">
        <v>44023</v>
      </c>
      <c r="O55" s="198" t="s">
        <v>219</v>
      </c>
      <c r="P55" s="178"/>
      <c r="Q55" s="21"/>
      <c r="R55" s="198" t="s">
        <v>7</v>
      </c>
      <c r="S55" s="342"/>
      <c r="T55" s="198" t="s">
        <v>178</v>
      </c>
      <c r="U55" s="1050"/>
      <c r="V55" s="342"/>
      <c r="X55" s="239">
        <f t="shared" si="2"/>
        <v>2E-3</v>
      </c>
    </row>
    <row r="56" spans="1:24" ht="15.75" customHeight="1">
      <c r="A56" s="339">
        <v>43</v>
      </c>
      <c r="B56" s="211" t="s">
        <v>504</v>
      </c>
      <c r="C56" s="352">
        <v>44022</v>
      </c>
      <c r="D56" s="295" t="s">
        <v>24</v>
      </c>
      <c r="E56" s="370" t="s">
        <v>505</v>
      </c>
      <c r="F56" s="21" t="s">
        <v>508</v>
      </c>
      <c r="G56" s="21" t="s">
        <v>509</v>
      </c>
      <c r="H56" s="207">
        <v>1</v>
      </c>
      <c r="I56" s="177" t="s">
        <v>520</v>
      </c>
      <c r="J56" s="320">
        <v>2</v>
      </c>
      <c r="K56" s="189" t="s">
        <v>197</v>
      </c>
      <c r="L56" s="167">
        <f t="shared" si="1"/>
        <v>2</v>
      </c>
      <c r="M56" s="1030"/>
      <c r="N56" s="352">
        <v>44023</v>
      </c>
      <c r="O56" s="198" t="s">
        <v>219</v>
      </c>
      <c r="P56" s="178"/>
      <c r="Q56" s="21"/>
      <c r="R56" s="198" t="s">
        <v>7</v>
      </c>
      <c r="S56" s="342"/>
      <c r="T56" s="198" t="s">
        <v>178</v>
      </c>
      <c r="U56" s="1050"/>
      <c r="V56" s="342"/>
      <c r="X56" s="239">
        <f t="shared" si="2"/>
        <v>2E-3</v>
      </c>
    </row>
    <row r="57" spans="1:24" ht="15.75" customHeight="1">
      <c r="A57" s="339">
        <v>43</v>
      </c>
      <c r="B57" s="211" t="s">
        <v>504</v>
      </c>
      <c r="C57" s="352">
        <v>44022</v>
      </c>
      <c r="D57" s="295" t="s">
        <v>24</v>
      </c>
      <c r="E57" s="370" t="s">
        <v>505</v>
      </c>
      <c r="F57" s="21" t="s">
        <v>510</v>
      </c>
      <c r="G57" s="21"/>
      <c r="H57" s="207">
        <v>1</v>
      </c>
      <c r="I57" s="177" t="s">
        <v>521</v>
      </c>
      <c r="J57" s="320">
        <v>2</v>
      </c>
      <c r="K57" s="189" t="s">
        <v>197</v>
      </c>
      <c r="L57" s="167">
        <f t="shared" si="1"/>
        <v>2</v>
      </c>
      <c r="M57" s="1030"/>
      <c r="N57" s="352">
        <v>44023</v>
      </c>
      <c r="O57" s="198" t="s">
        <v>219</v>
      </c>
      <c r="P57" s="178"/>
      <c r="Q57" s="21"/>
      <c r="R57" s="198" t="s">
        <v>7</v>
      </c>
      <c r="S57" s="342"/>
      <c r="T57" s="198" t="s">
        <v>178</v>
      </c>
      <c r="U57" s="1050"/>
      <c r="V57" s="342"/>
      <c r="X57" s="239">
        <f t="shared" si="2"/>
        <v>2E-3</v>
      </c>
    </row>
    <row r="58" spans="1:24" ht="15.75" customHeight="1">
      <c r="A58" s="339">
        <v>43</v>
      </c>
      <c r="B58" s="211" t="s">
        <v>504</v>
      </c>
      <c r="C58" s="352">
        <v>44022</v>
      </c>
      <c r="D58" s="295" t="s">
        <v>24</v>
      </c>
      <c r="E58" s="370" t="s">
        <v>505</v>
      </c>
      <c r="F58" s="21" t="s">
        <v>511</v>
      </c>
      <c r="G58" s="21"/>
      <c r="H58" s="207">
        <v>1</v>
      </c>
      <c r="I58" s="177" t="s">
        <v>521</v>
      </c>
      <c r="J58" s="320">
        <v>2</v>
      </c>
      <c r="K58" s="189" t="s">
        <v>197</v>
      </c>
      <c r="L58" s="167">
        <f t="shared" si="1"/>
        <v>2</v>
      </c>
      <c r="M58" s="1030"/>
      <c r="N58" s="352">
        <v>44023</v>
      </c>
      <c r="O58" s="198" t="s">
        <v>219</v>
      </c>
      <c r="P58" s="178"/>
      <c r="Q58" s="21"/>
      <c r="R58" s="198" t="s">
        <v>7</v>
      </c>
      <c r="S58" s="342"/>
      <c r="T58" s="198" t="s">
        <v>178</v>
      </c>
      <c r="U58" s="1050"/>
      <c r="V58" s="342"/>
      <c r="X58" s="239">
        <f t="shared" si="2"/>
        <v>2E-3</v>
      </c>
    </row>
    <row r="59" spans="1:24" ht="15.75" customHeight="1">
      <c r="A59" s="339">
        <v>43</v>
      </c>
      <c r="B59" s="211" t="s">
        <v>504</v>
      </c>
      <c r="C59" s="352">
        <v>44022</v>
      </c>
      <c r="D59" s="295" t="s">
        <v>24</v>
      </c>
      <c r="E59" s="370" t="s">
        <v>505</v>
      </c>
      <c r="F59" s="21" t="s">
        <v>512</v>
      </c>
      <c r="G59" s="21"/>
      <c r="H59" s="207">
        <v>1</v>
      </c>
      <c r="I59" s="177" t="s">
        <v>520</v>
      </c>
      <c r="J59" s="320">
        <v>2</v>
      </c>
      <c r="K59" s="189" t="s">
        <v>197</v>
      </c>
      <c r="L59" s="167">
        <f t="shared" si="1"/>
        <v>2</v>
      </c>
      <c r="M59" s="1030"/>
      <c r="N59" s="352">
        <v>44023</v>
      </c>
      <c r="O59" s="198" t="s">
        <v>219</v>
      </c>
      <c r="P59" s="178"/>
      <c r="Q59" s="21"/>
      <c r="R59" s="198" t="s">
        <v>7</v>
      </c>
      <c r="S59" s="342"/>
      <c r="T59" s="198" t="s">
        <v>178</v>
      </c>
      <c r="U59" s="1050"/>
      <c r="V59" s="342"/>
      <c r="X59" s="239">
        <f t="shared" si="2"/>
        <v>2E-3</v>
      </c>
    </row>
    <row r="60" spans="1:24" ht="15.75" customHeight="1">
      <c r="A60" s="339">
        <v>43</v>
      </c>
      <c r="B60" s="211" t="s">
        <v>504</v>
      </c>
      <c r="C60" s="352">
        <v>44022</v>
      </c>
      <c r="D60" s="295" t="s">
        <v>24</v>
      </c>
      <c r="E60" s="370" t="s">
        <v>505</v>
      </c>
      <c r="F60" s="21" t="s">
        <v>513</v>
      </c>
      <c r="G60" s="21"/>
      <c r="H60" s="207">
        <v>1</v>
      </c>
      <c r="I60" s="177" t="s">
        <v>520</v>
      </c>
      <c r="J60" s="320">
        <v>2</v>
      </c>
      <c r="K60" s="189" t="s">
        <v>197</v>
      </c>
      <c r="L60" s="167">
        <f t="shared" si="1"/>
        <v>2</v>
      </c>
      <c r="M60" s="1030"/>
      <c r="N60" s="352">
        <v>44023</v>
      </c>
      <c r="O60" s="198" t="s">
        <v>219</v>
      </c>
      <c r="P60" s="178"/>
      <c r="Q60" s="21"/>
      <c r="R60" s="198" t="s">
        <v>7</v>
      </c>
      <c r="S60" s="342"/>
      <c r="T60" s="198" t="s">
        <v>178</v>
      </c>
      <c r="U60" s="1050"/>
      <c r="V60" s="342"/>
      <c r="X60" s="239">
        <f t="shared" si="2"/>
        <v>2E-3</v>
      </c>
    </row>
    <row r="61" spans="1:24" ht="15.75" customHeight="1">
      <c r="A61" s="339">
        <v>43</v>
      </c>
      <c r="B61" s="211" t="s">
        <v>504</v>
      </c>
      <c r="C61" s="352">
        <v>44022</v>
      </c>
      <c r="D61" s="295" t="s">
        <v>24</v>
      </c>
      <c r="E61" s="370" t="s">
        <v>505</v>
      </c>
      <c r="F61" s="21" t="s">
        <v>514</v>
      </c>
      <c r="G61" s="21"/>
      <c r="H61" s="207">
        <v>1</v>
      </c>
      <c r="I61" s="177" t="s">
        <v>520</v>
      </c>
      <c r="J61" s="320">
        <v>2</v>
      </c>
      <c r="K61" s="189" t="s">
        <v>197</v>
      </c>
      <c r="L61" s="167">
        <f t="shared" si="1"/>
        <v>2</v>
      </c>
      <c r="M61" s="1030"/>
      <c r="N61" s="352">
        <v>44023</v>
      </c>
      <c r="O61" s="198" t="s">
        <v>219</v>
      </c>
      <c r="P61" s="178"/>
      <c r="Q61" s="21"/>
      <c r="R61" s="198" t="s">
        <v>7</v>
      </c>
      <c r="S61" s="342"/>
      <c r="T61" s="198" t="s">
        <v>178</v>
      </c>
      <c r="U61" s="1050"/>
      <c r="V61" s="342"/>
      <c r="X61" s="239">
        <f t="shared" si="2"/>
        <v>2E-3</v>
      </c>
    </row>
    <row r="62" spans="1:24" s="256" customFormat="1" ht="15.75" customHeight="1">
      <c r="A62" s="339">
        <v>43</v>
      </c>
      <c r="B62" s="211" t="s">
        <v>504</v>
      </c>
      <c r="C62" s="352">
        <v>44022</v>
      </c>
      <c r="D62" s="295" t="s">
        <v>24</v>
      </c>
      <c r="E62" s="370" t="s">
        <v>505</v>
      </c>
      <c r="F62" s="21" t="s">
        <v>515</v>
      </c>
      <c r="G62" s="21"/>
      <c r="H62" s="207">
        <v>1</v>
      </c>
      <c r="I62" s="177" t="s">
        <v>520</v>
      </c>
      <c r="J62" s="320">
        <v>2</v>
      </c>
      <c r="K62" s="189" t="s">
        <v>197</v>
      </c>
      <c r="L62" s="167">
        <f t="shared" si="1"/>
        <v>2</v>
      </c>
      <c r="M62" s="1030"/>
      <c r="N62" s="352">
        <v>44023</v>
      </c>
      <c r="O62" s="198" t="s">
        <v>219</v>
      </c>
      <c r="P62" s="178"/>
      <c r="Q62" s="21"/>
      <c r="R62" s="198" t="s">
        <v>7</v>
      </c>
      <c r="S62" s="342"/>
      <c r="T62" s="198" t="s">
        <v>178</v>
      </c>
      <c r="U62" s="1050"/>
      <c r="V62" s="342"/>
      <c r="X62" s="239">
        <f t="shared" si="2"/>
        <v>2E-3</v>
      </c>
    </row>
    <row r="63" spans="1:24" ht="15.75" customHeight="1">
      <c r="A63" s="339">
        <v>43</v>
      </c>
      <c r="B63" s="211" t="s">
        <v>504</v>
      </c>
      <c r="C63" s="352">
        <v>44022</v>
      </c>
      <c r="D63" s="295" t="s">
        <v>24</v>
      </c>
      <c r="E63" s="370" t="s">
        <v>505</v>
      </c>
      <c r="F63" s="21" t="s">
        <v>516</v>
      </c>
      <c r="G63" s="21"/>
      <c r="H63" s="207">
        <v>1</v>
      </c>
      <c r="I63" s="177" t="s">
        <v>520</v>
      </c>
      <c r="J63" s="320">
        <v>2</v>
      </c>
      <c r="K63" s="189" t="s">
        <v>197</v>
      </c>
      <c r="L63" s="167">
        <f t="shared" si="1"/>
        <v>2</v>
      </c>
      <c r="M63" s="1030"/>
      <c r="N63" s="352">
        <v>44023</v>
      </c>
      <c r="O63" s="198" t="s">
        <v>219</v>
      </c>
      <c r="P63" s="178"/>
      <c r="Q63" s="21"/>
      <c r="R63" s="198" t="s">
        <v>7</v>
      </c>
      <c r="S63" s="342"/>
      <c r="T63" s="198" t="s">
        <v>178</v>
      </c>
      <c r="U63" s="1050"/>
      <c r="V63" s="342"/>
      <c r="X63" s="239">
        <f t="shared" si="2"/>
        <v>2E-3</v>
      </c>
    </row>
    <row r="64" spans="1:24" ht="15.75" customHeight="1">
      <c r="A64" s="339">
        <v>43</v>
      </c>
      <c r="B64" s="211" t="s">
        <v>504</v>
      </c>
      <c r="C64" s="352">
        <v>44022</v>
      </c>
      <c r="D64" s="295" t="s">
        <v>24</v>
      </c>
      <c r="E64" s="370" t="s">
        <v>505</v>
      </c>
      <c r="F64" s="21" t="s">
        <v>517</v>
      </c>
      <c r="G64" s="21"/>
      <c r="H64" s="207">
        <v>1</v>
      </c>
      <c r="I64" s="177" t="s">
        <v>520</v>
      </c>
      <c r="J64" s="320">
        <v>2</v>
      </c>
      <c r="K64" s="189" t="s">
        <v>197</v>
      </c>
      <c r="L64" s="167">
        <f t="shared" si="1"/>
        <v>2</v>
      </c>
      <c r="M64" s="1030"/>
      <c r="N64" s="352">
        <v>44023</v>
      </c>
      <c r="O64" s="198" t="s">
        <v>219</v>
      </c>
      <c r="P64" s="178"/>
      <c r="Q64" s="21"/>
      <c r="R64" s="198" t="s">
        <v>7</v>
      </c>
      <c r="S64" s="342"/>
      <c r="T64" s="198" t="s">
        <v>178</v>
      </c>
      <c r="U64" s="1050"/>
      <c r="V64" s="342"/>
      <c r="X64" s="239">
        <f t="shared" si="2"/>
        <v>2E-3</v>
      </c>
    </row>
    <row r="65" spans="1:24" ht="15.75">
      <c r="A65" s="339">
        <v>43</v>
      </c>
      <c r="B65" s="211" t="s">
        <v>504</v>
      </c>
      <c r="C65" s="352">
        <v>44022</v>
      </c>
      <c r="D65" s="295" t="s">
        <v>24</v>
      </c>
      <c r="E65" s="370" t="s">
        <v>505</v>
      </c>
      <c r="F65" s="21" t="s">
        <v>518</v>
      </c>
      <c r="G65" s="21"/>
      <c r="H65" s="207">
        <v>1</v>
      </c>
      <c r="I65" s="177" t="s">
        <v>520</v>
      </c>
      <c r="J65" s="320">
        <v>2</v>
      </c>
      <c r="K65" s="189" t="s">
        <v>197</v>
      </c>
      <c r="L65" s="167">
        <f t="shared" si="1"/>
        <v>2</v>
      </c>
      <c r="M65" s="1030"/>
      <c r="N65" s="352">
        <v>44023</v>
      </c>
      <c r="O65" s="198" t="s">
        <v>219</v>
      </c>
      <c r="P65" s="178"/>
      <c r="Q65" s="21"/>
      <c r="R65" s="198" t="s">
        <v>7</v>
      </c>
      <c r="S65" s="342"/>
      <c r="T65" s="198" t="s">
        <v>178</v>
      </c>
      <c r="U65" s="1050"/>
      <c r="V65" s="342"/>
      <c r="X65" s="239">
        <f t="shared" si="2"/>
        <v>2E-3</v>
      </c>
    </row>
    <row r="66" spans="1:24" ht="15.75">
      <c r="A66" s="340">
        <v>43</v>
      </c>
      <c r="B66" s="214" t="s">
        <v>504</v>
      </c>
      <c r="C66" s="353">
        <v>44022</v>
      </c>
      <c r="D66" s="309" t="s">
        <v>24</v>
      </c>
      <c r="E66" s="371" t="s">
        <v>505</v>
      </c>
      <c r="F66" s="22" t="s">
        <v>519</v>
      </c>
      <c r="G66" s="22"/>
      <c r="H66" s="209">
        <v>1</v>
      </c>
      <c r="I66" s="179" t="s">
        <v>520</v>
      </c>
      <c r="J66" s="321">
        <v>2</v>
      </c>
      <c r="K66" s="195" t="s">
        <v>197</v>
      </c>
      <c r="L66" s="170">
        <f t="shared" si="1"/>
        <v>2</v>
      </c>
      <c r="M66" s="1031"/>
      <c r="N66" s="353">
        <v>44023</v>
      </c>
      <c r="O66" s="201" t="s">
        <v>219</v>
      </c>
      <c r="P66" s="180"/>
      <c r="Q66" s="22"/>
      <c r="R66" s="201" t="s">
        <v>7</v>
      </c>
      <c r="S66" s="181"/>
      <c r="T66" s="201" t="s">
        <v>178</v>
      </c>
      <c r="U66" s="1049"/>
      <c r="V66" s="181"/>
      <c r="X66" s="239">
        <f t="shared" si="2"/>
        <v>2E-3</v>
      </c>
    </row>
    <row r="67" spans="1:24" ht="15.75">
      <c r="A67" s="338">
        <v>44</v>
      </c>
      <c r="B67" s="296" t="s">
        <v>522</v>
      </c>
      <c r="C67" s="351">
        <v>44028</v>
      </c>
      <c r="D67" s="297" t="s">
        <v>24</v>
      </c>
      <c r="E67" s="369" t="s">
        <v>523</v>
      </c>
      <c r="F67" s="19" t="s">
        <v>524</v>
      </c>
      <c r="G67" s="19" t="s">
        <v>156</v>
      </c>
      <c r="H67" s="279">
        <v>2</v>
      </c>
      <c r="I67" s="175" t="s">
        <v>207</v>
      </c>
      <c r="J67" s="318">
        <v>3</v>
      </c>
      <c r="K67" s="185" t="s">
        <v>197</v>
      </c>
      <c r="L67" s="165">
        <f t="shared" si="1"/>
        <v>6</v>
      </c>
      <c r="M67" s="1029">
        <v>56</v>
      </c>
      <c r="N67" s="351">
        <v>44029</v>
      </c>
      <c r="O67" s="197" t="s">
        <v>219</v>
      </c>
      <c r="P67" s="52" t="s">
        <v>528</v>
      </c>
      <c r="Q67" s="19" t="s">
        <v>20</v>
      </c>
      <c r="R67" s="197" t="s">
        <v>4</v>
      </c>
      <c r="S67" s="1075" t="s">
        <v>29</v>
      </c>
      <c r="T67" s="197" t="s">
        <v>178</v>
      </c>
      <c r="U67" s="1048">
        <v>10540611.9</v>
      </c>
      <c r="V67" s="1029">
        <v>260000</v>
      </c>
      <c r="X67" s="239">
        <f t="shared" si="2"/>
        <v>6.0000000000000001E-3</v>
      </c>
    </row>
    <row r="68" spans="1:24" ht="15.75">
      <c r="A68" s="339">
        <v>44</v>
      </c>
      <c r="B68" s="211" t="s">
        <v>522</v>
      </c>
      <c r="C68" s="352">
        <v>44028</v>
      </c>
      <c r="D68" s="295" t="s">
        <v>24</v>
      </c>
      <c r="E68" s="370" t="s">
        <v>523</v>
      </c>
      <c r="F68" s="21" t="s">
        <v>525</v>
      </c>
      <c r="G68" s="21" t="s">
        <v>495</v>
      </c>
      <c r="H68" s="207">
        <v>6</v>
      </c>
      <c r="I68" s="177" t="s">
        <v>207</v>
      </c>
      <c r="J68" s="320">
        <v>5</v>
      </c>
      <c r="K68" s="189" t="s">
        <v>197</v>
      </c>
      <c r="L68" s="167">
        <f t="shared" si="1"/>
        <v>30</v>
      </c>
      <c r="M68" s="1030"/>
      <c r="N68" s="352">
        <v>44029</v>
      </c>
      <c r="O68" s="198" t="s">
        <v>219</v>
      </c>
      <c r="P68" s="53" t="s">
        <v>528</v>
      </c>
      <c r="Q68" s="21" t="s">
        <v>20</v>
      </c>
      <c r="R68" s="198" t="s">
        <v>4</v>
      </c>
      <c r="S68" s="1076"/>
      <c r="T68" s="198" t="s">
        <v>178</v>
      </c>
      <c r="U68" s="1050"/>
      <c r="V68" s="1030"/>
      <c r="X68" s="239">
        <f t="shared" si="2"/>
        <v>0.03</v>
      </c>
    </row>
    <row r="69" spans="1:24" ht="15.75">
      <c r="A69" s="339">
        <v>44</v>
      </c>
      <c r="B69" s="211" t="s">
        <v>522</v>
      </c>
      <c r="C69" s="352">
        <v>44028</v>
      </c>
      <c r="D69" s="295" t="s">
        <v>24</v>
      </c>
      <c r="E69" s="370" t="s">
        <v>523</v>
      </c>
      <c r="F69" s="21" t="s">
        <v>525</v>
      </c>
      <c r="G69" s="21" t="s">
        <v>495</v>
      </c>
      <c r="H69" s="207">
        <v>6</v>
      </c>
      <c r="I69" s="177" t="s">
        <v>207</v>
      </c>
      <c r="J69" s="320">
        <v>5</v>
      </c>
      <c r="K69" s="189" t="s">
        <v>197</v>
      </c>
      <c r="L69" s="167">
        <f t="shared" si="1"/>
        <v>30</v>
      </c>
      <c r="M69" s="1030"/>
      <c r="N69" s="352">
        <v>44029</v>
      </c>
      <c r="O69" s="198" t="s">
        <v>219</v>
      </c>
      <c r="P69" s="53" t="s">
        <v>528</v>
      </c>
      <c r="Q69" s="21" t="s">
        <v>20</v>
      </c>
      <c r="R69" s="198" t="s">
        <v>4</v>
      </c>
      <c r="S69" s="1076"/>
      <c r="T69" s="198" t="s">
        <v>178</v>
      </c>
      <c r="U69" s="1050"/>
      <c r="V69" s="1030"/>
      <c r="X69" s="239">
        <f t="shared" si="2"/>
        <v>0.03</v>
      </c>
    </row>
    <row r="70" spans="1:24" ht="15.75">
      <c r="A70" s="339">
        <v>44</v>
      </c>
      <c r="B70" s="211" t="s">
        <v>522</v>
      </c>
      <c r="C70" s="352">
        <v>44028</v>
      </c>
      <c r="D70" s="295" t="s">
        <v>24</v>
      </c>
      <c r="E70" s="370" t="s">
        <v>523</v>
      </c>
      <c r="F70" s="21" t="s">
        <v>525</v>
      </c>
      <c r="G70" s="21" t="s">
        <v>495</v>
      </c>
      <c r="H70" s="207">
        <v>1</v>
      </c>
      <c r="I70" s="177" t="s">
        <v>207</v>
      </c>
      <c r="J70" s="320">
        <v>5</v>
      </c>
      <c r="K70" s="189" t="s">
        <v>197</v>
      </c>
      <c r="L70" s="167">
        <f t="shared" si="1"/>
        <v>5</v>
      </c>
      <c r="M70" s="1030"/>
      <c r="N70" s="352">
        <v>44029</v>
      </c>
      <c r="O70" s="198" t="s">
        <v>219</v>
      </c>
      <c r="P70" s="53" t="s">
        <v>528</v>
      </c>
      <c r="Q70" s="21" t="s">
        <v>20</v>
      </c>
      <c r="R70" s="198" t="s">
        <v>4</v>
      </c>
      <c r="S70" s="1076"/>
      <c r="T70" s="198" t="s">
        <v>178</v>
      </c>
      <c r="U70" s="1050"/>
      <c r="V70" s="1030"/>
      <c r="X70" s="239">
        <f t="shared" si="2"/>
        <v>5.0000000000000001E-3</v>
      </c>
    </row>
    <row r="71" spans="1:24" ht="15.75">
      <c r="A71" s="339">
        <v>44</v>
      </c>
      <c r="B71" s="211" t="s">
        <v>522</v>
      </c>
      <c r="C71" s="352">
        <v>44028</v>
      </c>
      <c r="D71" s="295" t="s">
        <v>24</v>
      </c>
      <c r="E71" s="370" t="s">
        <v>523</v>
      </c>
      <c r="F71" s="21" t="s">
        <v>526</v>
      </c>
      <c r="G71" s="21" t="s">
        <v>416</v>
      </c>
      <c r="H71" s="207">
        <v>7</v>
      </c>
      <c r="I71" s="177" t="s">
        <v>207</v>
      </c>
      <c r="J71" s="320">
        <v>7</v>
      </c>
      <c r="K71" s="189" t="s">
        <v>197</v>
      </c>
      <c r="L71" s="167">
        <f t="shared" si="1"/>
        <v>49</v>
      </c>
      <c r="M71" s="1030"/>
      <c r="N71" s="352">
        <v>44029</v>
      </c>
      <c r="O71" s="198" t="s">
        <v>219</v>
      </c>
      <c r="P71" s="53" t="s">
        <v>528</v>
      </c>
      <c r="Q71" s="21" t="s">
        <v>20</v>
      </c>
      <c r="R71" s="198" t="s">
        <v>4</v>
      </c>
      <c r="S71" s="1076"/>
      <c r="T71" s="198" t="s">
        <v>178</v>
      </c>
      <c r="U71" s="1050"/>
      <c r="V71" s="1030"/>
      <c r="X71" s="239">
        <f t="shared" si="2"/>
        <v>4.9000000000000002E-2</v>
      </c>
    </row>
    <row r="72" spans="1:24" ht="15.75">
      <c r="A72" s="339">
        <v>44</v>
      </c>
      <c r="B72" s="211" t="s">
        <v>522</v>
      </c>
      <c r="C72" s="352">
        <v>44028</v>
      </c>
      <c r="D72" s="295" t="s">
        <v>24</v>
      </c>
      <c r="E72" s="370" t="s">
        <v>523</v>
      </c>
      <c r="F72" s="21" t="s">
        <v>526</v>
      </c>
      <c r="G72" s="21" t="s">
        <v>416</v>
      </c>
      <c r="H72" s="207">
        <v>8</v>
      </c>
      <c r="I72" s="177" t="s">
        <v>207</v>
      </c>
      <c r="J72" s="320">
        <v>7</v>
      </c>
      <c r="K72" s="189" t="s">
        <v>197</v>
      </c>
      <c r="L72" s="167">
        <f t="shared" si="1"/>
        <v>56</v>
      </c>
      <c r="M72" s="1030"/>
      <c r="N72" s="352">
        <v>44029</v>
      </c>
      <c r="O72" s="198" t="s">
        <v>219</v>
      </c>
      <c r="P72" s="53" t="s">
        <v>528</v>
      </c>
      <c r="Q72" s="21" t="s">
        <v>20</v>
      </c>
      <c r="R72" s="198" t="s">
        <v>4</v>
      </c>
      <c r="S72" s="1076"/>
      <c r="T72" s="198" t="s">
        <v>178</v>
      </c>
      <c r="U72" s="1050"/>
      <c r="V72" s="1030"/>
      <c r="X72" s="239">
        <f t="shared" si="2"/>
        <v>5.6000000000000001E-2</v>
      </c>
    </row>
    <row r="73" spans="1:24" ht="15.75">
      <c r="A73" s="339">
        <v>44</v>
      </c>
      <c r="B73" s="211" t="s">
        <v>522</v>
      </c>
      <c r="C73" s="352">
        <v>44028</v>
      </c>
      <c r="D73" s="295" t="s">
        <v>24</v>
      </c>
      <c r="E73" s="370" t="s">
        <v>523</v>
      </c>
      <c r="F73" s="21" t="s">
        <v>485</v>
      </c>
      <c r="G73" s="21" t="s">
        <v>156</v>
      </c>
      <c r="H73" s="207">
        <v>1</v>
      </c>
      <c r="I73" s="177" t="s">
        <v>207</v>
      </c>
      <c r="J73" s="320">
        <v>2</v>
      </c>
      <c r="K73" s="189" t="s">
        <v>197</v>
      </c>
      <c r="L73" s="167">
        <f t="shared" si="1"/>
        <v>2</v>
      </c>
      <c r="M73" s="1030"/>
      <c r="N73" s="352">
        <v>44029</v>
      </c>
      <c r="O73" s="198" t="s">
        <v>219</v>
      </c>
      <c r="P73" s="53" t="s">
        <v>528</v>
      </c>
      <c r="Q73" s="21" t="s">
        <v>20</v>
      </c>
      <c r="R73" s="198" t="s">
        <v>4</v>
      </c>
      <c r="S73" s="1076"/>
      <c r="T73" s="198" t="s">
        <v>178</v>
      </c>
      <c r="U73" s="1050"/>
      <c r="V73" s="1030"/>
      <c r="X73" s="239">
        <f t="shared" si="2"/>
        <v>2E-3</v>
      </c>
    </row>
    <row r="74" spans="1:24" ht="15.75">
      <c r="A74" s="339">
        <v>44</v>
      </c>
      <c r="B74" s="211" t="s">
        <v>522</v>
      </c>
      <c r="C74" s="352">
        <v>44028</v>
      </c>
      <c r="D74" s="295" t="s">
        <v>24</v>
      </c>
      <c r="E74" s="370" t="s">
        <v>523</v>
      </c>
      <c r="F74" s="21" t="s">
        <v>485</v>
      </c>
      <c r="G74" s="21" t="s">
        <v>156</v>
      </c>
      <c r="H74" s="207">
        <v>1</v>
      </c>
      <c r="I74" s="177" t="s">
        <v>207</v>
      </c>
      <c r="J74" s="320">
        <v>2</v>
      </c>
      <c r="K74" s="189" t="s">
        <v>197</v>
      </c>
      <c r="L74" s="167">
        <f t="shared" si="1"/>
        <v>2</v>
      </c>
      <c r="M74" s="1030"/>
      <c r="N74" s="352">
        <v>44029</v>
      </c>
      <c r="O74" s="198" t="s">
        <v>219</v>
      </c>
      <c r="P74" s="53" t="s">
        <v>528</v>
      </c>
      <c r="Q74" s="21" t="s">
        <v>20</v>
      </c>
      <c r="R74" s="198" t="s">
        <v>4</v>
      </c>
      <c r="S74" s="1076"/>
      <c r="T74" s="198" t="s">
        <v>178</v>
      </c>
      <c r="U74" s="1050"/>
      <c r="V74" s="1030"/>
      <c r="X74" s="239">
        <f t="shared" si="2"/>
        <v>2E-3</v>
      </c>
    </row>
    <row r="75" spans="1:24" ht="15.75">
      <c r="A75" s="340">
        <v>44</v>
      </c>
      <c r="B75" s="214" t="s">
        <v>522</v>
      </c>
      <c r="C75" s="353">
        <v>44028</v>
      </c>
      <c r="D75" s="309" t="s">
        <v>24</v>
      </c>
      <c r="E75" s="371" t="s">
        <v>523</v>
      </c>
      <c r="F75" s="22" t="s">
        <v>261</v>
      </c>
      <c r="G75" s="22" t="s">
        <v>527</v>
      </c>
      <c r="H75" s="209">
        <v>2</v>
      </c>
      <c r="I75" s="179" t="s">
        <v>207</v>
      </c>
      <c r="J75" s="321">
        <v>15</v>
      </c>
      <c r="K75" s="195" t="s">
        <v>197</v>
      </c>
      <c r="L75" s="170">
        <f t="shared" si="1"/>
        <v>30</v>
      </c>
      <c r="M75" s="1031"/>
      <c r="N75" s="353">
        <v>44029</v>
      </c>
      <c r="O75" s="201" t="s">
        <v>219</v>
      </c>
      <c r="P75" s="54" t="s">
        <v>528</v>
      </c>
      <c r="Q75" s="22" t="s">
        <v>20</v>
      </c>
      <c r="R75" s="201" t="s">
        <v>4</v>
      </c>
      <c r="S75" s="1077"/>
      <c r="T75" s="201" t="s">
        <v>178</v>
      </c>
      <c r="U75" s="1049"/>
      <c r="V75" s="1031"/>
      <c r="X75" s="239">
        <f t="shared" si="2"/>
        <v>0.03</v>
      </c>
    </row>
    <row r="76" spans="1:24" ht="15.75">
      <c r="A76" s="338">
        <v>45</v>
      </c>
      <c r="B76" s="296" t="s">
        <v>529</v>
      </c>
      <c r="C76" s="351">
        <v>44033</v>
      </c>
      <c r="D76" s="297" t="s">
        <v>24</v>
      </c>
      <c r="E76" s="369" t="s">
        <v>530</v>
      </c>
      <c r="F76" s="19" t="s">
        <v>531</v>
      </c>
      <c r="G76" s="19" t="s">
        <v>180</v>
      </c>
      <c r="H76" s="279">
        <v>28</v>
      </c>
      <c r="I76" s="175" t="s">
        <v>207</v>
      </c>
      <c r="J76" s="318">
        <v>1</v>
      </c>
      <c r="K76" s="185" t="s">
        <v>197</v>
      </c>
      <c r="L76" s="165">
        <f t="shared" si="1"/>
        <v>28</v>
      </c>
      <c r="M76" s="1029">
        <v>15</v>
      </c>
      <c r="N76" s="351">
        <v>44033</v>
      </c>
      <c r="O76" s="197" t="s">
        <v>219</v>
      </c>
      <c r="P76" s="176"/>
      <c r="Q76" s="19"/>
      <c r="R76" s="197" t="s">
        <v>7</v>
      </c>
      <c r="S76" s="341"/>
      <c r="T76" s="197" t="s">
        <v>178</v>
      </c>
      <c r="U76" s="1048">
        <v>3621044.7</v>
      </c>
      <c r="V76" s="341"/>
      <c r="X76" s="239">
        <f t="shared" si="2"/>
        <v>2.8000000000000001E-2</v>
      </c>
    </row>
    <row r="77" spans="1:24" ht="15.75">
      <c r="A77" s="339">
        <v>45</v>
      </c>
      <c r="B77" s="211" t="s">
        <v>529</v>
      </c>
      <c r="C77" s="352">
        <v>44033</v>
      </c>
      <c r="D77" s="295" t="s">
        <v>24</v>
      </c>
      <c r="E77" s="370" t="s">
        <v>530</v>
      </c>
      <c r="F77" s="21" t="s">
        <v>532</v>
      </c>
      <c r="G77" s="21" t="s">
        <v>180</v>
      </c>
      <c r="H77" s="207">
        <v>2</v>
      </c>
      <c r="I77" s="177" t="s">
        <v>207</v>
      </c>
      <c r="J77" s="320">
        <v>1</v>
      </c>
      <c r="K77" s="189" t="s">
        <v>197</v>
      </c>
      <c r="L77" s="167">
        <f t="shared" si="1"/>
        <v>2</v>
      </c>
      <c r="M77" s="1030"/>
      <c r="N77" s="352">
        <v>44033</v>
      </c>
      <c r="O77" s="198" t="s">
        <v>219</v>
      </c>
      <c r="P77" s="178"/>
      <c r="Q77" s="21"/>
      <c r="R77" s="198" t="s">
        <v>7</v>
      </c>
      <c r="S77" s="342"/>
      <c r="T77" s="198" t="s">
        <v>178</v>
      </c>
      <c r="U77" s="1050"/>
      <c r="V77" s="342"/>
      <c r="X77" s="239">
        <f t="shared" si="2"/>
        <v>2E-3</v>
      </c>
    </row>
    <row r="78" spans="1:24" ht="15.75">
      <c r="A78" s="339">
        <v>45</v>
      </c>
      <c r="B78" s="211" t="s">
        <v>529</v>
      </c>
      <c r="C78" s="352">
        <v>44033</v>
      </c>
      <c r="D78" s="295" t="s">
        <v>24</v>
      </c>
      <c r="E78" s="370" t="s">
        <v>530</v>
      </c>
      <c r="F78" s="21" t="s">
        <v>533</v>
      </c>
      <c r="G78" s="21" t="s">
        <v>180</v>
      </c>
      <c r="H78" s="207">
        <v>16</v>
      </c>
      <c r="I78" s="177" t="s">
        <v>207</v>
      </c>
      <c r="J78" s="320">
        <v>1</v>
      </c>
      <c r="K78" s="189" t="s">
        <v>197</v>
      </c>
      <c r="L78" s="167">
        <f t="shared" ref="L78:L97" si="3">J78*H78</f>
        <v>16</v>
      </c>
      <c r="M78" s="1030"/>
      <c r="N78" s="352">
        <v>44033</v>
      </c>
      <c r="O78" s="198" t="s">
        <v>219</v>
      </c>
      <c r="P78" s="178"/>
      <c r="Q78" s="21"/>
      <c r="R78" s="198" t="s">
        <v>7</v>
      </c>
      <c r="S78" s="342"/>
      <c r="T78" s="198" t="s">
        <v>178</v>
      </c>
      <c r="U78" s="1050"/>
      <c r="V78" s="342"/>
      <c r="X78" s="239">
        <f t="shared" ref="X78:X141" si="4">L78/1000</f>
        <v>1.6E-2</v>
      </c>
    </row>
    <row r="79" spans="1:24" ht="15.75">
      <c r="A79" s="339">
        <v>45</v>
      </c>
      <c r="B79" s="211" t="s">
        <v>529</v>
      </c>
      <c r="C79" s="352">
        <v>44033</v>
      </c>
      <c r="D79" s="295" t="s">
        <v>24</v>
      </c>
      <c r="E79" s="370" t="s">
        <v>530</v>
      </c>
      <c r="F79" s="21" t="s">
        <v>534</v>
      </c>
      <c r="G79" s="21" t="s">
        <v>180</v>
      </c>
      <c r="H79" s="207">
        <v>16</v>
      </c>
      <c r="I79" s="177" t="s">
        <v>207</v>
      </c>
      <c r="J79" s="320">
        <v>1</v>
      </c>
      <c r="K79" s="189" t="s">
        <v>197</v>
      </c>
      <c r="L79" s="167">
        <f t="shared" si="3"/>
        <v>16</v>
      </c>
      <c r="M79" s="1030"/>
      <c r="N79" s="352">
        <v>44033</v>
      </c>
      <c r="O79" s="198" t="s">
        <v>219</v>
      </c>
      <c r="P79" s="178"/>
      <c r="Q79" s="21"/>
      <c r="R79" s="198" t="s">
        <v>7</v>
      </c>
      <c r="S79" s="342"/>
      <c r="T79" s="198" t="s">
        <v>178</v>
      </c>
      <c r="U79" s="1050"/>
      <c r="V79" s="342"/>
      <c r="X79" s="239">
        <f t="shared" si="4"/>
        <v>1.6E-2</v>
      </c>
    </row>
    <row r="80" spans="1:24" ht="15.75">
      <c r="A80" s="340">
        <v>45</v>
      </c>
      <c r="B80" s="214" t="s">
        <v>529</v>
      </c>
      <c r="C80" s="353">
        <v>44033</v>
      </c>
      <c r="D80" s="309" t="s">
        <v>24</v>
      </c>
      <c r="E80" s="371" t="s">
        <v>530</v>
      </c>
      <c r="F80" s="22" t="s">
        <v>535</v>
      </c>
      <c r="G80" s="22" t="s">
        <v>180</v>
      </c>
      <c r="H80" s="209">
        <v>3</v>
      </c>
      <c r="I80" s="179" t="s">
        <v>207</v>
      </c>
      <c r="J80" s="321">
        <v>1</v>
      </c>
      <c r="K80" s="195" t="s">
        <v>197</v>
      </c>
      <c r="L80" s="170">
        <f t="shared" si="3"/>
        <v>3</v>
      </c>
      <c r="M80" s="1031"/>
      <c r="N80" s="353">
        <v>44033</v>
      </c>
      <c r="O80" s="201" t="s">
        <v>219</v>
      </c>
      <c r="P80" s="180"/>
      <c r="Q80" s="22"/>
      <c r="R80" s="201" t="s">
        <v>7</v>
      </c>
      <c r="S80" s="181"/>
      <c r="T80" s="201" t="s">
        <v>178</v>
      </c>
      <c r="U80" s="1049"/>
      <c r="V80" s="181"/>
      <c r="X80" s="239">
        <f t="shared" si="4"/>
        <v>3.0000000000000001E-3</v>
      </c>
    </row>
    <row r="81" spans="1:31" ht="15.75">
      <c r="A81" s="338">
        <v>46</v>
      </c>
      <c r="B81" s="296" t="s">
        <v>536</v>
      </c>
      <c r="C81" s="351">
        <v>44036</v>
      </c>
      <c r="D81" s="297" t="s">
        <v>24</v>
      </c>
      <c r="E81" s="369" t="s">
        <v>537</v>
      </c>
      <c r="F81" s="19" t="s">
        <v>538</v>
      </c>
      <c r="G81" s="19" t="s">
        <v>179</v>
      </c>
      <c r="H81" s="279">
        <v>3</v>
      </c>
      <c r="I81" s="175" t="s">
        <v>6</v>
      </c>
      <c r="J81" s="318">
        <v>2</v>
      </c>
      <c r="K81" s="185" t="s">
        <v>197</v>
      </c>
      <c r="L81" s="165">
        <f t="shared" si="3"/>
        <v>6</v>
      </c>
      <c r="M81" s="1072">
        <v>21.5</v>
      </c>
      <c r="N81" s="351">
        <v>44036</v>
      </c>
      <c r="O81" s="197" t="s">
        <v>219</v>
      </c>
      <c r="P81" s="176"/>
      <c r="Q81" s="19"/>
      <c r="R81" s="197" t="s">
        <v>4</v>
      </c>
      <c r="S81" s="341"/>
      <c r="T81" s="197" t="s">
        <v>178</v>
      </c>
      <c r="U81" s="1048">
        <v>4861801.0999999996</v>
      </c>
      <c r="V81" s="341"/>
      <c r="X81" s="239">
        <f t="shared" si="4"/>
        <v>6.0000000000000001E-3</v>
      </c>
    </row>
    <row r="82" spans="1:31" ht="15.75">
      <c r="A82" s="339">
        <v>46</v>
      </c>
      <c r="B82" s="211" t="s">
        <v>536</v>
      </c>
      <c r="C82" s="352">
        <v>44036</v>
      </c>
      <c r="D82" s="295" t="s">
        <v>24</v>
      </c>
      <c r="E82" s="370" t="s">
        <v>537</v>
      </c>
      <c r="F82" s="21" t="s">
        <v>539</v>
      </c>
      <c r="G82" s="21" t="s">
        <v>179</v>
      </c>
      <c r="H82" s="207">
        <v>6</v>
      </c>
      <c r="I82" s="177" t="s">
        <v>6</v>
      </c>
      <c r="J82" s="320">
        <v>6</v>
      </c>
      <c r="K82" s="189" t="s">
        <v>197</v>
      </c>
      <c r="L82" s="167">
        <f t="shared" si="3"/>
        <v>36</v>
      </c>
      <c r="M82" s="1073"/>
      <c r="N82" s="352">
        <v>44036</v>
      </c>
      <c r="O82" s="198" t="s">
        <v>219</v>
      </c>
      <c r="P82" s="178"/>
      <c r="Q82" s="21"/>
      <c r="R82" s="198" t="s">
        <v>4</v>
      </c>
      <c r="S82" s="342"/>
      <c r="T82" s="198" t="s">
        <v>178</v>
      </c>
      <c r="U82" s="1050"/>
      <c r="V82" s="342"/>
      <c r="X82" s="239">
        <f t="shared" si="4"/>
        <v>3.5999999999999997E-2</v>
      </c>
    </row>
    <row r="83" spans="1:31" s="7" customFormat="1" ht="15.75">
      <c r="A83" s="339">
        <v>46</v>
      </c>
      <c r="B83" s="211" t="s">
        <v>536</v>
      </c>
      <c r="C83" s="352">
        <v>44036</v>
      </c>
      <c r="D83" s="295" t="s">
        <v>24</v>
      </c>
      <c r="E83" s="370" t="s">
        <v>537</v>
      </c>
      <c r="F83" s="21" t="s">
        <v>540</v>
      </c>
      <c r="G83" s="21" t="s">
        <v>179</v>
      </c>
      <c r="H83" s="207">
        <v>1</v>
      </c>
      <c r="I83" s="177" t="s">
        <v>6</v>
      </c>
      <c r="J83" s="320">
        <v>6</v>
      </c>
      <c r="K83" s="189" t="s">
        <v>197</v>
      </c>
      <c r="L83" s="167">
        <f t="shared" si="3"/>
        <v>6</v>
      </c>
      <c r="M83" s="1073"/>
      <c r="N83" s="352">
        <v>44036</v>
      </c>
      <c r="O83" s="198" t="s">
        <v>219</v>
      </c>
      <c r="P83" s="178"/>
      <c r="Q83" s="21"/>
      <c r="R83" s="198" t="s">
        <v>4</v>
      </c>
      <c r="S83" s="342"/>
      <c r="T83" s="198" t="s">
        <v>178</v>
      </c>
      <c r="U83" s="1050"/>
      <c r="V83" s="342"/>
      <c r="W83"/>
      <c r="X83" s="239">
        <f t="shared" si="4"/>
        <v>6.0000000000000001E-3</v>
      </c>
      <c r="Y83"/>
      <c r="Z83"/>
      <c r="AA83"/>
      <c r="AB83"/>
      <c r="AC83"/>
      <c r="AD83"/>
      <c r="AE83"/>
    </row>
    <row r="84" spans="1:31" s="7" customFormat="1" ht="15.75">
      <c r="A84" s="339">
        <v>46</v>
      </c>
      <c r="B84" s="211" t="s">
        <v>536</v>
      </c>
      <c r="C84" s="352">
        <v>44036</v>
      </c>
      <c r="D84" s="295" t="s">
        <v>24</v>
      </c>
      <c r="E84" s="370" t="s">
        <v>537</v>
      </c>
      <c r="F84" s="21" t="s">
        <v>541</v>
      </c>
      <c r="G84" s="21" t="s">
        <v>179</v>
      </c>
      <c r="H84" s="207">
        <v>1</v>
      </c>
      <c r="I84" s="177" t="s">
        <v>6</v>
      </c>
      <c r="J84" s="320">
        <v>6</v>
      </c>
      <c r="K84" s="189" t="s">
        <v>197</v>
      </c>
      <c r="L84" s="167">
        <f t="shared" si="3"/>
        <v>6</v>
      </c>
      <c r="M84" s="1073"/>
      <c r="N84" s="352">
        <v>44036</v>
      </c>
      <c r="O84" s="198" t="s">
        <v>219</v>
      </c>
      <c r="P84" s="178"/>
      <c r="Q84" s="21"/>
      <c r="R84" s="198" t="s">
        <v>4</v>
      </c>
      <c r="S84" s="342"/>
      <c r="T84" s="198" t="s">
        <v>178</v>
      </c>
      <c r="U84" s="1050"/>
      <c r="V84" s="342"/>
      <c r="W84"/>
      <c r="X84" s="239">
        <f t="shared" si="4"/>
        <v>6.0000000000000001E-3</v>
      </c>
      <c r="Y84"/>
      <c r="Z84"/>
      <c r="AA84"/>
      <c r="AB84"/>
      <c r="AC84"/>
      <c r="AD84"/>
      <c r="AE84"/>
    </row>
    <row r="85" spans="1:31" ht="15.75">
      <c r="A85" s="339">
        <v>46</v>
      </c>
      <c r="B85" s="211" t="s">
        <v>536</v>
      </c>
      <c r="C85" s="352">
        <v>44036</v>
      </c>
      <c r="D85" s="295" t="s">
        <v>24</v>
      </c>
      <c r="E85" s="370" t="s">
        <v>537</v>
      </c>
      <c r="F85" s="21" t="s">
        <v>389</v>
      </c>
      <c r="G85" s="21" t="s">
        <v>156</v>
      </c>
      <c r="H85" s="207">
        <v>9</v>
      </c>
      <c r="I85" s="177" t="s">
        <v>6</v>
      </c>
      <c r="J85" s="320">
        <v>2.5</v>
      </c>
      <c r="K85" s="189" t="s">
        <v>197</v>
      </c>
      <c r="L85" s="167">
        <f t="shared" si="3"/>
        <v>22.5</v>
      </c>
      <c r="M85" s="1073"/>
      <c r="N85" s="352">
        <v>44036</v>
      </c>
      <c r="O85" s="198" t="s">
        <v>219</v>
      </c>
      <c r="P85" s="178"/>
      <c r="Q85" s="21"/>
      <c r="R85" s="198" t="s">
        <v>4</v>
      </c>
      <c r="S85" s="342"/>
      <c r="T85" s="198" t="s">
        <v>178</v>
      </c>
      <c r="U85" s="1050"/>
      <c r="V85" s="342"/>
      <c r="X85" s="239">
        <f t="shared" si="4"/>
        <v>2.2499999999999999E-2</v>
      </c>
    </row>
    <row r="86" spans="1:31" ht="15.75">
      <c r="A86" s="339">
        <v>46</v>
      </c>
      <c r="B86" s="211" t="s">
        <v>536</v>
      </c>
      <c r="C86" s="352">
        <v>44036</v>
      </c>
      <c r="D86" s="295" t="s">
        <v>24</v>
      </c>
      <c r="E86" s="370" t="s">
        <v>537</v>
      </c>
      <c r="F86" s="21" t="s">
        <v>447</v>
      </c>
      <c r="G86" s="21" t="s">
        <v>213</v>
      </c>
      <c r="H86" s="207">
        <v>1</v>
      </c>
      <c r="I86" s="177" t="s">
        <v>6</v>
      </c>
      <c r="J86" s="320">
        <v>11</v>
      </c>
      <c r="K86" s="189" t="s">
        <v>197</v>
      </c>
      <c r="L86" s="167">
        <f t="shared" si="3"/>
        <v>11</v>
      </c>
      <c r="M86" s="1073"/>
      <c r="N86" s="352">
        <v>44036</v>
      </c>
      <c r="O86" s="198" t="s">
        <v>219</v>
      </c>
      <c r="P86" s="178"/>
      <c r="Q86" s="21"/>
      <c r="R86" s="198" t="s">
        <v>4</v>
      </c>
      <c r="S86" s="342"/>
      <c r="T86" s="198" t="s">
        <v>178</v>
      </c>
      <c r="U86" s="1050"/>
      <c r="V86" s="342"/>
      <c r="X86" s="239">
        <f t="shared" si="4"/>
        <v>1.0999999999999999E-2</v>
      </c>
    </row>
    <row r="87" spans="1:31" ht="15.75">
      <c r="A87" s="339">
        <v>46</v>
      </c>
      <c r="B87" s="211" t="s">
        <v>536</v>
      </c>
      <c r="C87" s="352">
        <v>44036</v>
      </c>
      <c r="D87" s="295" t="s">
        <v>24</v>
      </c>
      <c r="E87" s="370" t="s">
        <v>537</v>
      </c>
      <c r="F87" s="21" t="s">
        <v>542</v>
      </c>
      <c r="G87" s="21" t="s">
        <v>351</v>
      </c>
      <c r="H87" s="207">
        <v>1</v>
      </c>
      <c r="I87" s="177" t="s">
        <v>6</v>
      </c>
      <c r="J87" s="320">
        <v>10</v>
      </c>
      <c r="K87" s="189" t="s">
        <v>197</v>
      </c>
      <c r="L87" s="167">
        <f t="shared" si="3"/>
        <v>10</v>
      </c>
      <c r="M87" s="1073"/>
      <c r="N87" s="352">
        <v>44036</v>
      </c>
      <c r="O87" s="198" t="s">
        <v>219</v>
      </c>
      <c r="P87" s="178"/>
      <c r="Q87" s="21"/>
      <c r="R87" s="198" t="s">
        <v>4</v>
      </c>
      <c r="S87" s="342"/>
      <c r="T87" s="198" t="s">
        <v>178</v>
      </c>
      <c r="U87" s="1050"/>
      <c r="V87" s="342"/>
      <c r="X87" s="239">
        <f t="shared" si="4"/>
        <v>0.01</v>
      </c>
    </row>
    <row r="88" spans="1:31" ht="15.75">
      <c r="A88" s="339">
        <v>46</v>
      </c>
      <c r="B88" s="211" t="s">
        <v>536</v>
      </c>
      <c r="C88" s="352">
        <v>44036</v>
      </c>
      <c r="D88" s="295" t="s">
        <v>24</v>
      </c>
      <c r="E88" s="370" t="s">
        <v>537</v>
      </c>
      <c r="F88" s="21" t="s">
        <v>347</v>
      </c>
      <c r="G88" s="21" t="s">
        <v>351</v>
      </c>
      <c r="H88" s="207">
        <v>1</v>
      </c>
      <c r="I88" s="177" t="s">
        <v>6</v>
      </c>
      <c r="J88" s="320">
        <v>15</v>
      </c>
      <c r="K88" s="189" t="s">
        <v>197</v>
      </c>
      <c r="L88" s="167">
        <f t="shared" si="3"/>
        <v>15</v>
      </c>
      <c r="M88" s="1073"/>
      <c r="N88" s="352">
        <v>44036</v>
      </c>
      <c r="O88" s="198" t="s">
        <v>219</v>
      </c>
      <c r="P88" s="178"/>
      <c r="Q88" s="21"/>
      <c r="R88" s="198" t="s">
        <v>4</v>
      </c>
      <c r="S88" s="342"/>
      <c r="T88" s="198" t="s">
        <v>178</v>
      </c>
      <c r="U88" s="1050"/>
      <c r="V88" s="342"/>
      <c r="X88" s="239">
        <f t="shared" si="4"/>
        <v>1.4999999999999999E-2</v>
      </c>
    </row>
    <row r="89" spans="1:31" ht="15.75">
      <c r="A89" s="339">
        <v>46</v>
      </c>
      <c r="B89" s="211" t="s">
        <v>536</v>
      </c>
      <c r="C89" s="352">
        <v>44036</v>
      </c>
      <c r="D89" s="295" t="s">
        <v>24</v>
      </c>
      <c r="E89" s="370" t="s">
        <v>537</v>
      </c>
      <c r="F89" s="21" t="s">
        <v>477</v>
      </c>
      <c r="G89" s="21" t="s">
        <v>416</v>
      </c>
      <c r="H89" s="207">
        <v>1</v>
      </c>
      <c r="I89" s="177" t="s">
        <v>6</v>
      </c>
      <c r="J89" s="320">
        <v>5</v>
      </c>
      <c r="K89" s="189" t="s">
        <v>197</v>
      </c>
      <c r="L89" s="167">
        <f t="shared" si="3"/>
        <v>5</v>
      </c>
      <c r="M89" s="1073"/>
      <c r="N89" s="352">
        <v>44036</v>
      </c>
      <c r="O89" s="198" t="s">
        <v>219</v>
      </c>
      <c r="P89" s="178"/>
      <c r="Q89" s="21"/>
      <c r="R89" s="198" t="s">
        <v>4</v>
      </c>
      <c r="S89" s="342"/>
      <c r="T89" s="198" t="s">
        <v>178</v>
      </c>
      <c r="U89" s="1050"/>
      <c r="V89" s="342"/>
      <c r="X89" s="239">
        <f t="shared" si="4"/>
        <v>5.0000000000000001E-3</v>
      </c>
    </row>
    <row r="90" spans="1:31" ht="15.75">
      <c r="A90" s="340">
        <v>46</v>
      </c>
      <c r="B90" s="214" t="s">
        <v>536</v>
      </c>
      <c r="C90" s="353">
        <v>44036</v>
      </c>
      <c r="D90" s="309" t="s">
        <v>24</v>
      </c>
      <c r="E90" s="371" t="s">
        <v>537</v>
      </c>
      <c r="F90" s="22" t="s">
        <v>254</v>
      </c>
      <c r="G90" s="22" t="s">
        <v>416</v>
      </c>
      <c r="H90" s="209">
        <v>3</v>
      </c>
      <c r="I90" s="179" t="s">
        <v>6</v>
      </c>
      <c r="J90" s="321">
        <v>5</v>
      </c>
      <c r="K90" s="195" t="s">
        <v>197</v>
      </c>
      <c r="L90" s="170">
        <f t="shared" si="3"/>
        <v>15</v>
      </c>
      <c r="M90" s="1074"/>
      <c r="N90" s="353">
        <v>44036</v>
      </c>
      <c r="O90" s="201" t="s">
        <v>219</v>
      </c>
      <c r="P90" s="180"/>
      <c r="Q90" s="22"/>
      <c r="R90" s="201" t="s">
        <v>4</v>
      </c>
      <c r="S90" s="181"/>
      <c r="T90" s="201" t="s">
        <v>178</v>
      </c>
      <c r="U90" s="1049"/>
      <c r="V90" s="181"/>
      <c r="X90" s="239">
        <f t="shared" si="4"/>
        <v>1.4999999999999999E-2</v>
      </c>
    </row>
    <row r="91" spans="1:31" ht="15.75">
      <c r="A91" s="338">
        <v>47</v>
      </c>
      <c r="B91" s="296" t="s">
        <v>543</v>
      </c>
      <c r="C91" s="351">
        <v>44040</v>
      </c>
      <c r="D91" s="297" t="s">
        <v>24</v>
      </c>
      <c r="E91" s="369" t="s">
        <v>544</v>
      </c>
      <c r="F91" s="19" t="s">
        <v>525</v>
      </c>
      <c r="G91" s="19" t="s">
        <v>495</v>
      </c>
      <c r="H91" s="279">
        <v>3</v>
      </c>
      <c r="I91" s="175" t="s">
        <v>207</v>
      </c>
      <c r="J91" s="318">
        <v>4</v>
      </c>
      <c r="K91" s="185" t="s">
        <v>197</v>
      </c>
      <c r="L91" s="165">
        <f t="shared" si="3"/>
        <v>12</v>
      </c>
      <c r="M91" s="1072">
        <v>18.61</v>
      </c>
      <c r="N91" s="351">
        <v>44040</v>
      </c>
      <c r="O91" s="197" t="s">
        <v>219</v>
      </c>
      <c r="P91" s="176"/>
      <c r="Q91" s="19"/>
      <c r="R91" s="197" t="s">
        <v>4</v>
      </c>
      <c r="S91" s="341"/>
      <c r="T91" s="197" t="s">
        <v>178</v>
      </c>
      <c r="U91" s="1048">
        <v>4210241.0999999996</v>
      </c>
      <c r="V91" s="341"/>
      <c r="X91" s="239">
        <f t="shared" si="4"/>
        <v>1.2E-2</v>
      </c>
    </row>
    <row r="92" spans="1:31" ht="15.75">
      <c r="A92" s="339">
        <v>47</v>
      </c>
      <c r="B92" s="211" t="s">
        <v>543</v>
      </c>
      <c r="C92" s="352">
        <v>44040</v>
      </c>
      <c r="D92" s="295" t="s">
        <v>24</v>
      </c>
      <c r="E92" s="370" t="s">
        <v>544</v>
      </c>
      <c r="F92" s="21" t="s">
        <v>545</v>
      </c>
      <c r="G92" s="21" t="s">
        <v>546</v>
      </c>
      <c r="H92" s="207">
        <v>1</v>
      </c>
      <c r="I92" s="177" t="s">
        <v>207</v>
      </c>
      <c r="J92" s="320">
        <v>2.5</v>
      </c>
      <c r="K92" s="189" t="s">
        <v>197</v>
      </c>
      <c r="L92" s="167">
        <f t="shared" si="3"/>
        <v>2.5</v>
      </c>
      <c r="M92" s="1073"/>
      <c r="N92" s="352">
        <v>44040</v>
      </c>
      <c r="O92" s="198" t="s">
        <v>219</v>
      </c>
      <c r="P92" s="178"/>
      <c r="Q92" s="21"/>
      <c r="R92" s="198" t="s">
        <v>4</v>
      </c>
      <c r="S92" s="342"/>
      <c r="T92" s="198" t="s">
        <v>178</v>
      </c>
      <c r="U92" s="1050"/>
      <c r="V92" s="342"/>
      <c r="X92" s="239">
        <f t="shared" si="4"/>
        <v>2.5000000000000001E-3</v>
      </c>
    </row>
    <row r="93" spans="1:31" ht="31.5" customHeight="1">
      <c r="A93" s="339">
        <v>47</v>
      </c>
      <c r="B93" s="211" t="s">
        <v>543</v>
      </c>
      <c r="C93" s="352">
        <v>44040</v>
      </c>
      <c r="D93" s="295" t="s">
        <v>24</v>
      </c>
      <c r="E93" s="370" t="s">
        <v>544</v>
      </c>
      <c r="F93" s="21" t="s">
        <v>547</v>
      </c>
      <c r="G93" s="21" t="s">
        <v>548</v>
      </c>
      <c r="H93" s="207">
        <v>1</v>
      </c>
      <c r="I93" s="177" t="s">
        <v>207</v>
      </c>
      <c r="J93" s="320">
        <v>2</v>
      </c>
      <c r="K93" s="189" t="s">
        <v>197</v>
      </c>
      <c r="L93" s="167">
        <f t="shared" si="3"/>
        <v>2</v>
      </c>
      <c r="M93" s="1073"/>
      <c r="N93" s="352">
        <v>44040</v>
      </c>
      <c r="O93" s="198" t="s">
        <v>219</v>
      </c>
      <c r="P93" s="178"/>
      <c r="Q93" s="21"/>
      <c r="R93" s="198" t="s">
        <v>4</v>
      </c>
      <c r="S93" s="342"/>
      <c r="T93" s="198" t="s">
        <v>178</v>
      </c>
      <c r="U93" s="1050"/>
      <c r="V93" s="342"/>
      <c r="X93" s="239">
        <f t="shared" si="4"/>
        <v>2E-3</v>
      </c>
    </row>
    <row r="94" spans="1:31" ht="15.75">
      <c r="A94" s="339">
        <v>47</v>
      </c>
      <c r="B94" s="211" t="s">
        <v>543</v>
      </c>
      <c r="C94" s="352">
        <v>44040</v>
      </c>
      <c r="D94" s="295" t="s">
        <v>24</v>
      </c>
      <c r="E94" s="370" t="s">
        <v>544</v>
      </c>
      <c r="F94" s="21" t="s">
        <v>549</v>
      </c>
      <c r="G94" s="21" t="s">
        <v>33</v>
      </c>
      <c r="H94" s="207">
        <v>1</v>
      </c>
      <c r="I94" s="177" t="s">
        <v>207</v>
      </c>
      <c r="J94" s="320">
        <v>5</v>
      </c>
      <c r="K94" s="189" t="s">
        <v>197</v>
      </c>
      <c r="L94" s="167">
        <f t="shared" si="3"/>
        <v>5</v>
      </c>
      <c r="M94" s="1073"/>
      <c r="N94" s="352">
        <v>44040</v>
      </c>
      <c r="O94" s="198" t="s">
        <v>219</v>
      </c>
      <c r="P94" s="178"/>
      <c r="Q94" s="21"/>
      <c r="R94" s="198" t="s">
        <v>4</v>
      </c>
      <c r="S94" s="342"/>
      <c r="T94" s="198" t="s">
        <v>178</v>
      </c>
      <c r="U94" s="1050"/>
      <c r="V94" s="342"/>
      <c r="X94" s="239">
        <f t="shared" si="4"/>
        <v>5.0000000000000001E-3</v>
      </c>
    </row>
    <row r="95" spans="1:31" ht="15.75">
      <c r="A95" s="340">
        <v>47</v>
      </c>
      <c r="B95" s="214" t="s">
        <v>543</v>
      </c>
      <c r="C95" s="353">
        <v>44040</v>
      </c>
      <c r="D95" s="309" t="s">
        <v>24</v>
      </c>
      <c r="E95" s="371" t="s">
        <v>544</v>
      </c>
      <c r="F95" s="22" t="s">
        <v>550</v>
      </c>
      <c r="G95" s="22" t="s">
        <v>33</v>
      </c>
      <c r="H95" s="209">
        <v>1</v>
      </c>
      <c r="I95" s="179" t="s">
        <v>207</v>
      </c>
      <c r="J95" s="321">
        <v>5</v>
      </c>
      <c r="K95" s="195" t="s">
        <v>197</v>
      </c>
      <c r="L95" s="170">
        <f t="shared" si="3"/>
        <v>5</v>
      </c>
      <c r="M95" s="1074"/>
      <c r="N95" s="353">
        <v>44040</v>
      </c>
      <c r="O95" s="201" t="s">
        <v>219</v>
      </c>
      <c r="P95" s="180"/>
      <c r="Q95" s="22"/>
      <c r="R95" s="201" t="s">
        <v>4</v>
      </c>
      <c r="S95" s="181"/>
      <c r="T95" s="201" t="s">
        <v>178</v>
      </c>
      <c r="U95" s="1049"/>
      <c r="V95" s="181"/>
      <c r="X95" s="239">
        <f t="shared" si="4"/>
        <v>5.0000000000000001E-3</v>
      </c>
    </row>
    <row r="96" spans="1:31" ht="15.75">
      <c r="A96" s="517">
        <v>48</v>
      </c>
      <c r="B96" s="219" t="s">
        <v>551</v>
      </c>
      <c r="C96" s="518">
        <v>44040</v>
      </c>
      <c r="D96" s="290" t="s">
        <v>24</v>
      </c>
      <c r="E96" s="16" t="s">
        <v>552</v>
      </c>
      <c r="F96" s="4" t="s">
        <v>553</v>
      </c>
      <c r="G96" s="4" t="s">
        <v>180</v>
      </c>
      <c r="H96" s="427">
        <v>4</v>
      </c>
      <c r="I96" s="515" t="s">
        <v>207</v>
      </c>
      <c r="J96" s="516">
        <v>5</v>
      </c>
      <c r="K96" s="203" t="s">
        <v>197</v>
      </c>
      <c r="L96" s="159">
        <f t="shared" si="3"/>
        <v>20</v>
      </c>
      <c r="M96" s="519">
        <v>0.5</v>
      </c>
      <c r="N96" s="518">
        <v>44040</v>
      </c>
      <c r="O96" s="204" t="s">
        <v>219</v>
      </c>
      <c r="P96" s="520"/>
      <c r="Q96" s="4"/>
      <c r="R96" s="204" t="s">
        <v>7</v>
      </c>
      <c r="S96" s="521"/>
      <c r="T96" s="204" t="s">
        <v>178</v>
      </c>
      <c r="U96" s="522">
        <v>696471.1</v>
      </c>
      <c r="V96" s="521"/>
      <c r="X96" s="239">
        <f t="shared" si="4"/>
        <v>0.02</v>
      </c>
    </row>
    <row r="97" spans="1:24" ht="15.75">
      <c r="A97" s="517">
        <v>49</v>
      </c>
      <c r="B97" s="219" t="s">
        <v>554</v>
      </c>
      <c r="C97" s="518">
        <v>44040</v>
      </c>
      <c r="D97" s="290" t="s">
        <v>24</v>
      </c>
      <c r="E97" s="16" t="s">
        <v>555</v>
      </c>
      <c r="F97" s="4" t="s">
        <v>553</v>
      </c>
      <c r="G97" s="4" t="s">
        <v>180</v>
      </c>
      <c r="H97" s="427">
        <v>4</v>
      </c>
      <c r="I97" s="515" t="s">
        <v>207</v>
      </c>
      <c r="J97" s="516">
        <v>10</v>
      </c>
      <c r="K97" s="203" t="s">
        <v>197</v>
      </c>
      <c r="L97" s="159">
        <f t="shared" si="3"/>
        <v>40</v>
      </c>
      <c r="M97" s="519">
        <v>0.5</v>
      </c>
      <c r="N97" s="518">
        <v>44040</v>
      </c>
      <c r="O97" s="204" t="s">
        <v>556</v>
      </c>
      <c r="P97" s="520"/>
      <c r="Q97" s="4"/>
      <c r="R97" s="204" t="s">
        <v>7</v>
      </c>
      <c r="S97" s="521"/>
      <c r="T97" s="204" t="s">
        <v>178</v>
      </c>
      <c r="U97" s="522">
        <v>2170625.6</v>
      </c>
      <c r="V97" s="521"/>
      <c r="X97" s="239">
        <f t="shared" si="4"/>
        <v>0.04</v>
      </c>
    </row>
    <row r="98" spans="1:24" ht="15.75">
      <c r="A98" s="338">
        <v>50</v>
      </c>
      <c r="B98" s="296" t="s">
        <v>566</v>
      </c>
      <c r="C98" s="351">
        <v>44043</v>
      </c>
      <c r="D98" s="297" t="s">
        <v>24</v>
      </c>
      <c r="E98" s="63" t="s">
        <v>567</v>
      </c>
      <c r="F98" s="19" t="s">
        <v>557</v>
      </c>
      <c r="G98" s="19" t="s">
        <v>563</v>
      </c>
      <c r="H98" s="279">
        <v>2</v>
      </c>
      <c r="I98" s="455" t="s">
        <v>207</v>
      </c>
      <c r="J98" s="318">
        <v>4</v>
      </c>
      <c r="K98" s="185" t="s">
        <v>197</v>
      </c>
      <c r="L98" s="165">
        <v>8</v>
      </c>
      <c r="M98" s="1029">
        <v>18.09</v>
      </c>
      <c r="N98" s="351">
        <v>44043</v>
      </c>
      <c r="O98" s="197" t="s">
        <v>219</v>
      </c>
      <c r="P98" s="176"/>
      <c r="Q98" s="19"/>
      <c r="R98" s="197" t="s">
        <v>4</v>
      </c>
      <c r="S98" s="341"/>
      <c r="T98" s="197" t="s">
        <v>178</v>
      </c>
      <c r="U98" s="1048">
        <v>4522291.8</v>
      </c>
      <c r="V98" s="341"/>
      <c r="X98" s="239">
        <f t="shared" si="4"/>
        <v>8.0000000000000002E-3</v>
      </c>
    </row>
    <row r="99" spans="1:24" ht="15.75">
      <c r="A99" s="339">
        <v>50</v>
      </c>
      <c r="B99" s="211" t="s">
        <v>566</v>
      </c>
      <c r="C99" s="352">
        <v>44043</v>
      </c>
      <c r="D99" s="295" t="s">
        <v>24</v>
      </c>
      <c r="E99" s="65" t="s">
        <v>567</v>
      </c>
      <c r="F99" s="21" t="s">
        <v>221</v>
      </c>
      <c r="G99" s="21" t="s">
        <v>213</v>
      </c>
      <c r="H99" s="207">
        <v>3</v>
      </c>
      <c r="I99" s="523" t="s">
        <v>207</v>
      </c>
      <c r="J99" s="320">
        <v>11</v>
      </c>
      <c r="K99" s="189" t="s">
        <v>197</v>
      </c>
      <c r="L99" s="167">
        <v>33</v>
      </c>
      <c r="M99" s="1030"/>
      <c r="N99" s="352">
        <v>44043</v>
      </c>
      <c r="O99" s="198" t="s">
        <v>219</v>
      </c>
      <c r="P99" s="178"/>
      <c r="Q99" s="21"/>
      <c r="R99" s="198" t="s">
        <v>4</v>
      </c>
      <c r="S99" s="342"/>
      <c r="T99" s="198" t="s">
        <v>178</v>
      </c>
      <c r="U99" s="1050"/>
      <c r="V99" s="342"/>
      <c r="X99" s="239">
        <f t="shared" si="4"/>
        <v>3.3000000000000002E-2</v>
      </c>
    </row>
    <row r="100" spans="1:24" ht="15.75">
      <c r="A100" s="339">
        <v>50</v>
      </c>
      <c r="B100" s="211" t="s">
        <v>566</v>
      </c>
      <c r="C100" s="352">
        <v>44043</v>
      </c>
      <c r="D100" s="295" t="s">
        <v>24</v>
      </c>
      <c r="E100" s="65" t="s">
        <v>567</v>
      </c>
      <c r="F100" s="21" t="s">
        <v>558</v>
      </c>
      <c r="G100" s="21" t="s">
        <v>564</v>
      </c>
      <c r="H100" s="207">
        <v>1</v>
      </c>
      <c r="I100" s="523" t="s">
        <v>207</v>
      </c>
      <c r="J100" s="320">
        <v>4</v>
      </c>
      <c r="K100" s="189" t="s">
        <v>197</v>
      </c>
      <c r="L100" s="167">
        <v>4</v>
      </c>
      <c r="M100" s="1030"/>
      <c r="N100" s="352">
        <v>44043</v>
      </c>
      <c r="O100" s="198" t="s">
        <v>219</v>
      </c>
      <c r="P100" s="178"/>
      <c r="Q100" s="21"/>
      <c r="R100" s="198" t="s">
        <v>4</v>
      </c>
      <c r="S100" s="342"/>
      <c r="T100" s="198" t="s">
        <v>178</v>
      </c>
      <c r="U100" s="1050"/>
      <c r="V100" s="342"/>
      <c r="X100" s="239">
        <f t="shared" si="4"/>
        <v>4.0000000000000001E-3</v>
      </c>
    </row>
    <row r="101" spans="1:24" ht="15.75">
      <c r="A101" s="339">
        <v>50</v>
      </c>
      <c r="B101" s="211" t="s">
        <v>566</v>
      </c>
      <c r="C101" s="352">
        <v>44043</v>
      </c>
      <c r="D101" s="295" t="s">
        <v>24</v>
      </c>
      <c r="E101" s="65" t="s">
        <v>567</v>
      </c>
      <c r="F101" s="21" t="s">
        <v>419</v>
      </c>
      <c r="G101" s="21" t="s">
        <v>204</v>
      </c>
      <c r="H101" s="207">
        <v>3</v>
      </c>
      <c r="I101" s="523" t="s">
        <v>207</v>
      </c>
      <c r="J101" s="320">
        <v>15</v>
      </c>
      <c r="K101" s="189" t="s">
        <v>197</v>
      </c>
      <c r="L101" s="167">
        <v>45</v>
      </c>
      <c r="M101" s="1030"/>
      <c r="N101" s="352">
        <v>44043</v>
      </c>
      <c r="O101" s="198" t="s">
        <v>219</v>
      </c>
      <c r="P101" s="178"/>
      <c r="Q101" s="21"/>
      <c r="R101" s="198" t="s">
        <v>4</v>
      </c>
      <c r="S101" s="342"/>
      <c r="T101" s="198" t="s">
        <v>178</v>
      </c>
      <c r="U101" s="1050"/>
      <c r="V101" s="342"/>
      <c r="X101" s="239">
        <f t="shared" si="4"/>
        <v>4.4999999999999998E-2</v>
      </c>
    </row>
    <row r="102" spans="1:24" ht="15.75">
      <c r="A102" s="339">
        <v>50</v>
      </c>
      <c r="B102" s="211" t="s">
        <v>566</v>
      </c>
      <c r="C102" s="352">
        <v>44043</v>
      </c>
      <c r="D102" s="295" t="s">
        <v>24</v>
      </c>
      <c r="E102" s="65" t="s">
        <v>567</v>
      </c>
      <c r="F102" s="21" t="s">
        <v>419</v>
      </c>
      <c r="G102" s="21" t="s">
        <v>416</v>
      </c>
      <c r="H102" s="207">
        <v>1</v>
      </c>
      <c r="I102" s="523" t="s">
        <v>207</v>
      </c>
      <c r="J102" s="320">
        <v>10</v>
      </c>
      <c r="K102" s="189" t="s">
        <v>197</v>
      </c>
      <c r="L102" s="167">
        <v>10</v>
      </c>
      <c r="M102" s="1030"/>
      <c r="N102" s="352">
        <v>44043</v>
      </c>
      <c r="O102" s="198" t="s">
        <v>219</v>
      </c>
      <c r="P102" s="178"/>
      <c r="Q102" s="21"/>
      <c r="R102" s="198" t="s">
        <v>4</v>
      </c>
      <c r="S102" s="342"/>
      <c r="T102" s="198" t="s">
        <v>178</v>
      </c>
      <c r="U102" s="1050"/>
      <c r="V102" s="342"/>
      <c r="X102" s="239">
        <f t="shared" si="4"/>
        <v>0.01</v>
      </c>
    </row>
    <row r="103" spans="1:24" ht="15.75">
      <c r="A103" s="339">
        <v>50</v>
      </c>
      <c r="B103" s="211" t="s">
        <v>566</v>
      </c>
      <c r="C103" s="352">
        <v>44043</v>
      </c>
      <c r="D103" s="295" t="s">
        <v>24</v>
      </c>
      <c r="E103" s="65" t="s">
        <v>567</v>
      </c>
      <c r="F103" s="21" t="s">
        <v>559</v>
      </c>
      <c r="G103" s="21" t="s">
        <v>565</v>
      </c>
      <c r="H103" s="207">
        <v>2</v>
      </c>
      <c r="I103" s="523" t="s">
        <v>207</v>
      </c>
      <c r="J103" s="320">
        <v>9</v>
      </c>
      <c r="K103" s="189" t="s">
        <v>197</v>
      </c>
      <c r="L103" s="167">
        <v>18</v>
      </c>
      <c r="M103" s="1030"/>
      <c r="N103" s="352">
        <v>44043</v>
      </c>
      <c r="O103" s="198" t="s">
        <v>219</v>
      </c>
      <c r="P103" s="178"/>
      <c r="Q103" s="21"/>
      <c r="R103" s="198" t="s">
        <v>4</v>
      </c>
      <c r="S103" s="342"/>
      <c r="T103" s="198" t="s">
        <v>178</v>
      </c>
      <c r="U103" s="1050"/>
      <c r="V103" s="342"/>
      <c r="X103" s="239">
        <f t="shared" si="4"/>
        <v>1.7999999999999999E-2</v>
      </c>
    </row>
    <row r="104" spans="1:24" ht="15.75">
      <c r="A104" s="339">
        <v>50</v>
      </c>
      <c r="B104" s="211" t="s">
        <v>566</v>
      </c>
      <c r="C104" s="352">
        <v>44043</v>
      </c>
      <c r="D104" s="295" t="s">
        <v>24</v>
      </c>
      <c r="E104" s="65" t="s">
        <v>567</v>
      </c>
      <c r="F104" s="21" t="s">
        <v>560</v>
      </c>
      <c r="G104" s="21" t="s">
        <v>565</v>
      </c>
      <c r="H104" s="207">
        <v>1</v>
      </c>
      <c r="I104" s="523" t="s">
        <v>207</v>
      </c>
      <c r="J104" s="320">
        <v>9</v>
      </c>
      <c r="K104" s="189" t="s">
        <v>197</v>
      </c>
      <c r="L104" s="167">
        <v>9</v>
      </c>
      <c r="M104" s="1030"/>
      <c r="N104" s="352">
        <v>44043</v>
      </c>
      <c r="O104" s="198" t="s">
        <v>219</v>
      </c>
      <c r="P104" s="178"/>
      <c r="Q104" s="21"/>
      <c r="R104" s="198" t="s">
        <v>4</v>
      </c>
      <c r="S104" s="342"/>
      <c r="T104" s="198" t="s">
        <v>178</v>
      </c>
      <c r="U104" s="1050"/>
      <c r="V104" s="342"/>
      <c r="X104" s="239">
        <f t="shared" si="4"/>
        <v>8.9999999999999993E-3</v>
      </c>
    </row>
    <row r="105" spans="1:24" ht="15.75">
      <c r="A105" s="339">
        <v>50</v>
      </c>
      <c r="B105" s="211" t="s">
        <v>566</v>
      </c>
      <c r="C105" s="352">
        <v>44043</v>
      </c>
      <c r="D105" s="295" t="s">
        <v>24</v>
      </c>
      <c r="E105" s="65" t="s">
        <v>567</v>
      </c>
      <c r="F105" s="21" t="s">
        <v>561</v>
      </c>
      <c r="G105" s="21" t="s">
        <v>565</v>
      </c>
      <c r="H105" s="207">
        <v>1</v>
      </c>
      <c r="I105" s="523" t="s">
        <v>207</v>
      </c>
      <c r="J105" s="320">
        <v>11</v>
      </c>
      <c r="K105" s="189" t="s">
        <v>197</v>
      </c>
      <c r="L105" s="167">
        <v>11</v>
      </c>
      <c r="M105" s="1030"/>
      <c r="N105" s="352">
        <v>44043</v>
      </c>
      <c r="O105" s="198" t="s">
        <v>219</v>
      </c>
      <c r="P105" s="178"/>
      <c r="Q105" s="21"/>
      <c r="R105" s="198" t="s">
        <v>4</v>
      </c>
      <c r="S105" s="342"/>
      <c r="T105" s="198" t="s">
        <v>178</v>
      </c>
      <c r="U105" s="1050"/>
      <c r="V105" s="342"/>
      <c r="X105" s="239">
        <f t="shared" si="4"/>
        <v>1.0999999999999999E-2</v>
      </c>
    </row>
    <row r="106" spans="1:24" ht="15.75">
      <c r="A106" s="339">
        <v>50</v>
      </c>
      <c r="B106" s="211" t="s">
        <v>566</v>
      </c>
      <c r="C106" s="352">
        <v>44043</v>
      </c>
      <c r="D106" s="295" t="s">
        <v>24</v>
      </c>
      <c r="E106" s="65" t="s">
        <v>567</v>
      </c>
      <c r="F106" s="21" t="s">
        <v>562</v>
      </c>
      <c r="G106" s="21" t="s">
        <v>565</v>
      </c>
      <c r="H106" s="207">
        <v>1</v>
      </c>
      <c r="I106" s="523" t="s">
        <v>207</v>
      </c>
      <c r="J106" s="320">
        <v>11</v>
      </c>
      <c r="K106" s="189" t="s">
        <v>197</v>
      </c>
      <c r="L106" s="167">
        <v>11</v>
      </c>
      <c r="M106" s="1030"/>
      <c r="N106" s="352">
        <v>44043</v>
      </c>
      <c r="O106" s="198" t="s">
        <v>219</v>
      </c>
      <c r="P106" s="178"/>
      <c r="Q106" s="21"/>
      <c r="R106" s="198" t="s">
        <v>4</v>
      </c>
      <c r="S106" s="342"/>
      <c r="T106" s="198" t="s">
        <v>178</v>
      </c>
      <c r="U106" s="1050"/>
      <c r="V106" s="342"/>
      <c r="X106" s="239">
        <f t="shared" si="4"/>
        <v>1.0999999999999999E-2</v>
      </c>
    </row>
    <row r="107" spans="1:24" ht="15.75">
      <c r="A107" s="340">
        <v>50</v>
      </c>
      <c r="B107" s="214" t="s">
        <v>566</v>
      </c>
      <c r="C107" s="353">
        <v>44043</v>
      </c>
      <c r="D107" s="309" t="s">
        <v>24</v>
      </c>
      <c r="E107" s="67" t="s">
        <v>567</v>
      </c>
      <c r="F107" s="22" t="s">
        <v>408</v>
      </c>
      <c r="G107" s="22" t="s">
        <v>373</v>
      </c>
      <c r="H107" s="209">
        <v>1</v>
      </c>
      <c r="I107" s="524" t="s">
        <v>207</v>
      </c>
      <c r="J107" s="321">
        <v>3</v>
      </c>
      <c r="K107" s="195" t="s">
        <v>197</v>
      </c>
      <c r="L107" s="170">
        <v>3</v>
      </c>
      <c r="M107" s="1031"/>
      <c r="N107" s="353">
        <v>44043</v>
      </c>
      <c r="O107" s="201" t="s">
        <v>219</v>
      </c>
      <c r="P107" s="180"/>
      <c r="Q107" s="22"/>
      <c r="R107" s="201" t="s">
        <v>4</v>
      </c>
      <c r="S107" s="181"/>
      <c r="T107" s="201" t="s">
        <v>178</v>
      </c>
      <c r="U107" s="1049"/>
      <c r="V107" s="181"/>
      <c r="X107" s="239">
        <f t="shared" si="4"/>
        <v>3.0000000000000001E-3</v>
      </c>
    </row>
    <row r="108" spans="1:24" ht="15.75">
      <c r="A108" s="339"/>
      <c r="B108" s="211"/>
      <c r="C108" s="352"/>
      <c r="D108" s="295"/>
      <c r="E108" s="370"/>
      <c r="F108" s="21"/>
      <c r="G108" s="21"/>
      <c r="H108" s="207"/>
      <c r="I108" s="177"/>
      <c r="J108" s="320"/>
      <c r="K108" s="189"/>
      <c r="L108" s="167"/>
      <c r="M108" s="174"/>
      <c r="N108" s="352"/>
      <c r="O108" s="198"/>
      <c r="P108" s="178"/>
      <c r="Q108" s="21"/>
      <c r="R108" s="198"/>
      <c r="S108" s="342"/>
      <c r="T108" s="198"/>
      <c r="U108" s="423"/>
      <c r="V108" s="342"/>
      <c r="X108" s="239">
        <f t="shared" si="4"/>
        <v>0</v>
      </c>
    </row>
    <row r="109" spans="1:24" ht="15.75">
      <c r="A109" s="339"/>
      <c r="B109" s="211"/>
      <c r="C109" s="352"/>
      <c r="D109" s="295"/>
      <c r="E109" s="370"/>
      <c r="F109" s="21"/>
      <c r="G109" s="21"/>
      <c r="H109" s="207"/>
      <c r="I109" s="177"/>
      <c r="J109" s="320"/>
      <c r="K109" s="189"/>
      <c r="L109" s="167"/>
      <c r="M109" s="174"/>
      <c r="N109" s="352"/>
      <c r="O109" s="198"/>
      <c r="P109" s="178"/>
      <c r="Q109" s="21"/>
      <c r="R109" s="198"/>
      <c r="S109" s="342"/>
      <c r="T109" s="198"/>
      <c r="U109" s="423"/>
      <c r="V109" s="342"/>
      <c r="X109" s="239">
        <f t="shared" si="4"/>
        <v>0</v>
      </c>
    </row>
    <row r="110" spans="1:24" ht="15.75">
      <c r="A110" s="339"/>
      <c r="B110" s="211"/>
      <c r="C110" s="352"/>
      <c r="D110" s="295"/>
      <c r="E110" s="370"/>
      <c r="F110" s="21"/>
      <c r="G110" s="21"/>
      <c r="H110" s="207"/>
      <c r="I110" s="177"/>
      <c r="J110" s="320"/>
      <c r="K110" s="189"/>
      <c r="L110" s="167"/>
      <c r="M110" s="174"/>
      <c r="N110" s="352"/>
      <c r="O110" s="198"/>
      <c r="P110" s="178"/>
      <c r="Q110" s="21"/>
      <c r="R110" s="198"/>
      <c r="S110" s="342"/>
      <c r="T110" s="198"/>
      <c r="U110" s="423"/>
      <c r="V110" s="342"/>
      <c r="X110" s="239">
        <f t="shared" si="4"/>
        <v>0</v>
      </c>
    </row>
    <row r="111" spans="1:24" ht="15.75">
      <c r="A111" s="339"/>
      <c r="B111" s="211"/>
      <c r="C111" s="352"/>
      <c r="D111" s="295"/>
      <c r="E111" s="370"/>
      <c r="F111" s="21"/>
      <c r="G111" s="21"/>
      <c r="H111" s="207"/>
      <c r="I111" s="177"/>
      <c r="J111" s="320"/>
      <c r="K111" s="189"/>
      <c r="L111" s="167"/>
      <c r="M111" s="174"/>
      <c r="N111" s="352"/>
      <c r="O111" s="198"/>
      <c r="P111" s="178"/>
      <c r="Q111" s="21"/>
      <c r="R111" s="198"/>
      <c r="S111" s="342"/>
      <c r="T111" s="198"/>
      <c r="U111" s="423"/>
      <c r="V111" s="342"/>
      <c r="X111" s="239">
        <f t="shared" si="4"/>
        <v>0</v>
      </c>
    </row>
    <row r="112" spans="1:24" ht="15.75">
      <c r="A112" s="339"/>
      <c r="B112" s="211"/>
      <c r="C112" s="352"/>
      <c r="D112" s="295"/>
      <c r="E112" s="370"/>
      <c r="F112" s="21"/>
      <c r="G112" s="21"/>
      <c r="H112" s="207"/>
      <c r="I112" s="177"/>
      <c r="J112" s="320"/>
      <c r="K112" s="189"/>
      <c r="L112" s="167"/>
      <c r="M112" s="174"/>
      <c r="N112" s="352"/>
      <c r="O112" s="198"/>
      <c r="P112" s="178"/>
      <c r="Q112" s="21"/>
      <c r="R112" s="198"/>
      <c r="S112" s="342"/>
      <c r="T112" s="198"/>
      <c r="U112" s="423"/>
      <c r="V112" s="342"/>
      <c r="X112" s="239">
        <f t="shared" si="4"/>
        <v>0</v>
      </c>
    </row>
    <row r="113" spans="1:24" ht="15.75">
      <c r="A113" s="339"/>
      <c r="B113" s="211"/>
      <c r="C113" s="352"/>
      <c r="D113" s="295"/>
      <c r="E113" s="370"/>
      <c r="F113" s="21"/>
      <c r="G113" s="21"/>
      <c r="H113" s="207"/>
      <c r="I113" s="177"/>
      <c r="J113" s="320"/>
      <c r="K113" s="189"/>
      <c r="L113" s="167"/>
      <c r="M113" s="174"/>
      <c r="N113" s="352"/>
      <c r="O113" s="198"/>
      <c r="P113" s="178"/>
      <c r="Q113" s="21"/>
      <c r="R113" s="198"/>
      <c r="S113" s="342"/>
      <c r="T113" s="198"/>
      <c r="U113" s="423"/>
      <c r="V113" s="342"/>
      <c r="X113" s="239">
        <f t="shared" si="4"/>
        <v>0</v>
      </c>
    </row>
    <row r="114" spans="1:24" ht="15.75">
      <c r="A114" s="339"/>
      <c r="B114" s="211"/>
      <c r="C114" s="352"/>
      <c r="D114" s="295"/>
      <c r="E114" s="370"/>
      <c r="F114" s="21"/>
      <c r="G114" s="21"/>
      <c r="H114" s="207"/>
      <c r="I114" s="177"/>
      <c r="J114" s="320"/>
      <c r="K114" s="189"/>
      <c r="L114" s="167"/>
      <c r="M114" s="174"/>
      <c r="N114" s="352"/>
      <c r="O114" s="198"/>
      <c r="P114" s="178"/>
      <c r="Q114" s="21"/>
      <c r="R114" s="198"/>
      <c r="S114" s="342"/>
      <c r="T114" s="198"/>
      <c r="U114" s="423"/>
      <c r="V114" s="342"/>
      <c r="X114" s="239">
        <f t="shared" si="4"/>
        <v>0</v>
      </c>
    </row>
    <row r="115" spans="1:24" ht="15.75">
      <c r="A115" s="339"/>
      <c r="B115" s="211"/>
      <c r="C115" s="352"/>
      <c r="D115" s="295"/>
      <c r="E115" s="370"/>
      <c r="F115" s="21"/>
      <c r="G115" s="21"/>
      <c r="H115" s="207"/>
      <c r="I115" s="177"/>
      <c r="J115" s="320"/>
      <c r="K115" s="189"/>
      <c r="L115" s="167"/>
      <c r="M115" s="174"/>
      <c r="N115" s="352"/>
      <c r="O115" s="198"/>
      <c r="P115" s="178"/>
      <c r="Q115" s="21"/>
      <c r="R115" s="198"/>
      <c r="S115" s="342"/>
      <c r="T115" s="198"/>
      <c r="U115" s="423"/>
      <c r="V115" s="342"/>
      <c r="X115" s="239">
        <f t="shared" si="4"/>
        <v>0</v>
      </c>
    </row>
    <row r="116" spans="1:24" ht="15.75">
      <c r="A116" s="339"/>
      <c r="B116" s="211"/>
      <c r="C116" s="352"/>
      <c r="D116" s="295"/>
      <c r="E116" s="370"/>
      <c r="F116" s="21"/>
      <c r="G116" s="21"/>
      <c r="H116" s="207"/>
      <c r="I116" s="177"/>
      <c r="J116" s="320"/>
      <c r="K116" s="189"/>
      <c r="L116" s="167"/>
      <c r="M116" s="174"/>
      <c r="N116" s="352"/>
      <c r="O116" s="198"/>
      <c r="P116" s="178"/>
      <c r="Q116" s="21"/>
      <c r="R116" s="198"/>
      <c r="S116" s="342"/>
      <c r="T116" s="198"/>
      <c r="U116" s="423"/>
      <c r="V116" s="342"/>
      <c r="X116" s="239">
        <f t="shared" si="4"/>
        <v>0</v>
      </c>
    </row>
    <row r="117" spans="1:24" ht="15.75">
      <c r="A117" s="339"/>
      <c r="B117" s="211"/>
      <c r="C117" s="352"/>
      <c r="D117" s="295"/>
      <c r="E117" s="370"/>
      <c r="F117" s="21"/>
      <c r="G117" s="21"/>
      <c r="H117" s="207"/>
      <c r="I117" s="177"/>
      <c r="J117" s="320"/>
      <c r="K117" s="189"/>
      <c r="L117" s="167"/>
      <c r="M117" s="174"/>
      <c r="N117" s="352"/>
      <c r="O117" s="198"/>
      <c r="P117" s="178"/>
      <c r="Q117" s="21"/>
      <c r="R117" s="198"/>
      <c r="S117" s="342"/>
      <c r="T117" s="198"/>
      <c r="U117" s="423"/>
      <c r="V117" s="342"/>
      <c r="X117" s="239">
        <f t="shared" si="4"/>
        <v>0</v>
      </c>
    </row>
    <row r="118" spans="1:24" ht="15.75">
      <c r="A118" s="339"/>
      <c r="B118" s="211"/>
      <c r="C118" s="352"/>
      <c r="D118" s="295"/>
      <c r="E118" s="370"/>
      <c r="F118" s="21"/>
      <c r="G118" s="21"/>
      <c r="H118" s="207"/>
      <c r="I118" s="177"/>
      <c r="J118" s="320"/>
      <c r="K118" s="189"/>
      <c r="L118" s="167"/>
      <c r="M118" s="174"/>
      <c r="N118" s="352"/>
      <c r="O118" s="198"/>
      <c r="P118" s="178"/>
      <c r="Q118" s="21"/>
      <c r="R118" s="198"/>
      <c r="S118" s="342"/>
      <c r="T118" s="198"/>
      <c r="U118" s="423"/>
      <c r="V118" s="342"/>
      <c r="X118" s="239">
        <f t="shared" si="4"/>
        <v>0</v>
      </c>
    </row>
    <row r="119" spans="1:24" ht="15.75">
      <c r="A119" s="339"/>
      <c r="B119" s="211"/>
      <c r="C119" s="352"/>
      <c r="D119" s="295"/>
      <c r="E119" s="370"/>
      <c r="F119" s="21"/>
      <c r="G119" s="21"/>
      <c r="H119" s="207"/>
      <c r="I119" s="177"/>
      <c r="J119" s="320"/>
      <c r="K119" s="189"/>
      <c r="L119" s="167"/>
      <c r="M119" s="174"/>
      <c r="N119" s="352"/>
      <c r="O119" s="198"/>
      <c r="P119" s="178"/>
      <c r="Q119" s="21"/>
      <c r="R119" s="198"/>
      <c r="S119" s="342"/>
      <c r="T119" s="198"/>
      <c r="U119" s="423"/>
      <c r="V119" s="342"/>
      <c r="X119" s="239">
        <f t="shared" si="4"/>
        <v>0</v>
      </c>
    </row>
    <row r="120" spans="1:24" ht="15.75">
      <c r="A120" s="339"/>
      <c r="B120" s="211"/>
      <c r="C120" s="352"/>
      <c r="D120" s="295"/>
      <c r="E120" s="370"/>
      <c r="F120" s="21"/>
      <c r="G120" s="21"/>
      <c r="H120" s="207"/>
      <c r="I120" s="177"/>
      <c r="J120" s="320"/>
      <c r="K120" s="189"/>
      <c r="L120" s="167"/>
      <c r="M120" s="174"/>
      <c r="N120" s="352"/>
      <c r="O120" s="198"/>
      <c r="P120" s="178"/>
      <c r="Q120" s="21"/>
      <c r="R120" s="198"/>
      <c r="S120" s="342"/>
      <c r="T120" s="198"/>
      <c r="U120" s="423"/>
      <c r="V120" s="342"/>
      <c r="X120" s="239">
        <f t="shared" si="4"/>
        <v>0</v>
      </c>
    </row>
    <row r="121" spans="1:24" ht="15.75">
      <c r="A121" s="339"/>
      <c r="B121" s="211"/>
      <c r="C121" s="352"/>
      <c r="D121" s="295"/>
      <c r="E121" s="370"/>
      <c r="F121" s="21"/>
      <c r="G121" s="21"/>
      <c r="H121" s="207"/>
      <c r="I121" s="177"/>
      <c r="J121" s="320"/>
      <c r="K121" s="189"/>
      <c r="L121" s="167"/>
      <c r="M121" s="174"/>
      <c r="N121" s="352"/>
      <c r="O121" s="198"/>
      <c r="P121" s="178"/>
      <c r="Q121" s="21"/>
      <c r="R121" s="198"/>
      <c r="S121" s="342"/>
      <c r="T121" s="198"/>
      <c r="U121" s="423"/>
      <c r="V121" s="342"/>
      <c r="X121" s="239">
        <f t="shared" si="4"/>
        <v>0</v>
      </c>
    </row>
    <row r="122" spans="1:24" ht="15.75">
      <c r="A122" s="339"/>
      <c r="B122" s="211"/>
      <c r="C122" s="352"/>
      <c r="D122" s="295"/>
      <c r="E122" s="370"/>
      <c r="F122" s="21"/>
      <c r="G122" s="21"/>
      <c r="H122" s="207"/>
      <c r="I122" s="177"/>
      <c r="J122" s="320"/>
      <c r="K122" s="189"/>
      <c r="L122" s="167"/>
      <c r="M122" s="174"/>
      <c r="N122" s="352"/>
      <c r="O122" s="198"/>
      <c r="P122" s="178"/>
      <c r="Q122" s="21"/>
      <c r="R122" s="198"/>
      <c r="S122" s="342"/>
      <c r="T122" s="198"/>
      <c r="U122" s="423"/>
      <c r="V122" s="342"/>
      <c r="X122" s="239">
        <f t="shared" si="4"/>
        <v>0</v>
      </c>
    </row>
    <row r="123" spans="1:24" ht="15.75">
      <c r="A123" s="339"/>
      <c r="B123" s="211"/>
      <c r="C123" s="352"/>
      <c r="D123" s="295"/>
      <c r="E123" s="370"/>
      <c r="F123" s="21"/>
      <c r="G123" s="21"/>
      <c r="H123" s="207"/>
      <c r="I123" s="177"/>
      <c r="J123" s="320"/>
      <c r="K123" s="189"/>
      <c r="L123" s="167"/>
      <c r="M123" s="174"/>
      <c r="N123" s="352"/>
      <c r="O123" s="198"/>
      <c r="P123" s="178"/>
      <c r="Q123" s="21"/>
      <c r="R123" s="198"/>
      <c r="S123" s="342"/>
      <c r="T123" s="198"/>
      <c r="U123" s="423"/>
      <c r="V123" s="342"/>
      <c r="X123" s="239">
        <f t="shared" si="4"/>
        <v>0</v>
      </c>
    </row>
    <row r="124" spans="1:24" ht="15.75">
      <c r="A124" s="339"/>
      <c r="B124" s="211"/>
      <c r="C124" s="352"/>
      <c r="D124" s="295"/>
      <c r="E124" s="370"/>
      <c r="F124" s="21"/>
      <c r="G124" s="21"/>
      <c r="H124" s="207"/>
      <c r="I124" s="177"/>
      <c r="J124" s="320"/>
      <c r="K124" s="189"/>
      <c r="L124" s="167"/>
      <c r="M124" s="174"/>
      <c r="N124" s="352"/>
      <c r="O124" s="198"/>
      <c r="P124" s="178"/>
      <c r="Q124" s="21"/>
      <c r="R124" s="198"/>
      <c r="S124" s="342"/>
      <c r="T124" s="198"/>
      <c r="U124" s="423"/>
      <c r="V124" s="342"/>
      <c r="X124" s="239">
        <f t="shared" si="4"/>
        <v>0</v>
      </c>
    </row>
    <row r="125" spans="1:24" ht="15.75">
      <c r="A125" s="339"/>
      <c r="B125" s="211"/>
      <c r="C125" s="352"/>
      <c r="D125" s="295"/>
      <c r="E125" s="370"/>
      <c r="F125" s="21"/>
      <c r="G125" s="21"/>
      <c r="H125" s="207"/>
      <c r="I125" s="177"/>
      <c r="J125" s="320"/>
      <c r="K125" s="189"/>
      <c r="L125" s="167"/>
      <c r="M125" s="174"/>
      <c r="N125" s="352"/>
      <c r="O125" s="198"/>
      <c r="P125" s="178"/>
      <c r="Q125" s="21"/>
      <c r="R125" s="198"/>
      <c r="S125" s="342"/>
      <c r="T125" s="198"/>
      <c r="U125" s="423"/>
      <c r="V125" s="342"/>
      <c r="X125" s="239">
        <f t="shared" si="4"/>
        <v>0</v>
      </c>
    </row>
    <row r="126" spans="1:24" ht="15.75">
      <c r="A126" s="339"/>
      <c r="B126" s="211"/>
      <c r="C126" s="352"/>
      <c r="D126" s="295"/>
      <c r="E126" s="370"/>
      <c r="F126" s="21"/>
      <c r="G126" s="21"/>
      <c r="H126" s="207"/>
      <c r="I126" s="177"/>
      <c r="J126" s="320"/>
      <c r="K126" s="189"/>
      <c r="L126" s="167"/>
      <c r="M126" s="174"/>
      <c r="N126" s="352"/>
      <c r="O126" s="198"/>
      <c r="P126" s="178"/>
      <c r="Q126" s="21"/>
      <c r="R126" s="198"/>
      <c r="S126" s="342"/>
      <c r="T126" s="198"/>
      <c r="U126" s="423"/>
      <c r="V126" s="342"/>
      <c r="X126" s="239">
        <f t="shared" si="4"/>
        <v>0</v>
      </c>
    </row>
    <row r="127" spans="1:24" ht="15.75">
      <c r="A127" s="339"/>
      <c r="B127" s="211"/>
      <c r="C127" s="352"/>
      <c r="D127" s="295"/>
      <c r="E127" s="370"/>
      <c r="F127" s="21"/>
      <c r="G127" s="21"/>
      <c r="H127" s="207"/>
      <c r="I127" s="177"/>
      <c r="J127" s="320"/>
      <c r="K127" s="189"/>
      <c r="L127" s="167"/>
      <c r="M127" s="174"/>
      <c r="N127" s="352"/>
      <c r="O127" s="198"/>
      <c r="P127" s="178"/>
      <c r="Q127" s="21"/>
      <c r="R127" s="198"/>
      <c r="S127" s="342"/>
      <c r="T127" s="198"/>
      <c r="U127" s="423"/>
      <c r="V127" s="342"/>
      <c r="X127" s="239">
        <f t="shared" si="4"/>
        <v>0</v>
      </c>
    </row>
    <row r="128" spans="1:24" ht="15.75">
      <c r="A128" s="339"/>
      <c r="B128" s="211"/>
      <c r="C128" s="352"/>
      <c r="D128" s="295"/>
      <c r="E128" s="370"/>
      <c r="F128" s="21"/>
      <c r="G128" s="21"/>
      <c r="H128" s="207"/>
      <c r="I128" s="177"/>
      <c r="J128" s="320"/>
      <c r="K128" s="189"/>
      <c r="L128" s="167"/>
      <c r="M128" s="174"/>
      <c r="N128" s="352"/>
      <c r="O128" s="198"/>
      <c r="P128" s="178"/>
      <c r="Q128" s="21"/>
      <c r="R128" s="198"/>
      <c r="S128" s="342"/>
      <c r="T128" s="198"/>
      <c r="U128" s="423"/>
      <c r="V128" s="342"/>
      <c r="X128" s="239">
        <f t="shared" si="4"/>
        <v>0</v>
      </c>
    </row>
    <row r="129" spans="1:24" ht="15.75">
      <c r="A129" s="339"/>
      <c r="B129" s="211"/>
      <c r="C129" s="352"/>
      <c r="D129" s="295"/>
      <c r="E129" s="370"/>
      <c r="F129" s="21"/>
      <c r="G129" s="21"/>
      <c r="H129" s="207"/>
      <c r="I129" s="177"/>
      <c r="J129" s="320"/>
      <c r="K129" s="189"/>
      <c r="L129" s="167"/>
      <c r="M129" s="174"/>
      <c r="N129" s="352"/>
      <c r="O129" s="198"/>
      <c r="P129" s="178"/>
      <c r="Q129" s="21"/>
      <c r="R129" s="198"/>
      <c r="S129" s="342"/>
      <c r="T129" s="198"/>
      <c r="U129" s="423"/>
      <c r="V129" s="342"/>
      <c r="X129" s="239">
        <f t="shared" si="4"/>
        <v>0</v>
      </c>
    </row>
    <row r="130" spans="1:24" ht="15.75">
      <c r="A130" s="339"/>
      <c r="B130" s="211"/>
      <c r="C130" s="352"/>
      <c r="D130" s="295"/>
      <c r="E130" s="370"/>
      <c r="F130" s="21"/>
      <c r="G130" s="21"/>
      <c r="H130" s="207"/>
      <c r="I130" s="177"/>
      <c r="J130" s="320"/>
      <c r="K130" s="189"/>
      <c r="L130" s="167"/>
      <c r="M130" s="174"/>
      <c r="N130" s="352"/>
      <c r="O130" s="198"/>
      <c r="P130" s="178"/>
      <c r="Q130" s="21"/>
      <c r="R130" s="198"/>
      <c r="S130" s="342"/>
      <c r="T130" s="198"/>
      <c r="U130" s="423"/>
      <c r="V130" s="342"/>
      <c r="X130" s="239">
        <f t="shared" si="4"/>
        <v>0</v>
      </c>
    </row>
    <row r="131" spans="1:24" ht="15.75">
      <c r="A131" s="339"/>
      <c r="B131" s="211"/>
      <c r="C131" s="352"/>
      <c r="D131" s="295"/>
      <c r="E131" s="370"/>
      <c r="F131" s="21"/>
      <c r="G131" s="21"/>
      <c r="H131" s="207"/>
      <c r="I131" s="177"/>
      <c r="J131" s="320"/>
      <c r="K131" s="189"/>
      <c r="L131" s="167"/>
      <c r="M131" s="174"/>
      <c r="N131" s="352"/>
      <c r="O131" s="198"/>
      <c r="P131" s="178"/>
      <c r="Q131" s="21"/>
      <c r="R131" s="198"/>
      <c r="S131" s="342"/>
      <c r="T131" s="198"/>
      <c r="U131" s="423"/>
      <c r="V131" s="342"/>
      <c r="X131" s="239">
        <f t="shared" si="4"/>
        <v>0</v>
      </c>
    </row>
    <row r="132" spans="1:24" ht="15.75">
      <c r="A132" s="339"/>
      <c r="B132" s="211"/>
      <c r="C132" s="352"/>
      <c r="D132" s="295"/>
      <c r="E132" s="370"/>
      <c r="F132" s="21"/>
      <c r="G132" s="21"/>
      <c r="H132" s="207"/>
      <c r="I132" s="177"/>
      <c r="J132" s="320"/>
      <c r="K132" s="189"/>
      <c r="L132" s="167"/>
      <c r="M132" s="174"/>
      <c r="N132" s="352"/>
      <c r="O132" s="198"/>
      <c r="P132" s="178"/>
      <c r="Q132" s="21"/>
      <c r="R132" s="198"/>
      <c r="S132" s="342"/>
      <c r="T132" s="198"/>
      <c r="U132" s="423"/>
      <c r="V132" s="342"/>
      <c r="X132" s="239">
        <f t="shared" si="4"/>
        <v>0</v>
      </c>
    </row>
    <row r="133" spans="1:24" ht="15.75">
      <c r="A133" s="339"/>
      <c r="B133" s="211"/>
      <c r="C133" s="352"/>
      <c r="D133" s="295"/>
      <c r="E133" s="370"/>
      <c r="F133" s="21"/>
      <c r="G133" s="21"/>
      <c r="H133" s="207"/>
      <c r="I133" s="177"/>
      <c r="J133" s="320"/>
      <c r="K133" s="189"/>
      <c r="L133" s="167"/>
      <c r="M133" s="174"/>
      <c r="N133" s="352"/>
      <c r="O133" s="198"/>
      <c r="P133" s="178"/>
      <c r="Q133" s="21"/>
      <c r="R133" s="198"/>
      <c r="S133" s="342"/>
      <c r="T133" s="198"/>
      <c r="U133" s="423"/>
      <c r="V133" s="342"/>
      <c r="X133" s="239">
        <f t="shared" si="4"/>
        <v>0</v>
      </c>
    </row>
    <row r="134" spans="1:24" ht="15.75">
      <c r="A134" s="339"/>
      <c r="B134" s="211"/>
      <c r="C134" s="352"/>
      <c r="D134" s="295"/>
      <c r="E134" s="370"/>
      <c r="F134" s="21"/>
      <c r="G134" s="21"/>
      <c r="H134" s="207"/>
      <c r="I134" s="177"/>
      <c r="J134" s="320"/>
      <c r="K134" s="189"/>
      <c r="L134" s="167"/>
      <c r="M134" s="174"/>
      <c r="N134" s="352"/>
      <c r="O134" s="198"/>
      <c r="P134" s="178"/>
      <c r="Q134" s="21"/>
      <c r="R134" s="198"/>
      <c r="S134" s="342"/>
      <c r="T134" s="198"/>
      <c r="U134" s="423"/>
      <c r="V134" s="342"/>
      <c r="X134" s="239">
        <f t="shared" si="4"/>
        <v>0</v>
      </c>
    </row>
    <row r="135" spans="1:24" ht="15.75">
      <c r="A135" s="339"/>
      <c r="B135" s="211"/>
      <c r="C135" s="352"/>
      <c r="D135" s="295"/>
      <c r="E135" s="370"/>
      <c r="F135" s="21"/>
      <c r="G135" s="21"/>
      <c r="H135" s="207"/>
      <c r="I135" s="177"/>
      <c r="J135" s="320"/>
      <c r="K135" s="189"/>
      <c r="L135" s="167"/>
      <c r="M135" s="174"/>
      <c r="N135" s="352"/>
      <c r="O135" s="198"/>
      <c r="P135" s="178"/>
      <c r="Q135" s="21"/>
      <c r="R135" s="198"/>
      <c r="S135" s="342"/>
      <c r="T135" s="198"/>
      <c r="U135" s="423"/>
      <c r="V135" s="342"/>
      <c r="X135" s="239">
        <f t="shared" si="4"/>
        <v>0</v>
      </c>
    </row>
    <row r="136" spans="1:24" ht="15.75">
      <c r="A136" s="339"/>
      <c r="B136" s="211"/>
      <c r="C136" s="352"/>
      <c r="D136" s="295"/>
      <c r="E136" s="370"/>
      <c r="F136" s="21"/>
      <c r="G136" s="21"/>
      <c r="H136" s="207"/>
      <c r="I136" s="177"/>
      <c r="J136" s="320"/>
      <c r="K136" s="189"/>
      <c r="L136" s="167"/>
      <c r="M136" s="174"/>
      <c r="N136" s="352"/>
      <c r="O136" s="198"/>
      <c r="P136" s="178"/>
      <c r="Q136" s="21"/>
      <c r="R136" s="198"/>
      <c r="S136" s="342"/>
      <c r="T136" s="198"/>
      <c r="U136" s="423"/>
      <c r="V136" s="342"/>
      <c r="X136" s="239">
        <f t="shared" si="4"/>
        <v>0</v>
      </c>
    </row>
    <row r="137" spans="1:24" ht="15.75">
      <c r="A137" s="339"/>
      <c r="B137" s="211"/>
      <c r="C137" s="352"/>
      <c r="D137" s="295"/>
      <c r="E137" s="370"/>
      <c r="F137" s="21"/>
      <c r="G137" s="21"/>
      <c r="H137" s="207"/>
      <c r="I137" s="177"/>
      <c r="J137" s="320"/>
      <c r="K137" s="189"/>
      <c r="L137" s="167"/>
      <c r="M137" s="174"/>
      <c r="N137" s="352"/>
      <c r="O137" s="198"/>
      <c r="P137" s="178"/>
      <c r="Q137" s="21"/>
      <c r="R137" s="198"/>
      <c r="S137" s="342"/>
      <c r="T137" s="198"/>
      <c r="U137" s="423"/>
      <c r="V137" s="342"/>
      <c r="X137" s="239">
        <f t="shared" si="4"/>
        <v>0</v>
      </c>
    </row>
    <row r="138" spans="1:24" ht="15.75">
      <c r="A138" s="339"/>
      <c r="B138" s="211"/>
      <c r="C138" s="352"/>
      <c r="D138" s="295"/>
      <c r="E138" s="370"/>
      <c r="F138" s="21"/>
      <c r="G138" s="21"/>
      <c r="H138" s="207"/>
      <c r="I138" s="177"/>
      <c r="J138" s="320"/>
      <c r="K138" s="189"/>
      <c r="L138" s="167"/>
      <c r="M138" s="174"/>
      <c r="N138" s="352"/>
      <c r="O138" s="198"/>
      <c r="P138" s="178"/>
      <c r="Q138" s="21"/>
      <c r="R138" s="198"/>
      <c r="S138" s="342"/>
      <c r="T138" s="198"/>
      <c r="U138" s="423"/>
      <c r="V138" s="342"/>
      <c r="X138" s="239">
        <f t="shared" si="4"/>
        <v>0</v>
      </c>
    </row>
    <row r="139" spans="1:24" ht="15.75">
      <c r="A139" s="339"/>
      <c r="B139" s="211"/>
      <c r="C139" s="352"/>
      <c r="D139" s="295"/>
      <c r="E139" s="370"/>
      <c r="F139" s="21"/>
      <c r="G139" s="21"/>
      <c r="H139" s="207"/>
      <c r="I139" s="177"/>
      <c r="J139" s="320"/>
      <c r="K139" s="189"/>
      <c r="L139" s="167"/>
      <c r="M139" s="174"/>
      <c r="N139" s="352"/>
      <c r="O139" s="198"/>
      <c r="P139" s="178"/>
      <c r="Q139" s="21"/>
      <c r="R139" s="198"/>
      <c r="S139" s="342"/>
      <c r="T139" s="198"/>
      <c r="U139" s="423"/>
      <c r="V139" s="342"/>
      <c r="X139" s="239">
        <f t="shared" si="4"/>
        <v>0</v>
      </c>
    </row>
    <row r="140" spans="1:24" ht="15.75">
      <c r="A140" s="339"/>
      <c r="B140" s="211"/>
      <c r="C140" s="352"/>
      <c r="D140" s="295"/>
      <c r="E140" s="370"/>
      <c r="F140" s="21"/>
      <c r="G140" s="21"/>
      <c r="H140" s="207"/>
      <c r="I140" s="177"/>
      <c r="J140" s="320"/>
      <c r="K140" s="189"/>
      <c r="L140" s="167"/>
      <c r="M140" s="174"/>
      <c r="N140" s="352"/>
      <c r="O140" s="198"/>
      <c r="P140" s="178"/>
      <c r="Q140" s="21"/>
      <c r="R140" s="198"/>
      <c r="S140" s="342"/>
      <c r="T140" s="198"/>
      <c r="U140" s="423"/>
      <c r="V140" s="342"/>
      <c r="X140" s="239">
        <f t="shared" si="4"/>
        <v>0</v>
      </c>
    </row>
    <row r="141" spans="1:24" ht="15.75">
      <c r="A141" s="339"/>
      <c r="B141" s="211"/>
      <c r="C141" s="352"/>
      <c r="D141" s="295"/>
      <c r="E141" s="370"/>
      <c r="F141" s="21"/>
      <c r="G141" s="21"/>
      <c r="H141" s="207"/>
      <c r="I141" s="177"/>
      <c r="J141" s="320"/>
      <c r="K141" s="189"/>
      <c r="L141" s="167"/>
      <c r="M141" s="174"/>
      <c r="N141" s="352"/>
      <c r="O141" s="198"/>
      <c r="P141" s="178"/>
      <c r="Q141" s="21"/>
      <c r="R141" s="198"/>
      <c r="S141" s="342"/>
      <c r="T141" s="198"/>
      <c r="U141" s="423"/>
      <c r="V141" s="342"/>
      <c r="X141" s="239">
        <f t="shared" si="4"/>
        <v>0</v>
      </c>
    </row>
    <row r="142" spans="1:24" ht="15.75">
      <c r="A142" s="339"/>
      <c r="B142" s="211"/>
      <c r="C142" s="352"/>
      <c r="D142" s="295"/>
      <c r="E142" s="370"/>
      <c r="F142" s="21"/>
      <c r="G142" s="21"/>
      <c r="H142" s="207"/>
      <c r="I142" s="177"/>
      <c r="J142" s="320"/>
      <c r="K142" s="189"/>
      <c r="L142" s="167"/>
      <c r="M142" s="174"/>
      <c r="N142" s="352"/>
      <c r="O142" s="198"/>
      <c r="P142" s="178"/>
      <c r="Q142" s="21"/>
      <c r="R142" s="198"/>
      <c r="S142" s="342"/>
      <c r="T142" s="198"/>
      <c r="U142" s="423"/>
      <c r="V142" s="342"/>
      <c r="X142" s="239">
        <f t="shared" ref="X142" si="5">L142/1000</f>
        <v>0</v>
      </c>
    </row>
    <row r="143" spans="1:24" ht="15.75">
      <c r="A143" s="339"/>
      <c r="B143" s="211"/>
      <c r="C143" s="352"/>
      <c r="D143" s="295"/>
      <c r="E143" s="370"/>
      <c r="F143" s="21"/>
      <c r="G143" s="21"/>
      <c r="H143" s="207"/>
      <c r="I143" s="177"/>
      <c r="J143" s="320"/>
      <c r="K143" s="189"/>
      <c r="L143" s="167"/>
      <c r="M143" s="174"/>
      <c r="N143" s="352"/>
      <c r="O143" s="198"/>
      <c r="P143" s="178"/>
      <c r="Q143" s="21"/>
      <c r="R143" s="198"/>
      <c r="S143" s="342"/>
      <c r="T143" s="198"/>
      <c r="U143" s="423"/>
      <c r="V143" s="342"/>
    </row>
  </sheetData>
  <autoFilter ref="A12:AE107"/>
  <dataConsolidate/>
  <mergeCells count="42">
    <mergeCell ref="V38:V51"/>
    <mergeCell ref="S67:S75"/>
    <mergeCell ref="V67:V75"/>
    <mergeCell ref="M98:M107"/>
    <mergeCell ref="U36:U37"/>
    <mergeCell ref="U38:U51"/>
    <mergeCell ref="U52:U53"/>
    <mergeCell ref="U54:U66"/>
    <mergeCell ref="U67:U75"/>
    <mergeCell ref="U76:U80"/>
    <mergeCell ref="U81:U90"/>
    <mergeCell ref="U91:U95"/>
    <mergeCell ref="U98:U107"/>
    <mergeCell ref="A1:C1"/>
    <mergeCell ref="AA3:AA4"/>
    <mergeCell ref="AB3:AD3"/>
    <mergeCell ref="M91:M95"/>
    <mergeCell ref="M81:M90"/>
    <mergeCell ref="M76:M80"/>
    <mergeCell ref="M13:M19"/>
    <mergeCell ref="M20:M35"/>
    <mergeCell ref="M36:M37"/>
    <mergeCell ref="M38:M51"/>
    <mergeCell ref="M52:M53"/>
    <mergeCell ref="M54:M66"/>
    <mergeCell ref="M67:M75"/>
    <mergeCell ref="U13:U19"/>
    <mergeCell ref="U20:U35"/>
    <mergeCell ref="V34:V35"/>
    <mergeCell ref="AE3:AE4"/>
    <mergeCell ref="A11:A12"/>
    <mergeCell ref="B11:B12"/>
    <mergeCell ref="C11:C12"/>
    <mergeCell ref="D11:D12"/>
    <mergeCell ref="E11:E12"/>
    <mergeCell ref="N11:N12"/>
    <mergeCell ref="P11:Q11"/>
    <mergeCell ref="R11:R12"/>
    <mergeCell ref="S11:S12"/>
    <mergeCell ref="T11:T12"/>
    <mergeCell ref="V11:V12"/>
    <mergeCell ref="X11:X12"/>
  </mergeCells>
  <conditionalFormatting sqref="Q13">
    <cfRule type="colorScale" priority="1">
      <colorScale>
        <cfvo type="formula" val="&quot;Red&quot;"/>
        <cfvo type="formula" val="&quot;Yellow&quot;"/>
        <cfvo type="formula" val="&quot;Green&quot;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Total</vt:lpstr>
      <vt:lpstr>Export fee</vt:lpstr>
      <vt:lpstr>Total export fee</vt:lpstr>
      <vt:lpstr>Dec-20</vt:lpstr>
      <vt:lpstr>Nov-20</vt:lpstr>
      <vt:lpstr>Oct-20</vt:lpstr>
      <vt:lpstr>Sep-20</vt:lpstr>
      <vt:lpstr>Aug-20</vt:lpstr>
      <vt:lpstr>Jul-20</vt:lpstr>
      <vt:lpstr>May-20</vt:lpstr>
      <vt:lpstr>Jun-20</vt:lpstr>
      <vt:lpstr>Apr-20</vt:lpstr>
      <vt:lpstr>Total export fee (2)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Manh Cuong</dc:creator>
  <cp:lastModifiedBy>Bui Thi Nhung</cp:lastModifiedBy>
  <dcterms:created xsi:type="dcterms:W3CDTF">2016-05-06T04:57:28Z</dcterms:created>
  <dcterms:modified xsi:type="dcterms:W3CDTF">2020-12-22T09:47:12Z</dcterms:modified>
</cp:coreProperties>
</file>