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14062\Desktop\File gui cho IT\"/>
    </mc:Choice>
  </mc:AlternateContent>
  <bookViews>
    <workbookView xWindow="0" yWindow="0" windowWidth="5520" windowHeight="7665" tabRatio="779" firstSheet="2" activeTab="2"/>
  </bookViews>
  <sheets>
    <sheet name="Oct (2)" sheetId="11" state="hidden" r:id="rId1"/>
    <sheet name="Tổng" sheetId="1" state="hidden" r:id="rId2"/>
    <sheet name="Nov-20" sheetId="43" r:id="rId3"/>
    <sheet name="Tổng chi phí" sheetId="2" r:id="rId4"/>
    <sheet name="Total fee for sample (1)" sheetId="31" r:id="rId5"/>
    <sheet name="Total fee for sample (2)" sheetId="32" r:id="rId6"/>
    <sheet name="Total fee for Commercial (1)" sheetId="33" r:id="rId7"/>
    <sheet name="Total fee for Commercial(2)" sheetId="34" r:id="rId8"/>
    <sheet name="Total fee for exporting" sheetId="35" r:id="rId9"/>
  </sheets>
  <externalReferences>
    <externalReference r:id="rId10"/>
  </externalReferences>
  <definedNames>
    <definedName name="_xlnm.Print_Area" localSheetId="2">'Nov-20'!$A$14:$AT$31</definedName>
    <definedName name="_xlnm.Print_Area" localSheetId="0">'Oct (2)'!$A$14:$AA$29</definedName>
  </definedNames>
  <calcPr calcId="152511"/>
</workbook>
</file>

<file path=xl/calcChain.xml><?xml version="1.0" encoding="utf-8"?>
<calcChain xmlns="http://schemas.openxmlformats.org/spreadsheetml/2006/main">
  <c r="R5" i="2" l="1"/>
  <c r="AR25" i="43"/>
  <c r="Z21" i="43" l="1"/>
  <c r="Z20" i="43"/>
  <c r="Z28" i="43"/>
  <c r="D20" i="43"/>
  <c r="D19" i="43"/>
  <c r="AG25" i="43" l="1"/>
  <c r="AF25" i="43"/>
  <c r="AH25" i="43"/>
  <c r="Z25" i="43"/>
  <c r="AQ28" i="43" l="1"/>
  <c r="AO28" i="43"/>
  <c r="AM28" i="43"/>
  <c r="T28" i="43"/>
  <c r="Q28" i="43"/>
  <c r="N28" i="43"/>
  <c r="K28" i="43"/>
  <c r="AR27" i="43"/>
  <c r="AF26" i="43"/>
  <c r="AH26" i="43" s="1"/>
  <c r="Z26" i="43"/>
  <c r="E26" i="43"/>
  <c r="AR26" i="43" s="1"/>
  <c r="E25" i="43"/>
  <c r="AR24" i="43"/>
  <c r="AA24" i="43"/>
  <c r="AI24" i="43" s="1"/>
  <c r="F24" i="43"/>
  <c r="AA23" i="43"/>
  <c r="F23" i="43"/>
  <c r="AF22" i="43"/>
  <c r="Z22" i="43"/>
  <c r="AG22" i="43"/>
  <c r="E22" i="43"/>
  <c r="AG21" i="43"/>
  <c r="AF21" i="43"/>
  <c r="E21" i="43"/>
  <c r="AK20" i="43"/>
  <c r="AK28" i="43" s="1"/>
  <c r="AG20" i="43"/>
  <c r="AF20" i="43"/>
  <c r="AD20" i="43"/>
  <c r="AD28" i="43" s="1"/>
  <c r="E20" i="43"/>
  <c r="AG19" i="43"/>
  <c r="AF19" i="43"/>
  <c r="AD19" i="43"/>
  <c r="Z19" i="43"/>
  <c r="E19" i="43"/>
  <c r="AO11" i="43"/>
  <c r="AM11" i="43"/>
  <c r="AR10" i="43"/>
  <c r="AR9" i="43"/>
  <c r="AR8" i="43"/>
  <c r="AR7" i="43"/>
  <c r="AR6" i="43"/>
  <c r="AR11" i="43" s="1"/>
  <c r="D6" i="43"/>
  <c r="AS23" i="43" l="1"/>
  <c r="E28" i="43"/>
  <c r="AH20" i="43"/>
  <c r="AR20" i="43"/>
  <c r="AH21" i="43"/>
  <c r="AH19" i="43"/>
  <c r="AH22" i="43"/>
  <c r="AR22" i="43" s="1"/>
  <c r="AR21" i="43"/>
  <c r="AS24" i="43"/>
  <c r="AS28" i="43" s="1"/>
  <c r="AR19" i="43"/>
  <c r="AR28" i="43" l="1"/>
  <c r="Q5" i="2"/>
  <c r="AH28" i="43"/>
  <c r="K35" i="31" l="1"/>
  <c r="K34" i="31"/>
  <c r="K28" i="31"/>
  <c r="K63" i="31"/>
  <c r="K55" i="31"/>
  <c r="K20" i="31"/>
  <c r="K54" i="31" s="1"/>
  <c r="J17" i="35" l="1"/>
  <c r="Q11" i="35"/>
  <c r="S11" i="35"/>
  <c r="J18" i="35" s="1"/>
  <c r="R11" i="35"/>
  <c r="S9" i="35"/>
  <c r="R9" i="35"/>
  <c r="K64" i="33"/>
  <c r="K32" i="33"/>
  <c r="K30" i="33"/>
  <c r="K29" i="33"/>
  <c r="K51" i="31"/>
  <c r="K16" i="31"/>
  <c r="K35" i="33" l="1"/>
  <c r="K34" i="33"/>
  <c r="K22" i="31"/>
  <c r="K21" i="31"/>
  <c r="K28" i="33"/>
  <c r="P5" i="2" l="1"/>
  <c r="K15" i="31"/>
  <c r="K50" i="31" s="1"/>
  <c r="K52" i="31" s="1"/>
  <c r="F51" i="31" l="1"/>
  <c r="G51" i="31"/>
  <c r="H51" i="31"/>
  <c r="I51" i="31"/>
  <c r="O5" i="2" l="1"/>
  <c r="Q9" i="35"/>
  <c r="Q5" i="35"/>
  <c r="I18" i="35"/>
  <c r="I17" i="35"/>
  <c r="P11" i="35"/>
  <c r="P9" i="35"/>
  <c r="P5" i="35"/>
  <c r="J63" i="33"/>
  <c r="J30" i="33"/>
  <c r="J29" i="33"/>
  <c r="J28" i="33"/>
  <c r="J22" i="33"/>
  <c r="J21" i="33"/>
  <c r="J20" i="33"/>
  <c r="J17" i="33"/>
  <c r="J16" i="33"/>
  <c r="J15" i="33"/>
  <c r="J64" i="31"/>
  <c r="J63" i="31"/>
  <c r="I63" i="31"/>
  <c r="J55" i="31"/>
  <c r="J54" i="31"/>
  <c r="J51" i="31"/>
  <c r="J35" i="31"/>
  <c r="J34" i="31"/>
  <c r="J30" i="31"/>
  <c r="J29" i="31"/>
  <c r="J28" i="31"/>
  <c r="J22" i="31"/>
  <c r="J21" i="31"/>
  <c r="J20" i="31"/>
  <c r="J17" i="31"/>
  <c r="J16" i="31"/>
  <c r="J15" i="31"/>
  <c r="N5" i="2"/>
  <c r="M5" i="2"/>
  <c r="J50" i="31" l="1"/>
  <c r="J52" i="31" s="1"/>
  <c r="J56" i="31"/>
  <c r="I64" i="33"/>
  <c r="I63" i="33"/>
  <c r="O11" i="35"/>
  <c r="H18" i="35" s="1"/>
  <c r="O9" i="35"/>
  <c r="N11" i="35"/>
  <c r="H17" i="35" s="1"/>
  <c r="N9" i="35"/>
  <c r="I35" i="33"/>
  <c r="I34" i="33"/>
  <c r="I30" i="33"/>
  <c r="I28" i="33"/>
  <c r="I22" i="33"/>
  <c r="I21" i="33"/>
  <c r="I17" i="33"/>
  <c r="I15" i="33"/>
  <c r="H63" i="31"/>
  <c r="I35" i="31"/>
  <c r="I34" i="31"/>
  <c r="I28" i="31"/>
  <c r="I22" i="31"/>
  <c r="I21" i="31"/>
  <c r="I17" i="31"/>
  <c r="I16" i="31"/>
  <c r="I15" i="31"/>
  <c r="L5" i="2"/>
  <c r="K5" i="2"/>
  <c r="I50" i="31" l="1"/>
  <c r="I52" i="31" s="1"/>
  <c r="M11" i="35"/>
  <c r="M9" i="35"/>
  <c r="L11" i="35"/>
  <c r="L9" i="35"/>
  <c r="M5" i="35"/>
  <c r="L5" i="35"/>
  <c r="H63" i="33"/>
  <c r="H51" i="33"/>
  <c r="H35" i="33"/>
  <c r="H34" i="33"/>
  <c r="H30" i="33"/>
  <c r="H28" i="33"/>
  <c r="H22" i="33"/>
  <c r="H21" i="33"/>
  <c r="H17" i="33"/>
  <c r="H15" i="33"/>
  <c r="H35" i="31"/>
  <c r="H34" i="31"/>
  <c r="H30" i="31"/>
  <c r="H28" i="31"/>
  <c r="H22" i="31"/>
  <c r="H21" i="31"/>
  <c r="H17" i="31"/>
  <c r="H15" i="31"/>
  <c r="J5" i="2"/>
  <c r="I5" i="2"/>
  <c r="H50" i="31" l="1"/>
  <c r="H52" i="31" s="1"/>
  <c r="G63" i="31"/>
  <c r="G55" i="31"/>
  <c r="G20" i="31"/>
  <c r="G54" i="31" s="1"/>
  <c r="G56" i="31" s="1"/>
  <c r="K11" i="35" l="1"/>
  <c r="J11" i="35"/>
  <c r="K9" i="35"/>
  <c r="J9" i="35"/>
  <c r="G63" i="33"/>
  <c r="G51" i="33"/>
  <c r="G35" i="33"/>
  <c r="G34" i="33"/>
  <c r="G30" i="33"/>
  <c r="G28" i="33"/>
  <c r="G22" i="33"/>
  <c r="G21" i="33"/>
  <c r="G19" i="33"/>
  <c r="G17" i="33"/>
  <c r="G15" i="33"/>
  <c r="G23" i="33" s="1"/>
  <c r="G35" i="31"/>
  <c r="G34" i="31"/>
  <c r="G28" i="31"/>
  <c r="G22" i="31"/>
  <c r="G21" i="31"/>
  <c r="G17" i="31"/>
  <c r="G15" i="31"/>
  <c r="H5" i="2"/>
  <c r="G50" i="31" l="1"/>
  <c r="G52" i="31" s="1"/>
  <c r="G5" i="2"/>
  <c r="F64" i="31"/>
  <c r="F63" i="31"/>
  <c r="F55" i="31"/>
  <c r="F33" i="31"/>
  <c r="F20" i="31"/>
  <c r="F54" i="31" s="1"/>
  <c r="F56" i="31" s="1"/>
  <c r="E18" i="35" l="1"/>
  <c r="E17" i="35"/>
  <c r="I9" i="35" l="1"/>
  <c r="H9" i="35"/>
  <c r="F64" i="33" l="1"/>
  <c r="F51" i="33"/>
  <c r="G36" i="33"/>
  <c r="H36" i="33"/>
  <c r="I36" i="33"/>
  <c r="J36" i="33"/>
  <c r="K36" i="33"/>
  <c r="L36" i="33"/>
  <c r="M36" i="33"/>
  <c r="N36" i="33"/>
  <c r="O36" i="33"/>
  <c r="P36" i="33"/>
  <c r="F36" i="33"/>
  <c r="F35" i="33"/>
  <c r="F34" i="33"/>
  <c r="F30" i="33"/>
  <c r="I7" i="34" s="1"/>
  <c r="F28" i="33"/>
  <c r="F15" i="33"/>
  <c r="F50" i="33" s="1"/>
  <c r="F52" i="33" s="1"/>
  <c r="F35" i="31"/>
  <c r="F34" i="31"/>
  <c r="F30" i="31"/>
  <c r="F28" i="31"/>
  <c r="F36" i="31" s="1"/>
  <c r="G36" i="31"/>
  <c r="H36" i="31"/>
  <c r="I36" i="31"/>
  <c r="J36" i="31"/>
  <c r="K36" i="31"/>
  <c r="L36" i="31"/>
  <c r="M36" i="31"/>
  <c r="N36" i="31"/>
  <c r="O36" i="31"/>
  <c r="P36" i="31"/>
  <c r="G23" i="31"/>
  <c r="H23" i="31"/>
  <c r="I23" i="31"/>
  <c r="J23" i="31"/>
  <c r="K23" i="31"/>
  <c r="L23" i="31"/>
  <c r="M23" i="31"/>
  <c r="N23" i="31"/>
  <c r="O23" i="31"/>
  <c r="P23" i="31"/>
  <c r="F22" i="31"/>
  <c r="F21" i="31"/>
  <c r="F17" i="31"/>
  <c r="F15" i="31"/>
  <c r="F5" i="2"/>
  <c r="E5" i="2"/>
  <c r="F23" i="31" l="1"/>
  <c r="F50" i="31"/>
  <c r="F52" i="31" s="1"/>
  <c r="E64" i="31"/>
  <c r="E63" i="31"/>
  <c r="E51" i="31"/>
  <c r="E12" i="34" l="1"/>
  <c r="C12" i="34"/>
  <c r="D12" i="34"/>
  <c r="B12" i="34"/>
  <c r="E11" i="34"/>
  <c r="C11" i="34"/>
  <c r="D11" i="34"/>
  <c r="B11" i="34"/>
  <c r="D7" i="34"/>
  <c r="E7" i="34"/>
  <c r="C7" i="34"/>
  <c r="B7" i="34"/>
  <c r="E5" i="34"/>
  <c r="D5" i="34"/>
  <c r="D13" i="34" s="1"/>
  <c r="C5" i="34"/>
  <c r="B5" i="34"/>
  <c r="B13" i="34" s="1"/>
  <c r="D41" i="33"/>
  <c r="C41" i="33"/>
  <c r="D40" i="33"/>
  <c r="C40" i="33"/>
  <c r="D36" i="33"/>
  <c r="C36" i="33"/>
  <c r="C23" i="33"/>
  <c r="E12" i="32"/>
  <c r="C12" i="32"/>
  <c r="D12" i="32"/>
  <c r="B12" i="32"/>
  <c r="E11" i="32"/>
  <c r="D11" i="32"/>
  <c r="C11" i="32"/>
  <c r="B11" i="32"/>
  <c r="E10" i="32"/>
  <c r="D10" i="32"/>
  <c r="C10" i="32"/>
  <c r="B10" i="32"/>
  <c r="E7" i="32"/>
  <c r="D7" i="32"/>
  <c r="C7" i="32"/>
  <c r="B7" i="32"/>
  <c r="E5" i="32"/>
  <c r="E13" i="32" s="1"/>
  <c r="D5" i="32"/>
  <c r="D13" i="32" s="1"/>
  <c r="C5" i="32"/>
  <c r="C13" i="32" s="1"/>
  <c r="B5" i="32"/>
  <c r="B13" i="32" s="1"/>
  <c r="D41" i="31"/>
  <c r="C41" i="31"/>
  <c r="D40" i="31"/>
  <c r="C40" i="31"/>
  <c r="D36" i="31"/>
  <c r="C36" i="31"/>
  <c r="D23" i="31"/>
  <c r="C23" i="31"/>
  <c r="D5" i="2"/>
  <c r="C5" i="2"/>
  <c r="E13" i="34" l="1"/>
  <c r="C13" i="34"/>
  <c r="AC13" i="35"/>
  <c r="AB13" i="35"/>
  <c r="O40" i="31" l="1"/>
  <c r="M18" i="35" l="1"/>
  <c r="M50" i="33" l="1"/>
  <c r="L6" i="32" l="1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C5" i="32"/>
  <c r="AA5" i="32"/>
  <c r="Y5" i="32"/>
  <c r="W5" i="32"/>
  <c r="U5" i="32"/>
  <c r="S5" i="32"/>
  <c r="Q5" i="32"/>
  <c r="O5" i="32"/>
  <c r="AB5" i="32"/>
  <c r="Z5" i="32"/>
  <c r="Z13" i="32" s="1"/>
  <c r="X5" i="32"/>
  <c r="V5" i="32"/>
  <c r="T5" i="32"/>
  <c r="T13" i="32" s="1"/>
  <c r="R5" i="32"/>
  <c r="P5" i="32"/>
  <c r="N5" i="32"/>
  <c r="M5" i="32"/>
  <c r="L5" i="32"/>
  <c r="AC6" i="34"/>
  <c r="AC7" i="34"/>
  <c r="AC8" i="34"/>
  <c r="AC9" i="34"/>
  <c r="AC10" i="34"/>
  <c r="AC11" i="34"/>
  <c r="AC12" i="34"/>
  <c r="AB6" i="34"/>
  <c r="AB7" i="34"/>
  <c r="AB8" i="34"/>
  <c r="AB9" i="34"/>
  <c r="AB10" i="34"/>
  <c r="AB11" i="34"/>
  <c r="AB12" i="34"/>
  <c r="AA6" i="34"/>
  <c r="AA7" i="34"/>
  <c r="AA8" i="34"/>
  <c r="AA9" i="34"/>
  <c r="AA10" i="34"/>
  <c r="AA11" i="34"/>
  <c r="AA12" i="34"/>
  <c r="Z6" i="34"/>
  <c r="Z7" i="34"/>
  <c r="Z8" i="34"/>
  <c r="Z9" i="34"/>
  <c r="Z10" i="34"/>
  <c r="Z11" i="34"/>
  <c r="Z12" i="34"/>
  <c r="Y6" i="34"/>
  <c r="Y7" i="34"/>
  <c r="Y8" i="34"/>
  <c r="Y9" i="34"/>
  <c r="Y10" i="34"/>
  <c r="Y11" i="34"/>
  <c r="Y12" i="34"/>
  <c r="X6" i="34"/>
  <c r="X7" i="34"/>
  <c r="X8" i="34"/>
  <c r="X9" i="34"/>
  <c r="X10" i="34"/>
  <c r="X11" i="34"/>
  <c r="X12" i="34"/>
  <c r="W6" i="34"/>
  <c r="W7" i="34"/>
  <c r="W8" i="34"/>
  <c r="W9" i="34"/>
  <c r="W10" i="34"/>
  <c r="W11" i="34"/>
  <c r="W12" i="34"/>
  <c r="V6" i="34"/>
  <c r="V7" i="34"/>
  <c r="V8" i="34"/>
  <c r="V9" i="34"/>
  <c r="V10" i="34"/>
  <c r="V11" i="34"/>
  <c r="V12" i="34"/>
  <c r="U6" i="34"/>
  <c r="U7" i="34"/>
  <c r="U8" i="34"/>
  <c r="U9" i="34"/>
  <c r="U10" i="34"/>
  <c r="U11" i="34"/>
  <c r="U12" i="34"/>
  <c r="T6" i="34"/>
  <c r="T7" i="34"/>
  <c r="T8" i="34"/>
  <c r="T9" i="34"/>
  <c r="T10" i="34"/>
  <c r="T11" i="34"/>
  <c r="T12" i="34"/>
  <c r="AC5" i="34"/>
  <c r="AB5" i="34"/>
  <c r="AA5" i="34"/>
  <c r="Z5" i="34"/>
  <c r="Y5" i="34"/>
  <c r="X5" i="34"/>
  <c r="X13" i="34" s="1"/>
  <c r="W5" i="34"/>
  <c r="V5" i="34"/>
  <c r="U5" i="34"/>
  <c r="T5" i="34"/>
  <c r="S6" i="34"/>
  <c r="S7" i="34"/>
  <c r="S8" i="34"/>
  <c r="S9" i="34"/>
  <c r="S10" i="34"/>
  <c r="S11" i="34"/>
  <c r="S12" i="34"/>
  <c r="S5" i="34"/>
  <c r="R6" i="34"/>
  <c r="R7" i="34"/>
  <c r="R8" i="34"/>
  <c r="R9" i="34"/>
  <c r="R10" i="34"/>
  <c r="R11" i="34"/>
  <c r="R12" i="34"/>
  <c r="R5" i="34"/>
  <c r="Q6" i="34"/>
  <c r="Q7" i="34"/>
  <c r="Q8" i="34"/>
  <c r="Q9" i="34"/>
  <c r="Q10" i="34"/>
  <c r="Q11" i="34"/>
  <c r="Q12" i="34"/>
  <c r="Q5" i="34"/>
  <c r="P6" i="34"/>
  <c r="P7" i="34"/>
  <c r="P8" i="34"/>
  <c r="P9" i="34"/>
  <c r="P10" i="34"/>
  <c r="P11" i="34"/>
  <c r="P12" i="34"/>
  <c r="P5" i="34"/>
  <c r="O6" i="34"/>
  <c r="O7" i="34"/>
  <c r="O8" i="34"/>
  <c r="O9" i="34"/>
  <c r="O10" i="34"/>
  <c r="O11" i="34"/>
  <c r="O12" i="34"/>
  <c r="O5" i="34"/>
  <c r="N6" i="34"/>
  <c r="N7" i="34"/>
  <c r="N8" i="34"/>
  <c r="N9" i="34"/>
  <c r="N10" i="34"/>
  <c r="N11" i="34"/>
  <c r="N12" i="34"/>
  <c r="N5" i="34"/>
  <c r="M6" i="34"/>
  <c r="M7" i="34"/>
  <c r="M8" i="34"/>
  <c r="M9" i="34"/>
  <c r="M10" i="34"/>
  <c r="M11" i="34"/>
  <c r="M12" i="34"/>
  <c r="M5" i="34"/>
  <c r="L6" i="34"/>
  <c r="L7" i="34"/>
  <c r="L8" i="34"/>
  <c r="L9" i="34"/>
  <c r="L10" i="34"/>
  <c r="L11" i="34"/>
  <c r="L12" i="34"/>
  <c r="L5" i="34"/>
  <c r="K6" i="34"/>
  <c r="K7" i="34"/>
  <c r="K8" i="34"/>
  <c r="K9" i="34"/>
  <c r="K10" i="34"/>
  <c r="K11" i="34"/>
  <c r="K12" i="34"/>
  <c r="J6" i="34"/>
  <c r="J7" i="34"/>
  <c r="J8" i="34"/>
  <c r="J9" i="34"/>
  <c r="J10" i="34"/>
  <c r="K6" i="32"/>
  <c r="K8" i="32"/>
  <c r="K9" i="32"/>
  <c r="J8" i="32"/>
  <c r="J9" i="32"/>
  <c r="K10" i="32"/>
  <c r="K7" i="32"/>
  <c r="J10" i="32"/>
  <c r="J7" i="32"/>
  <c r="J6" i="32"/>
  <c r="U13" i="34" l="1"/>
  <c r="AC13" i="34"/>
  <c r="W13" i="34"/>
  <c r="V13" i="34"/>
  <c r="O13" i="32"/>
  <c r="U13" i="32"/>
  <c r="Y13" i="32"/>
  <c r="R13" i="32"/>
  <c r="X13" i="32"/>
  <c r="V13" i="32"/>
  <c r="W13" i="32"/>
  <c r="AB13" i="32"/>
  <c r="AB13" i="34"/>
  <c r="AC13" i="32"/>
  <c r="AA13" i="34"/>
  <c r="Z13" i="34"/>
  <c r="AA13" i="32"/>
  <c r="Y13" i="34"/>
  <c r="M13" i="34"/>
  <c r="O13" i="34"/>
  <c r="P13" i="34"/>
  <c r="Q13" i="34"/>
  <c r="R13" i="34"/>
  <c r="S13" i="34"/>
  <c r="T13" i="34"/>
  <c r="S13" i="32"/>
  <c r="Q13" i="32"/>
  <c r="N13" i="32"/>
  <c r="P13" i="32"/>
  <c r="N13" i="34"/>
  <c r="M13" i="32"/>
  <c r="L13" i="34"/>
  <c r="L13" i="32"/>
  <c r="K5" i="34"/>
  <c r="K13" i="34" s="1"/>
  <c r="J12" i="34"/>
  <c r="J11" i="34"/>
  <c r="J5" i="34"/>
  <c r="K12" i="32"/>
  <c r="K11" i="32"/>
  <c r="K5" i="32"/>
  <c r="J12" i="32"/>
  <c r="J5" i="32" l="1"/>
  <c r="K13" i="32"/>
  <c r="J13" i="34"/>
  <c r="J11" i="32"/>
  <c r="J13" i="32" l="1"/>
  <c r="I6" i="34"/>
  <c r="H6" i="34"/>
  <c r="H8" i="34"/>
  <c r="H9" i="34"/>
  <c r="H10" i="34"/>
  <c r="E55" i="33"/>
  <c r="H7" i="34" l="1"/>
  <c r="I6" i="32"/>
  <c r="I8" i="32"/>
  <c r="I9" i="32"/>
  <c r="I10" i="32"/>
  <c r="H6" i="32"/>
  <c r="H8" i="32"/>
  <c r="H9" i="32"/>
  <c r="I12" i="32"/>
  <c r="I11" i="32"/>
  <c r="I7" i="32"/>
  <c r="H10" i="32"/>
  <c r="H7" i="32"/>
  <c r="H5" i="34" l="1"/>
  <c r="H5" i="32"/>
  <c r="I12" i="34"/>
  <c r="H12" i="34"/>
  <c r="H11" i="34"/>
  <c r="H12" i="32"/>
  <c r="H11" i="32"/>
  <c r="H13" i="32" l="1"/>
  <c r="I5" i="32"/>
  <c r="I13" i="32" s="1"/>
  <c r="H13" i="34"/>
  <c r="I5" i="34"/>
  <c r="I11" i="34" l="1"/>
  <c r="I13" i="34" s="1"/>
  <c r="C18" i="35"/>
  <c r="C17" i="35"/>
  <c r="B18" i="35"/>
  <c r="B17" i="35"/>
  <c r="G11" i="35" l="1"/>
  <c r="D18" i="35" s="1"/>
  <c r="F11" i="35"/>
  <c r="D17" i="35" s="1"/>
  <c r="G9" i="35"/>
  <c r="G13" i="35" s="1"/>
  <c r="F9" i="35"/>
  <c r="F13" i="35" s="1"/>
  <c r="O18" i="35"/>
  <c r="N18" i="35"/>
  <c r="G18" i="35"/>
  <c r="F18" i="35"/>
  <c r="O17" i="35"/>
  <c r="N17" i="35"/>
  <c r="G17" i="35"/>
  <c r="F17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M17" i="35"/>
  <c r="G8" i="34" l="1"/>
  <c r="G9" i="34"/>
  <c r="G10" i="34"/>
  <c r="F12" i="34"/>
  <c r="F6" i="34"/>
  <c r="F7" i="34"/>
  <c r="F8" i="34"/>
  <c r="F9" i="34"/>
  <c r="F10" i="34"/>
  <c r="F11" i="34"/>
  <c r="F5" i="34"/>
  <c r="E64" i="33"/>
  <c r="E65" i="33" s="1"/>
  <c r="E51" i="33"/>
  <c r="E30" i="33"/>
  <c r="G7" i="34" s="1"/>
  <c r="E29" i="33"/>
  <c r="G6" i="34" s="1"/>
  <c r="P65" i="33"/>
  <c r="O65" i="33"/>
  <c r="N65" i="33"/>
  <c r="M65" i="33"/>
  <c r="L65" i="33"/>
  <c r="K65" i="33"/>
  <c r="J65" i="33"/>
  <c r="I65" i="33"/>
  <c r="H65" i="33"/>
  <c r="G65" i="33"/>
  <c r="F65" i="33"/>
  <c r="P58" i="33"/>
  <c r="O58" i="33"/>
  <c r="N58" i="33"/>
  <c r="M58" i="33"/>
  <c r="L58" i="33"/>
  <c r="K58" i="33"/>
  <c r="J58" i="33"/>
  <c r="I58" i="33"/>
  <c r="H58" i="33"/>
  <c r="G58" i="33"/>
  <c r="F58" i="33"/>
  <c r="P54" i="33"/>
  <c r="O54" i="33"/>
  <c r="M54" i="33"/>
  <c r="L54" i="33"/>
  <c r="K54" i="33"/>
  <c r="J54" i="33"/>
  <c r="I54" i="33"/>
  <c r="H54" i="33"/>
  <c r="G54" i="33"/>
  <c r="F54" i="33"/>
  <c r="P50" i="33"/>
  <c r="O50" i="33"/>
  <c r="N50" i="33"/>
  <c r="L50" i="33"/>
  <c r="K50" i="33"/>
  <c r="J50" i="33"/>
  <c r="I50" i="33"/>
  <c r="H50" i="33"/>
  <c r="H52" i="33" s="1"/>
  <c r="G50" i="33"/>
  <c r="G52" i="33" s="1"/>
  <c r="P41" i="33"/>
  <c r="O41" i="33"/>
  <c r="N41" i="33"/>
  <c r="M41" i="33"/>
  <c r="L41" i="33"/>
  <c r="K41" i="33"/>
  <c r="J41" i="33"/>
  <c r="I41" i="33"/>
  <c r="H41" i="33"/>
  <c r="G41" i="33"/>
  <c r="F41" i="33"/>
  <c r="P40" i="33"/>
  <c r="O40" i="33"/>
  <c r="N40" i="33"/>
  <c r="M40" i="33"/>
  <c r="L40" i="33"/>
  <c r="K40" i="33"/>
  <c r="J40" i="33"/>
  <c r="I40" i="33"/>
  <c r="H40" i="33"/>
  <c r="G40" i="33"/>
  <c r="F40" i="33"/>
  <c r="P23" i="33"/>
  <c r="O23" i="33"/>
  <c r="N23" i="33"/>
  <c r="M23" i="33"/>
  <c r="L23" i="33"/>
  <c r="K23" i="33"/>
  <c r="J23" i="33"/>
  <c r="I23" i="33"/>
  <c r="H23" i="33"/>
  <c r="F23" i="33"/>
  <c r="E54" i="33"/>
  <c r="E56" i="33" s="1"/>
  <c r="P12" i="33"/>
  <c r="O12" i="33"/>
  <c r="N12" i="33"/>
  <c r="J12" i="33"/>
  <c r="F12" i="33"/>
  <c r="E12" i="33"/>
  <c r="M10" i="33"/>
  <c r="M12" i="33" s="1"/>
  <c r="L10" i="33"/>
  <c r="L12" i="33" s="1"/>
  <c r="K10" i="33"/>
  <c r="K12" i="33" s="1"/>
  <c r="J10" i="33"/>
  <c r="I10" i="33"/>
  <c r="I12" i="33" s="1"/>
  <c r="H10" i="33"/>
  <c r="G10" i="33"/>
  <c r="H8" i="33"/>
  <c r="H6" i="33"/>
  <c r="G6" i="33"/>
  <c r="F6" i="33"/>
  <c r="E6" i="33"/>
  <c r="H5" i="33"/>
  <c r="G5" i="33"/>
  <c r="F5" i="33"/>
  <c r="E5" i="33"/>
  <c r="H4" i="33"/>
  <c r="G4" i="33"/>
  <c r="F4" i="33"/>
  <c r="E4" i="33"/>
  <c r="G8" i="32"/>
  <c r="G9" i="32"/>
  <c r="G10" i="32"/>
  <c r="F8" i="32"/>
  <c r="F9" i="32"/>
  <c r="E55" i="31"/>
  <c r="E30" i="31"/>
  <c r="E29" i="31"/>
  <c r="G6" i="32" s="1"/>
  <c r="E20" i="31"/>
  <c r="E17" i="31"/>
  <c r="F7" i="32" s="1"/>
  <c r="E16" i="31"/>
  <c r="F6" i="32" s="1"/>
  <c r="P65" i="31"/>
  <c r="O65" i="31"/>
  <c r="N65" i="31"/>
  <c r="M65" i="31"/>
  <c r="L65" i="31"/>
  <c r="K65" i="31"/>
  <c r="J65" i="31"/>
  <c r="I65" i="31"/>
  <c r="H65" i="31"/>
  <c r="G65" i="31"/>
  <c r="F65" i="31"/>
  <c r="P58" i="31"/>
  <c r="O58" i="31"/>
  <c r="N58" i="31"/>
  <c r="M58" i="31"/>
  <c r="L58" i="31"/>
  <c r="K58" i="31"/>
  <c r="J58" i="31"/>
  <c r="I58" i="31"/>
  <c r="H58" i="31"/>
  <c r="G58" i="31"/>
  <c r="F58" i="31"/>
  <c r="O41" i="31"/>
  <c r="N41" i="31"/>
  <c r="M41" i="31"/>
  <c r="L41" i="31"/>
  <c r="K41" i="31"/>
  <c r="J41" i="31"/>
  <c r="I41" i="31"/>
  <c r="H41" i="31"/>
  <c r="G41" i="31"/>
  <c r="F41" i="31"/>
  <c r="N40" i="31"/>
  <c r="M40" i="31"/>
  <c r="L40" i="31"/>
  <c r="K40" i="31"/>
  <c r="J40" i="31"/>
  <c r="I40" i="31"/>
  <c r="H40" i="31"/>
  <c r="G40" i="31"/>
  <c r="F40" i="31"/>
  <c r="P12" i="31"/>
  <c r="O12" i="31"/>
  <c r="N12" i="31"/>
  <c r="F12" i="31"/>
  <c r="E12" i="31"/>
  <c r="M10" i="31"/>
  <c r="M12" i="31" s="1"/>
  <c r="L10" i="31"/>
  <c r="L12" i="31" s="1"/>
  <c r="K10" i="31"/>
  <c r="K12" i="31" s="1"/>
  <c r="J10" i="31"/>
  <c r="J12" i="31" s="1"/>
  <c r="I10" i="31"/>
  <c r="I12" i="31" s="1"/>
  <c r="H10" i="31"/>
  <c r="G10" i="31"/>
  <c r="H8" i="31"/>
  <c r="H6" i="31"/>
  <c r="G6" i="31"/>
  <c r="F6" i="31"/>
  <c r="E6" i="31"/>
  <c r="H5" i="31"/>
  <c r="G5" i="31"/>
  <c r="F5" i="31"/>
  <c r="E5" i="31"/>
  <c r="H4" i="31"/>
  <c r="G4" i="31"/>
  <c r="F4" i="31"/>
  <c r="E4" i="31"/>
  <c r="E54" i="31" l="1"/>
  <c r="E56" i="31" s="1"/>
  <c r="G7" i="32"/>
  <c r="G12" i="33"/>
  <c r="E65" i="31"/>
  <c r="E58" i="31"/>
  <c r="G12" i="31"/>
  <c r="H12" i="33"/>
  <c r="F10" i="32"/>
  <c r="H12" i="31"/>
  <c r="E58" i="33"/>
  <c r="E35" i="33" l="1"/>
  <c r="E34" i="33"/>
  <c r="E35" i="31"/>
  <c r="G12" i="32" s="1"/>
  <c r="E34" i="31"/>
  <c r="G11" i="32" s="1"/>
  <c r="E22" i="31"/>
  <c r="F12" i="32" s="1"/>
  <c r="E21" i="31"/>
  <c r="G11" i="34" l="1"/>
  <c r="E40" i="33"/>
  <c r="E41" i="31"/>
  <c r="E41" i="33"/>
  <c r="G12" i="34"/>
  <c r="F11" i="32"/>
  <c r="E40" i="31"/>
  <c r="E28" i="33"/>
  <c r="E36" i="33" s="1"/>
  <c r="E28" i="31"/>
  <c r="E36" i="31" s="1"/>
  <c r="E15" i="31"/>
  <c r="E23" i="31" s="1"/>
  <c r="G5" i="32" l="1"/>
  <c r="G13" i="32" s="1"/>
  <c r="G5" i="34"/>
  <c r="G13" i="34" s="1"/>
  <c r="E50" i="33"/>
  <c r="E52" i="33" s="1"/>
  <c r="F5" i="32"/>
  <c r="F13" i="32" s="1"/>
  <c r="E50" i="31"/>
  <c r="E52" i="31" s="1"/>
  <c r="O6" i="1" l="1"/>
  <c r="O7" i="1"/>
  <c r="L5" i="1"/>
  <c r="L4" i="1"/>
  <c r="K5" i="1"/>
  <c r="K4" i="1"/>
  <c r="J5" i="1"/>
  <c r="J4" i="1"/>
  <c r="I5" i="1"/>
  <c r="I4" i="1"/>
  <c r="H4" i="1"/>
  <c r="G5" i="1"/>
  <c r="G4" i="1"/>
  <c r="E5" i="1"/>
  <c r="E4" i="1"/>
  <c r="D4" i="1"/>
  <c r="C5" i="1"/>
  <c r="C4" i="1"/>
  <c r="O5" i="1" l="1"/>
  <c r="P7" i="1" s="1"/>
  <c r="O4" i="1"/>
  <c r="P6" i="1" s="1"/>
  <c r="U25" i="11" l="1"/>
  <c r="S25" i="11"/>
  <c r="I25" i="11"/>
  <c r="Z24" i="11"/>
  <c r="Y24" i="11"/>
  <c r="Q24" i="11"/>
  <c r="P24" i="11"/>
  <c r="Y23" i="11"/>
  <c r="P23" i="11"/>
  <c r="E23" i="11"/>
  <c r="D23" i="11"/>
  <c r="Y22" i="11"/>
  <c r="P22" i="11"/>
  <c r="G22" i="11"/>
  <c r="Z22" i="11" s="1"/>
  <c r="Z21" i="11"/>
  <c r="Y21" i="11"/>
  <c r="Q21" i="11"/>
  <c r="P21" i="11"/>
  <c r="W20" i="11"/>
  <c r="X20" i="11" s="1"/>
  <c r="Q20" i="11"/>
  <c r="F20" i="11"/>
  <c r="Z19" i="11"/>
  <c r="W19" i="11"/>
  <c r="W25" i="11" s="1"/>
  <c r="V19" i="11"/>
  <c r="T19" i="11"/>
  <c r="Q19" i="11"/>
  <c r="L19" i="11"/>
  <c r="L25" i="11" s="1"/>
  <c r="K19" i="11"/>
  <c r="E19" i="11"/>
  <c r="D19" i="11"/>
  <c r="W11" i="11"/>
  <c r="U11" i="11"/>
  <c r="Y10" i="11"/>
  <c r="Y9" i="11"/>
  <c r="Y8" i="11"/>
  <c r="Y7" i="11"/>
  <c r="Y6" i="11"/>
  <c r="Y11" i="11" s="1"/>
  <c r="D6" i="11"/>
  <c r="F19" i="11" l="1"/>
  <c r="U15" i="11"/>
  <c r="Y20" i="11"/>
  <c r="G23" i="11"/>
  <c r="Q23" i="11" s="1"/>
  <c r="Q25" i="11" s="1"/>
  <c r="Q22" i="11"/>
  <c r="F25" i="11"/>
  <c r="Y19" i="11"/>
  <c r="Y25" i="11" s="1"/>
  <c r="P19" i="11"/>
  <c r="P20" i="11"/>
  <c r="X19" i="11"/>
  <c r="Z23" i="11" l="1"/>
  <c r="Z25" i="11" s="1"/>
  <c r="P25" i="11"/>
</calcChain>
</file>

<file path=xl/comments1.xml><?xml version="1.0" encoding="utf-8"?>
<comments xmlns="http://schemas.openxmlformats.org/spreadsheetml/2006/main">
  <authors>
    <author>Vu Manh Cuong</author>
  </authors>
  <commentList>
    <comment ref="L19" authorId="0" shapeId="0">
      <text>
        <r>
          <rPr>
            <b/>
            <sz val="9"/>
            <color indexed="81"/>
            <rFont val="Tahoma"/>
            <family val="2"/>
          </rPr>
          <t>Add transportation fee for VGAA236-MAT as request of Mr.Saito
4,190,889 VND</t>
        </r>
      </text>
    </comment>
  </commentList>
</comments>
</file>

<file path=xl/sharedStrings.xml><?xml version="1.0" encoding="utf-8"?>
<sst xmlns="http://schemas.openxmlformats.org/spreadsheetml/2006/main" count="425" uniqueCount="92">
  <si>
    <t>TRANSPORTATION FEE + SERVICE FEE 
JUNE-2017</t>
  </si>
  <si>
    <t>Unit: VND</t>
  </si>
  <si>
    <t>No.</t>
  </si>
  <si>
    <t>Name</t>
  </si>
  <si>
    <t>Department</t>
  </si>
  <si>
    <t>YUSEN</t>
  </si>
  <si>
    <t>SAGAWA</t>
  </si>
  <si>
    <t>PCS</t>
  </si>
  <si>
    <t>Total</t>
  </si>
  <si>
    <t>Remark</t>
  </si>
  <si>
    <t xml:space="preserve">Import </t>
  </si>
  <si>
    <t>Export</t>
  </si>
  <si>
    <t>Total
(Payment by Y-TEC)</t>
  </si>
  <si>
    <t>Service fee</t>
  </si>
  <si>
    <t>Back to back fee</t>
  </si>
  <si>
    <t>Weight 
(kg)</t>
  </si>
  <si>
    <t>Payment by Y-TEC</t>
  </si>
  <si>
    <t>Payment by Yamshita</t>
  </si>
  <si>
    <t>Normal cargo (Sample, dosmetic cargo,…)</t>
  </si>
  <si>
    <t>Measurement</t>
  </si>
  <si>
    <t>Benchmark Jig</t>
  </si>
  <si>
    <t>Material</t>
  </si>
  <si>
    <t>GAHR</t>
  </si>
  <si>
    <t>Tools of Kokusai</t>
  </si>
  <si>
    <t>Unit: 1000 VND</t>
  </si>
  <si>
    <t>Service 
fee</t>
  </si>
  <si>
    <t>Tools for maintenance</t>
  </si>
  <si>
    <t>Cargo with Acc code 80</t>
  </si>
  <si>
    <t>Measurement
Material</t>
  </si>
  <si>
    <t>Rubber &amp; chemical</t>
  </si>
  <si>
    <t>FEDEX</t>
  </si>
  <si>
    <t>NISSIN</t>
  </si>
  <si>
    <t>NIPPON</t>
  </si>
  <si>
    <t>EXPORT</t>
  </si>
  <si>
    <t>IMPORT</t>
  </si>
  <si>
    <t>JIG Benchmark</t>
  </si>
  <si>
    <t>Total
(Payment by YAMASHITA)</t>
  </si>
  <si>
    <t>TỔNG HỢP CHI PHÍ VẬN CHUYỂN THÁNG 10-2017</t>
  </si>
  <si>
    <t>Service 
fee + Back to back fee</t>
  </si>
  <si>
    <t>OCS</t>
  </si>
  <si>
    <t>YAMASHITA</t>
  </si>
  <si>
    <t>Payment by Y-TEC VIETNAM</t>
  </si>
  <si>
    <t>DHL</t>
  </si>
  <si>
    <t>TAX
(Import Tax+ VAT)</t>
  </si>
  <si>
    <t>Tax
(Y-TEC pay)</t>
  </si>
  <si>
    <t>Tax
(DHL pay)</t>
  </si>
  <si>
    <t>Payment by Y-TEC VN</t>
  </si>
  <si>
    <t>Section</t>
  </si>
  <si>
    <t>Thuế NK + BVMT</t>
  </si>
  <si>
    <t>VAT</t>
  </si>
  <si>
    <t>Nippon/Nissin + YUSEN + DHL</t>
  </si>
  <si>
    <t>Rate (%)</t>
  </si>
  <si>
    <t>Nippon</t>
  </si>
  <si>
    <t>Repair item</t>
  </si>
  <si>
    <t>Commercial cargo</t>
  </si>
  <si>
    <t>Non-commercial cargo
(Sample)</t>
  </si>
  <si>
    <t>Servo valve</t>
  </si>
  <si>
    <t>MEA</t>
  </si>
  <si>
    <t>MAT</t>
  </si>
  <si>
    <t>TOTAL IMPORT FEE (VND)</t>
  </si>
  <si>
    <t>Item</t>
  </si>
  <si>
    <t>Yusen</t>
  </si>
  <si>
    <t>Nissin</t>
  </si>
  <si>
    <t>Import Tax. Other Tax</t>
  </si>
  <si>
    <t>Total import fee
(Forwarder service fee + Transportation fee)</t>
  </si>
  <si>
    <t>1. MEASUREMENT SECTION</t>
  </si>
  <si>
    <t>2. MATERIAL SECTION</t>
  </si>
  <si>
    <t>TAX</t>
  </si>
  <si>
    <t>COST/KG</t>
  </si>
  <si>
    <t>Nippon + YUSEN</t>
  </si>
  <si>
    <t>Weight</t>
  </si>
  <si>
    <t>Nippon +
 YUSEN (Actual)</t>
  </si>
  <si>
    <t>Nippon +
 YUSEN (Target)</t>
  </si>
  <si>
    <t>DHL (Actual)</t>
  </si>
  <si>
    <t>DHL (Target)</t>
  </si>
  <si>
    <t>TOTAL WEIGHT (KG)</t>
  </si>
  <si>
    <t>MEA Sect.</t>
  </si>
  <si>
    <t>MAT Sect.</t>
  </si>
  <si>
    <t>Wt
(kg)</t>
  </si>
  <si>
    <t>Weight (kg)</t>
  </si>
  <si>
    <t>Total import fee</t>
  </si>
  <si>
    <t>Total fee ( without VAT)</t>
  </si>
  <si>
    <t>Total transportation fee</t>
  </si>
  <si>
    <t>Initial Budget (MEA)</t>
  </si>
  <si>
    <t>Working Budget (MEA)</t>
  </si>
  <si>
    <t>Working Budget (MAT)</t>
  </si>
  <si>
    <t>Initial Budget (MAT)</t>
  </si>
  <si>
    <t>Nippon+ OCS + YUSEN</t>
  </si>
  <si>
    <t>DHL (Japan)
Via Yamashita Rubber</t>
  </si>
  <si>
    <t>TRANSPORTATION FEE 
Nov-2020</t>
  </si>
  <si>
    <t>DHL (VN)</t>
  </si>
  <si>
    <t>Temporary export, re-import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</si>
</sst>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[$-409]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indexed="64"/>
      <name val="Arial"/>
      <family val="2"/>
    </font>
    <font>
      <sz val="11"/>
      <color theme="1"/>
      <name val="Arial"/>
      <family val="2"/>
      <charset val="163"/>
    </font>
    <font>
      <sz val="12"/>
      <name val="宋体"/>
      <charset val="134"/>
    </font>
    <font>
      <sz val="12"/>
      <name val="Osaka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38" fontId="1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0" fontId="1" fillId="0" borderId="0"/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2" fillId="0" borderId="0"/>
    <xf numFmtId="0" fontId="25" fillId="0" borderId="0">
      <alignment vertical="center"/>
    </xf>
    <xf numFmtId="0" fontId="23" fillId="0" borderId="0"/>
    <xf numFmtId="38" fontId="23" fillId="0" borderId="0" applyFont="0" applyFill="0" applyBorder="0" applyAlignment="0" applyProtection="0"/>
    <xf numFmtId="0" fontId="1" fillId="0" borderId="0"/>
    <xf numFmtId="38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</cellStyleXfs>
  <cellXfs count="40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43" fontId="7" fillId="0" borderId="1" xfId="1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0" fontId="0" fillId="0" borderId="1" xfId="0" applyBorder="1"/>
    <xf numFmtId="164" fontId="9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164" fontId="14" fillId="0" borderId="1" xfId="1" applyNumberFormat="1" applyFont="1" applyBorder="1" applyAlignment="1">
      <alignment vertical="center"/>
    </xf>
    <xf numFmtId="164" fontId="0" fillId="0" borderId="0" xfId="0" applyNumberFormat="1"/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15" fillId="0" borderId="1" xfId="1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11" fillId="0" borderId="9" xfId="1" applyNumberFormat="1" applyFont="1" applyBorder="1" applyAlignment="1">
      <alignment vertical="center"/>
    </xf>
    <xf numFmtId="164" fontId="11" fillId="0" borderId="10" xfId="1" applyNumberFormat="1" applyFont="1" applyBorder="1" applyAlignment="1">
      <alignment vertical="center"/>
    </xf>
    <xf numFmtId="164" fontId="11" fillId="5" borderId="10" xfId="1" applyNumberFormat="1" applyFont="1" applyFill="1" applyBorder="1" applyAlignment="1">
      <alignment vertical="center"/>
    </xf>
    <xf numFmtId="164" fontId="11" fillId="0" borderId="11" xfId="1" applyNumberFormat="1" applyFont="1" applyBorder="1" applyAlignment="1">
      <alignment vertical="center"/>
    </xf>
    <xf numFmtId="164" fontId="11" fillId="0" borderId="9" xfId="0" applyNumberFormat="1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164" fontId="15" fillId="5" borderId="10" xfId="0" applyNumberFormat="1" applyFont="1" applyFill="1" applyBorder="1" applyAlignment="1">
      <alignment vertical="center"/>
    </xf>
    <xf numFmtId="164" fontId="11" fillId="0" borderId="11" xfId="0" applyNumberFormat="1" applyFont="1" applyBorder="1" applyAlignment="1">
      <alignment vertical="center"/>
    </xf>
    <xf numFmtId="164" fontId="5" fillId="0" borderId="9" xfId="1" applyNumberFormat="1" applyFont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4" fontId="0" fillId="0" borderId="9" xfId="0" applyNumberFormat="1" applyFont="1" applyBorder="1" applyAlignment="1">
      <alignment vertical="center"/>
    </xf>
    <xf numFmtId="164" fontId="11" fillId="5" borderId="11" xfId="1" applyNumberFormat="1" applyFont="1" applyFill="1" applyBorder="1" applyAlignment="1">
      <alignment vertical="center"/>
    </xf>
    <xf numFmtId="164" fontId="15" fillId="5" borderId="11" xfId="0" applyNumberFormat="1" applyFont="1" applyFill="1" applyBorder="1" applyAlignment="1">
      <alignment vertical="center"/>
    </xf>
    <xf numFmtId="164" fontId="13" fillId="5" borderId="11" xfId="0" applyNumberFormat="1" applyFont="1" applyFill="1" applyBorder="1" applyAlignment="1">
      <alignment vertical="center"/>
    </xf>
    <xf numFmtId="164" fontId="6" fillId="0" borderId="9" xfId="0" applyNumberFormat="1" applyFont="1" applyBorder="1" applyAlignment="1">
      <alignment vertical="center"/>
    </xf>
    <xf numFmtId="164" fontId="3" fillId="0" borderId="9" xfId="0" applyNumberFormat="1" applyFont="1" applyFill="1" applyBorder="1" applyAlignment="1">
      <alignment vertical="center"/>
    </xf>
    <xf numFmtId="164" fontId="15" fillId="5" borderId="11" xfId="1" applyNumberFormat="1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64" fontId="11" fillId="0" borderId="13" xfId="1" applyNumberFormat="1" applyFont="1" applyBorder="1" applyAlignment="1">
      <alignment vertical="center"/>
    </xf>
    <xf numFmtId="164" fontId="11" fillId="0" borderId="14" xfId="1" applyNumberFormat="1" applyFont="1" applyBorder="1" applyAlignment="1">
      <alignment vertical="center"/>
    </xf>
    <xf numFmtId="164" fontId="11" fillId="5" borderId="14" xfId="1" applyNumberFormat="1" applyFont="1" applyFill="1" applyBorder="1" applyAlignment="1">
      <alignment vertical="center"/>
    </xf>
    <xf numFmtId="164" fontId="11" fillId="0" borderId="15" xfId="1" applyNumberFormat="1" applyFont="1" applyBorder="1" applyAlignment="1">
      <alignment vertical="center"/>
    </xf>
    <xf numFmtId="164" fontId="7" fillId="0" borderId="13" xfId="0" applyNumberFormat="1" applyFont="1" applyBorder="1" applyAlignment="1">
      <alignment vertical="center"/>
    </xf>
    <xf numFmtId="164" fontId="13" fillId="5" borderId="14" xfId="0" applyNumberFormat="1" applyFont="1" applyFill="1" applyBorder="1" applyAlignment="1">
      <alignment vertical="center"/>
    </xf>
    <xf numFmtId="164" fontId="12" fillId="0" borderId="13" xfId="1" applyNumberFormat="1" applyFont="1" applyBorder="1" applyAlignment="1">
      <alignment vertical="center"/>
    </xf>
    <xf numFmtId="164" fontId="11" fillId="5" borderId="15" xfId="1" applyNumberFormat="1" applyFont="1" applyFill="1" applyBorder="1" applyAlignment="1">
      <alignment vertical="center"/>
    </xf>
    <xf numFmtId="165" fontId="5" fillId="0" borderId="13" xfId="1" applyNumberFormat="1" applyFont="1" applyBorder="1" applyAlignment="1">
      <alignment vertical="center"/>
    </xf>
    <xf numFmtId="164" fontId="13" fillId="5" borderId="15" xfId="0" applyNumberFormat="1" applyFont="1" applyFill="1" applyBorder="1" applyAlignment="1">
      <alignment vertical="center"/>
    </xf>
    <xf numFmtId="43" fontId="7" fillId="0" borderId="13" xfId="1" applyFont="1" applyBorder="1" applyAlignment="1">
      <alignment vertical="center"/>
    </xf>
    <xf numFmtId="164" fontId="14" fillId="0" borderId="12" xfId="1" applyNumberFormat="1" applyFont="1" applyBorder="1" applyAlignment="1">
      <alignment vertical="center"/>
    </xf>
    <xf numFmtId="0" fontId="0" fillId="0" borderId="12" xfId="0" applyBorder="1"/>
    <xf numFmtId="0" fontId="0" fillId="0" borderId="16" xfId="0" applyBorder="1" applyAlignment="1">
      <alignment horizontal="left" vertical="center" wrapText="1"/>
    </xf>
    <xf numFmtId="164" fontId="11" fillId="0" borderId="17" xfId="1" applyNumberFormat="1" applyFont="1" applyBorder="1" applyAlignment="1">
      <alignment vertical="center"/>
    </xf>
    <xf numFmtId="164" fontId="11" fillId="0" borderId="18" xfId="1" applyNumberFormat="1" applyFont="1" applyBorder="1" applyAlignment="1">
      <alignment vertical="center"/>
    </xf>
    <xf numFmtId="164" fontId="11" fillId="5" borderId="18" xfId="1" applyNumberFormat="1" applyFont="1" applyFill="1" applyBorder="1" applyAlignment="1">
      <alignment vertical="center"/>
    </xf>
    <xf numFmtId="164" fontId="11" fillId="0" borderId="19" xfId="1" applyNumberFormat="1" applyFont="1" applyBorder="1" applyAlignment="1">
      <alignment vertical="center"/>
    </xf>
    <xf numFmtId="164" fontId="5" fillId="0" borderId="17" xfId="1" applyNumberFormat="1" applyFont="1" applyBorder="1" applyAlignment="1">
      <alignment vertical="center"/>
    </xf>
    <xf numFmtId="164" fontId="0" fillId="0" borderId="17" xfId="1" applyNumberFormat="1" applyFont="1" applyBorder="1" applyAlignment="1">
      <alignment vertical="center"/>
    </xf>
    <xf numFmtId="164" fontId="11" fillId="5" borderId="19" xfId="1" applyNumberFormat="1" applyFont="1" applyFill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164" fontId="13" fillId="5" borderId="19" xfId="0" applyNumberFormat="1" applyFont="1" applyFill="1" applyBorder="1" applyAlignment="1">
      <alignment vertical="center"/>
    </xf>
    <xf numFmtId="164" fontId="14" fillId="0" borderId="16" xfId="1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164" fontId="13" fillId="0" borderId="15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164" fontId="6" fillId="0" borderId="13" xfId="0" applyNumberFormat="1" applyFont="1" applyBorder="1" applyAlignment="1">
      <alignment vertical="center"/>
    </xf>
    <xf numFmtId="0" fontId="0" fillId="0" borderId="12" xfId="0" applyBorder="1" applyAlignment="1">
      <alignment wrapText="1"/>
    </xf>
    <xf numFmtId="164" fontId="7" fillId="0" borderId="17" xfId="0" applyNumberFormat="1" applyFont="1" applyBorder="1" applyAlignment="1">
      <alignment vertical="center"/>
    </xf>
    <xf numFmtId="164" fontId="13" fillId="5" borderId="18" xfId="0" applyNumberFormat="1" applyFont="1" applyFill="1" applyBorder="1" applyAlignment="1">
      <alignment vertical="center"/>
    </xf>
    <xf numFmtId="164" fontId="13" fillId="0" borderId="19" xfId="1" applyNumberFormat="1" applyFont="1" applyBorder="1" applyAlignment="1">
      <alignment vertical="center"/>
    </xf>
    <xf numFmtId="0" fontId="0" fillId="0" borderId="16" xfId="0" applyBorder="1" applyAlignment="1">
      <alignment vertical="center" wrapText="1"/>
    </xf>
    <xf numFmtId="164" fontId="0" fillId="0" borderId="0" xfId="1" applyNumberFormat="1" applyFont="1"/>
    <xf numFmtId="43" fontId="0" fillId="0" borderId="0" xfId="0" applyNumberFormat="1"/>
    <xf numFmtId="0" fontId="15" fillId="0" borderId="1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13" fillId="5" borderId="21" xfId="0" applyNumberFormat="1" applyFont="1" applyFill="1" applyBorder="1" applyAlignment="1">
      <alignment vertical="center"/>
    </xf>
    <xf numFmtId="164" fontId="13" fillId="5" borderId="22" xfId="0" applyNumberFormat="1" applyFont="1" applyFill="1" applyBorder="1" applyAlignment="1">
      <alignment vertical="center"/>
    </xf>
    <xf numFmtId="164" fontId="13" fillId="5" borderId="5" xfId="0" applyNumberFormat="1" applyFont="1" applyFill="1" applyBorder="1" applyAlignment="1">
      <alignment vertical="center"/>
    </xf>
    <xf numFmtId="164" fontId="15" fillId="5" borderId="5" xfId="1" applyNumberFormat="1" applyFont="1" applyFill="1" applyBorder="1" applyAlignment="1">
      <alignment vertical="center"/>
    </xf>
    <xf numFmtId="43" fontId="0" fillId="0" borderId="0" xfId="1" applyFont="1"/>
    <xf numFmtId="0" fontId="4" fillId="0" borderId="0" xfId="0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11" fillId="0" borderId="24" xfId="1" applyNumberFormat="1" applyFont="1" applyBorder="1" applyAlignment="1">
      <alignment vertical="center"/>
    </xf>
    <xf numFmtId="164" fontId="11" fillId="0" borderId="25" xfId="1" applyNumberFormat="1" applyFont="1" applyBorder="1" applyAlignment="1">
      <alignment vertical="center"/>
    </xf>
    <xf numFmtId="164" fontId="11" fillId="0" borderId="26" xfId="1" applyNumberFormat="1" applyFont="1" applyBorder="1" applyAlignment="1">
      <alignment vertical="center"/>
    </xf>
    <xf numFmtId="164" fontId="7" fillId="0" borderId="24" xfId="0" applyNumberFormat="1" applyFont="1" applyBorder="1" applyAlignment="1">
      <alignment vertical="center"/>
    </xf>
    <xf numFmtId="164" fontId="13" fillId="5" borderId="25" xfId="0" applyNumberFormat="1" applyFont="1" applyFill="1" applyBorder="1" applyAlignment="1">
      <alignment vertical="center"/>
    </xf>
    <xf numFmtId="164" fontId="12" fillId="0" borderId="24" xfId="1" applyNumberFormat="1" applyFont="1" applyBorder="1" applyAlignment="1">
      <alignment vertical="center"/>
    </xf>
    <xf numFmtId="164" fontId="11" fillId="5" borderId="26" xfId="1" applyNumberFormat="1" applyFont="1" applyFill="1" applyBorder="1" applyAlignment="1">
      <alignment vertical="center"/>
    </xf>
    <xf numFmtId="165" fontId="5" fillId="0" borderId="24" xfId="1" applyNumberFormat="1" applyFont="1" applyBorder="1" applyAlignment="1">
      <alignment vertical="center"/>
    </xf>
    <xf numFmtId="164" fontId="13" fillId="5" borderId="26" xfId="0" applyNumberFormat="1" applyFont="1" applyFill="1" applyBorder="1" applyAlignment="1">
      <alignment vertical="center"/>
    </xf>
    <xf numFmtId="43" fontId="7" fillId="0" borderId="24" xfId="1" applyFont="1" applyBorder="1" applyAlignment="1">
      <alignment vertical="center"/>
    </xf>
    <xf numFmtId="164" fontId="14" fillId="0" borderId="6" xfId="1" applyNumberFormat="1" applyFont="1" applyBorder="1" applyAlignment="1">
      <alignment vertical="center"/>
    </xf>
    <xf numFmtId="0" fontId="0" fillId="0" borderId="6" xfId="0" applyBorder="1"/>
    <xf numFmtId="164" fontId="11" fillId="0" borderId="23" xfId="1" applyNumberFormat="1" applyFont="1" applyBorder="1" applyAlignment="1">
      <alignment vertical="center"/>
    </xf>
    <xf numFmtId="164" fontId="11" fillId="0" borderId="4" xfId="0" applyNumberFormat="1" applyFont="1" applyBorder="1" applyAlignment="1">
      <alignment vertical="center"/>
    </xf>
    <xf numFmtId="164" fontId="11" fillId="0" borderId="27" xfId="1" applyNumberFormat="1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164" fontId="11" fillId="5" borderId="29" xfId="1" applyNumberFormat="1" applyFont="1" applyFill="1" applyBorder="1" applyAlignment="1">
      <alignment vertical="center"/>
    </xf>
    <xf numFmtId="164" fontId="11" fillId="0" borderId="30" xfId="1" applyNumberFormat="1" applyFont="1" applyBorder="1" applyAlignment="1">
      <alignment vertical="center"/>
    </xf>
    <xf numFmtId="164" fontId="11" fillId="0" borderId="31" xfId="1" applyNumberFormat="1" applyFont="1" applyBorder="1" applyAlignment="1">
      <alignment vertical="center"/>
    </xf>
    <xf numFmtId="164" fontId="11" fillId="5" borderId="30" xfId="1" applyNumberFormat="1" applyFont="1" applyFill="1" applyBorder="1" applyAlignment="1">
      <alignment vertical="center"/>
    </xf>
    <xf numFmtId="164" fontId="12" fillId="0" borderId="31" xfId="1" applyNumberFormat="1" applyFont="1" applyBorder="1" applyAlignment="1">
      <alignment vertical="center"/>
    </xf>
    <xf numFmtId="165" fontId="5" fillId="0" borderId="31" xfId="1" applyNumberFormat="1" applyFont="1" applyBorder="1" applyAlignment="1">
      <alignment vertical="center"/>
    </xf>
    <xf numFmtId="164" fontId="13" fillId="5" borderId="30" xfId="0" applyNumberFormat="1" applyFont="1" applyFill="1" applyBorder="1" applyAlignment="1">
      <alignment vertical="center"/>
    </xf>
    <xf numFmtId="43" fontId="7" fillId="0" borderId="31" xfId="1" applyFont="1" applyBorder="1" applyAlignment="1">
      <alignment vertical="center"/>
    </xf>
    <xf numFmtId="164" fontId="13" fillId="5" borderId="32" xfId="0" applyNumberFormat="1" applyFont="1" applyFill="1" applyBorder="1" applyAlignment="1">
      <alignment vertical="center"/>
    </xf>
    <xf numFmtId="164" fontId="14" fillId="0" borderId="28" xfId="1" applyNumberFormat="1" applyFont="1" applyBorder="1" applyAlignment="1">
      <alignment vertical="center"/>
    </xf>
    <xf numFmtId="0" fontId="0" fillId="0" borderId="28" xfId="0" applyBorder="1"/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64" fontId="11" fillId="5" borderId="33" xfId="1" applyNumberFormat="1" applyFont="1" applyFill="1" applyBorder="1" applyAlignment="1">
      <alignment vertical="center"/>
    </xf>
    <xf numFmtId="164" fontId="11" fillId="0" borderId="34" xfId="1" applyNumberFormat="1" applyFont="1" applyBorder="1" applyAlignment="1">
      <alignment vertical="center"/>
    </xf>
    <xf numFmtId="164" fontId="7" fillId="0" borderId="27" xfId="0" applyNumberFormat="1" applyFont="1" applyBorder="1" applyAlignment="1">
      <alignment vertical="center"/>
    </xf>
    <xf numFmtId="164" fontId="13" fillId="5" borderId="33" xfId="0" applyNumberFormat="1" applyFont="1" applyFill="1" applyBorder="1" applyAlignment="1">
      <alignment vertical="center"/>
    </xf>
    <xf numFmtId="164" fontId="0" fillId="0" borderId="27" xfId="1" applyNumberFormat="1" applyFont="1" applyBorder="1" applyAlignment="1">
      <alignment vertical="center"/>
    </xf>
    <xf numFmtId="164" fontId="11" fillId="0" borderId="18" xfId="1" applyNumberFormat="1" applyFont="1" applyFill="1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11" fillId="5" borderId="34" xfId="1" applyNumberFormat="1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0" xfId="0" applyFill="1"/>
    <xf numFmtId="164" fontId="11" fillId="0" borderId="27" xfId="1" applyNumberFormat="1" applyFont="1" applyFill="1" applyBorder="1" applyAlignment="1">
      <alignment vertical="center"/>
    </xf>
    <xf numFmtId="164" fontId="11" fillId="0" borderId="31" xfId="1" applyNumberFormat="1" applyFont="1" applyFill="1" applyBorder="1" applyAlignment="1">
      <alignment vertical="center"/>
    </xf>
    <xf numFmtId="164" fontId="11" fillId="0" borderId="17" xfId="1" applyNumberFormat="1" applyFont="1" applyFill="1" applyBorder="1" applyAlignment="1">
      <alignment vertical="center"/>
    </xf>
    <xf numFmtId="164" fontId="11" fillId="0" borderId="13" xfId="1" applyNumberFormat="1" applyFont="1" applyFill="1" applyBorder="1" applyAlignment="1">
      <alignment vertical="center"/>
    </xf>
    <xf numFmtId="164" fontId="11" fillId="0" borderId="9" xfId="1" applyNumberFormat="1" applyFont="1" applyFill="1" applyBorder="1" applyAlignment="1">
      <alignment vertical="center"/>
    </xf>
    <xf numFmtId="164" fontId="15" fillId="0" borderId="9" xfId="0" applyNumberFormat="1" applyFont="1" applyFill="1" applyBorder="1" applyAlignment="1">
      <alignment vertical="center"/>
    </xf>
    <xf numFmtId="0" fontId="15" fillId="11" borderId="1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164" fontId="11" fillId="0" borderId="36" xfId="1" applyNumberFormat="1" applyFont="1" applyBorder="1" applyAlignment="1">
      <alignment vertical="center"/>
    </xf>
    <xf numFmtId="164" fontId="11" fillId="0" borderId="37" xfId="1" applyNumberFormat="1" applyFont="1" applyBorder="1" applyAlignment="1">
      <alignment vertical="center"/>
    </xf>
    <xf numFmtId="164" fontId="11" fillId="0" borderId="38" xfId="1" applyNumberFormat="1" applyFont="1" applyBorder="1" applyAlignment="1">
      <alignment vertical="center"/>
    </xf>
    <xf numFmtId="164" fontId="11" fillId="0" borderId="38" xfId="1" applyNumberFormat="1" applyFont="1" applyFill="1" applyBorder="1" applyAlignment="1">
      <alignment vertical="center"/>
    </xf>
    <xf numFmtId="164" fontId="11" fillId="0" borderId="39" xfId="1" applyNumberFormat="1" applyFont="1" applyBorder="1" applyAlignment="1">
      <alignment vertical="center"/>
    </xf>
    <xf numFmtId="164" fontId="11" fillId="0" borderId="39" xfId="0" applyNumberFormat="1" applyFont="1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164" fontId="11" fillId="0" borderId="32" xfId="1" applyNumberFormat="1" applyFont="1" applyBorder="1" applyAlignment="1">
      <alignment vertical="center"/>
    </xf>
    <xf numFmtId="164" fontId="11" fillId="0" borderId="22" xfId="1" applyNumberFormat="1" applyFont="1" applyBorder="1" applyAlignment="1">
      <alignment vertical="center"/>
    </xf>
    <xf numFmtId="164" fontId="13" fillId="0" borderId="7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164" fontId="11" fillId="0" borderId="5" xfId="0" applyNumberFormat="1" applyFont="1" applyBorder="1" applyAlignment="1">
      <alignment vertical="center"/>
    </xf>
    <xf numFmtId="164" fontId="13" fillId="5" borderId="34" xfId="1" applyNumberFormat="1" applyFont="1" applyFill="1" applyBorder="1" applyAlignment="1">
      <alignment vertical="center"/>
    </xf>
    <xf numFmtId="164" fontId="13" fillId="5" borderId="34" xfId="0" applyNumberFormat="1" applyFont="1" applyFill="1" applyBorder="1" applyAlignment="1">
      <alignment vertical="center"/>
    </xf>
    <xf numFmtId="164" fontId="11" fillId="0" borderId="7" xfId="1" applyNumberFormat="1" applyFont="1" applyFill="1" applyBorder="1" applyAlignment="1">
      <alignment vertical="center"/>
    </xf>
    <xf numFmtId="164" fontId="11" fillId="0" borderId="32" xfId="1" applyNumberFormat="1" applyFont="1" applyFill="1" applyBorder="1" applyAlignment="1">
      <alignment vertical="center"/>
    </xf>
    <xf numFmtId="164" fontId="11" fillId="0" borderId="22" xfId="1" applyNumberFormat="1" applyFont="1" applyFill="1" applyBorder="1" applyAlignment="1">
      <alignment vertical="center"/>
    </xf>
    <xf numFmtId="164" fontId="11" fillId="0" borderId="5" xfId="1" applyNumberFormat="1" applyFont="1" applyFill="1" applyBorder="1" applyAlignment="1">
      <alignment vertical="center"/>
    </xf>
    <xf numFmtId="164" fontId="15" fillId="0" borderId="5" xfId="0" applyNumberFormat="1" applyFont="1" applyFill="1" applyBorder="1" applyAlignment="1">
      <alignment vertical="center"/>
    </xf>
    <xf numFmtId="164" fontId="13" fillId="0" borderId="13" xfId="0" applyNumberFormat="1" applyFont="1" applyFill="1" applyBorder="1" applyAlignment="1">
      <alignment vertical="center"/>
    </xf>
    <xf numFmtId="164" fontId="13" fillId="0" borderId="31" xfId="0" applyNumberFormat="1" applyFont="1" applyFill="1" applyBorder="1" applyAlignment="1">
      <alignment vertical="center"/>
    </xf>
    <xf numFmtId="164" fontId="13" fillId="0" borderId="17" xfId="0" applyNumberFormat="1" applyFont="1" applyFill="1" applyBorder="1" applyAlignment="1">
      <alignment vertical="center"/>
    </xf>
    <xf numFmtId="164" fontId="13" fillId="0" borderId="9" xfId="0" applyNumberFormat="1" applyFont="1" applyFill="1" applyBorder="1" applyAlignment="1">
      <alignment vertical="center"/>
    </xf>
    <xf numFmtId="164" fontId="15" fillId="0" borderId="9" xfId="1" applyNumberFormat="1" applyFont="1" applyFill="1" applyBorder="1" applyAlignment="1">
      <alignment vertical="center"/>
    </xf>
    <xf numFmtId="164" fontId="11" fillId="0" borderId="15" xfId="1" applyNumberFormat="1" applyFont="1" applyFill="1" applyBorder="1" applyAlignment="1">
      <alignment vertical="center"/>
    </xf>
    <xf numFmtId="164" fontId="11" fillId="0" borderId="33" xfId="1" applyNumberFormat="1" applyFont="1" applyFill="1" applyBorder="1" applyAlignment="1">
      <alignment vertical="center"/>
    </xf>
    <xf numFmtId="164" fontId="11" fillId="0" borderId="29" xfId="1" applyNumberFormat="1" applyFont="1" applyFill="1" applyBorder="1" applyAlignment="1">
      <alignment vertical="center"/>
    </xf>
    <xf numFmtId="164" fontId="11" fillId="0" borderId="19" xfId="1" applyNumberFormat="1" applyFont="1" applyFill="1" applyBorder="1" applyAlignment="1">
      <alignment vertical="center"/>
    </xf>
    <xf numFmtId="164" fontId="15" fillId="0" borderId="10" xfId="0" applyNumberFormat="1" applyFont="1" applyFill="1" applyBorder="1" applyAlignment="1">
      <alignment vertical="center"/>
    </xf>
    <xf numFmtId="164" fontId="11" fillId="0" borderId="33" xfId="1" applyNumberFormat="1" applyFont="1" applyBorder="1" applyAlignment="1">
      <alignment vertical="center"/>
    </xf>
    <xf numFmtId="164" fontId="11" fillId="0" borderId="34" xfId="1" applyNumberFormat="1" applyFont="1" applyFill="1" applyBorder="1" applyAlignment="1">
      <alignment vertical="center"/>
    </xf>
    <xf numFmtId="164" fontId="11" fillId="0" borderId="29" xfId="1" applyNumberFormat="1" applyFont="1" applyBorder="1" applyAlignment="1">
      <alignment vertical="center"/>
    </xf>
    <xf numFmtId="164" fontId="11" fillId="0" borderId="30" xfId="1" applyNumberFormat="1" applyFont="1" applyFill="1" applyBorder="1" applyAlignment="1">
      <alignment vertical="center"/>
    </xf>
    <xf numFmtId="164" fontId="15" fillId="0" borderId="11" xfId="0" applyNumberFormat="1" applyFont="1" applyFill="1" applyBorder="1" applyAlignment="1">
      <alignment vertical="center"/>
    </xf>
    <xf numFmtId="164" fontId="11" fillId="0" borderId="14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/>
    <xf numFmtId="164" fontId="0" fillId="0" borderId="1" xfId="1" applyNumberFormat="1" applyFont="1" applyBorder="1"/>
    <xf numFmtId="9" fontId="0" fillId="0" borderId="1" xfId="2" applyFont="1" applyBorder="1"/>
    <xf numFmtId="164" fontId="3" fillId="5" borderId="1" xfId="1" applyNumberFormat="1" applyFont="1" applyFill="1" applyBorder="1"/>
    <xf numFmtId="164" fontId="11" fillId="0" borderId="10" xfId="1" applyNumberFormat="1" applyFont="1" applyFill="1" applyBorder="1" applyAlignment="1">
      <alignment vertical="center"/>
    </xf>
    <xf numFmtId="164" fontId="11" fillId="0" borderId="11" xfId="1" applyNumberFormat="1" applyFont="1" applyFill="1" applyBorder="1" applyAlignment="1">
      <alignment vertical="center"/>
    </xf>
    <xf numFmtId="164" fontId="15" fillId="0" borderId="11" xfId="0" applyNumberFormat="1" applyFont="1" applyBorder="1" applyAlignment="1">
      <alignment vertical="center"/>
    </xf>
    <xf numFmtId="164" fontId="15" fillId="0" borderId="9" xfId="0" applyNumberFormat="1" applyFont="1" applyBorder="1" applyAlignment="1">
      <alignment vertical="center"/>
    </xf>
    <xf numFmtId="164" fontId="15" fillId="0" borderId="1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164" fontId="13" fillId="0" borderId="0" xfId="1" applyNumberFormat="1" applyFont="1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164" fontId="13" fillId="5" borderId="30" xfId="1" applyNumberFormat="1" applyFont="1" applyFill="1" applyBorder="1" applyAlignment="1">
      <alignment vertical="center"/>
    </xf>
    <xf numFmtId="0" fontId="0" fillId="0" borderId="30" xfId="0" applyFill="1" applyBorder="1"/>
    <xf numFmtId="164" fontId="0" fillId="0" borderId="27" xfId="0" applyNumberFormat="1" applyBorder="1" applyAlignment="1">
      <alignment horizontal="center" vertical="center"/>
    </xf>
    <xf numFmtId="164" fontId="12" fillId="0" borderId="27" xfId="1" applyNumberFormat="1" applyFont="1" applyBorder="1" applyAlignment="1">
      <alignment vertical="center"/>
    </xf>
    <xf numFmtId="165" fontId="5" fillId="0" borderId="27" xfId="1" applyNumberFormat="1" applyFont="1" applyBorder="1" applyAlignment="1">
      <alignment vertical="center"/>
    </xf>
    <xf numFmtId="43" fontId="7" fillId="0" borderId="27" xfId="1" applyFont="1" applyBorder="1" applyAlignment="1">
      <alignment vertical="center"/>
    </xf>
    <xf numFmtId="164" fontId="13" fillId="0" borderId="27" xfId="0" applyNumberFormat="1" applyFont="1" applyFill="1" applyBorder="1" applyAlignment="1">
      <alignment vertical="center"/>
    </xf>
    <xf numFmtId="164" fontId="13" fillId="5" borderId="7" xfId="0" applyNumberFormat="1" applyFont="1" applyFill="1" applyBorder="1" applyAlignment="1">
      <alignment vertical="center"/>
    </xf>
    <xf numFmtId="164" fontId="14" fillId="0" borderId="2" xfId="1" applyNumberFormat="1" applyFont="1" applyBorder="1" applyAlignment="1">
      <alignment vertical="center"/>
    </xf>
    <xf numFmtId="0" fontId="0" fillId="0" borderId="2" xfId="0" applyBorder="1"/>
    <xf numFmtId="164" fontId="11" fillId="0" borderId="21" xfId="1" applyNumberFormat="1" applyFont="1" applyBorder="1" applyAlignment="1">
      <alignment vertical="center"/>
    </xf>
    <xf numFmtId="164" fontId="11" fillId="5" borderId="41" xfId="1" applyNumberFormat="1" applyFont="1" applyFill="1" applyBorder="1" applyAlignment="1">
      <alignment vertical="center"/>
    </xf>
    <xf numFmtId="164" fontId="6" fillId="0" borderId="27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26" fillId="0" borderId="1" xfId="0" applyNumberFormat="1" applyFont="1" applyFill="1" applyBorder="1" applyAlignment="1">
      <alignment horizontal="center" vertical="center"/>
    </xf>
    <xf numFmtId="37" fontId="0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vertical="center"/>
    </xf>
    <xf numFmtId="43" fontId="6" fillId="0" borderId="1" xfId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vertical="center"/>
    </xf>
    <xf numFmtId="164" fontId="0" fillId="0" borderId="11" xfId="0" applyNumberFormat="1" applyFont="1" applyFill="1" applyBorder="1" applyAlignment="1">
      <alignment vertical="center"/>
    </xf>
    <xf numFmtId="37" fontId="0" fillId="5" borderId="1" xfId="1" applyNumberFormat="1" applyFont="1" applyFill="1" applyBorder="1" applyAlignment="1">
      <alignment horizontal="center" vertical="center" wrapText="1"/>
    </xf>
    <xf numFmtId="164" fontId="6" fillId="5" borderId="1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vertical="center"/>
    </xf>
    <xf numFmtId="164" fontId="0" fillId="0" borderId="5" xfId="0" applyNumberFormat="1" applyFont="1" applyFill="1" applyBorder="1" applyAlignment="1">
      <alignment vertical="center"/>
    </xf>
    <xf numFmtId="37" fontId="27" fillId="15" borderId="6" xfId="1" applyNumberFormat="1" applyFont="1" applyFill="1" applyBorder="1" applyAlignment="1">
      <alignment horizontal="left" vertical="center" wrapText="1"/>
    </xf>
    <xf numFmtId="17" fontId="28" fillId="9" borderId="1" xfId="0" applyNumberFormat="1" applyFont="1" applyFill="1" applyBorder="1" applyAlignment="1">
      <alignment horizontal="center" vertical="center"/>
    </xf>
    <xf numFmtId="17" fontId="26" fillId="9" borderId="1" xfId="0" applyNumberFormat="1" applyFont="1" applyFill="1" applyBorder="1" applyAlignment="1">
      <alignment horizontal="center" vertical="center"/>
    </xf>
    <xf numFmtId="17" fontId="26" fillId="0" borderId="0" xfId="0" applyNumberFormat="1" applyFont="1" applyFill="1" applyBorder="1" applyAlignment="1">
      <alignment horizontal="center" vertical="center"/>
    </xf>
    <xf numFmtId="37" fontId="0" fillId="0" borderId="0" xfId="1" applyNumberFormat="1" applyFont="1" applyFill="1" applyBorder="1" applyAlignment="1">
      <alignment horizontal="center" vertical="center" wrapText="1"/>
    </xf>
    <xf numFmtId="164" fontId="13" fillId="0" borderId="34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/>
    </xf>
    <xf numFmtId="17" fontId="29" fillId="16" borderId="1" xfId="0" applyNumberFormat="1" applyFont="1" applyFill="1" applyBorder="1" applyAlignment="1">
      <alignment horizontal="center" vertical="center"/>
    </xf>
    <xf numFmtId="17" fontId="26" fillId="16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17" fontId="26" fillId="17" borderId="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7" fontId="28" fillId="18" borderId="1" xfId="0" applyNumberFormat="1" applyFont="1" applyFill="1" applyBorder="1" applyAlignment="1">
      <alignment horizontal="center" vertical="center"/>
    </xf>
    <xf numFmtId="17" fontId="26" fillId="18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vertical="center"/>
    </xf>
    <xf numFmtId="0" fontId="2" fillId="5" borderId="0" xfId="0" applyFont="1" applyFill="1"/>
    <xf numFmtId="0" fontId="28" fillId="0" borderId="0" xfId="0" applyFont="1"/>
    <xf numFmtId="0" fontId="0" fillId="0" borderId="1" xfId="0" applyFill="1" applyBorder="1" applyAlignment="1">
      <alignment horizontal="left" vertical="center" wrapText="1"/>
    </xf>
    <xf numFmtId="0" fontId="0" fillId="5" borderId="1" xfId="0" applyFill="1" applyBorder="1"/>
    <xf numFmtId="164" fontId="0" fillId="5" borderId="1" xfId="0" applyNumberFormat="1" applyFill="1" applyBorder="1"/>
    <xf numFmtId="166" fontId="0" fillId="0" borderId="0" xfId="0" applyNumberFormat="1"/>
    <xf numFmtId="0" fontId="1" fillId="0" borderId="0" xfId="19"/>
    <xf numFmtId="0" fontId="1" fillId="0" borderId="1" xfId="19" applyBorder="1" applyAlignment="1">
      <alignment horizontal="center" vertical="center"/>
    </xf>
    <xf numFmtId="37" fontId="0" fillId="0" borderId="1" xfId="1" applyNumberFormat="1" applyFont="1" applyFill="1" applyBorder="1" applyAlignment="1">
      <alignment horizontal="left" vertical="center" wrapText="1"/>
    </xf>
    <xf numFmtId="37" fontId="0" fillId="5" borderId="1" xfId="1" applyNumberFormat="1" applyFont="1" applyFill="1" applyBorder="1" applyAlignment="1">
      <alignment horizontal="left" vertical="center" wrapText="1"/>
    </xf>
    <xf numFmtId="164" fontId="0" fillId="5" borderId="1" xfId="1" applyNumberFormat="1" applyFont="1" applyFill="1" applyBorder="1"/>
    <xf numFmtId="0" fontId="1" fillId="5" borderId="0" xfId="19" applyFill="1"/>
    <xf numFmtId="0" fontId="1" fillId="0" borderId="1" xfId="19" applyBorder="1" applyAlignment="1">
      <alignment horizontal="left" vertical="center" wrapText="1"/>
    </xf>
    <xf numFmtId="37" fontId="0" fillId="0" borderId="6" xfId="1" applyNumberFormat="1" applyFont="1" applyFill="1" applyBorder="1" applyAlignment="1">
      <alignment horizontal="left" vertical="center" wrapText="1"/>
    </xf>
    <xf numFmtId="164" fontId="1" fillId="0" borderId="0" xfId="19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2" fillId="0" borderId="0" xfId="0" applyFont="1" applyAlignment="1">
      <alignment horizontal="center" vertical="center"/>
    </xf>
    <xf numFmtId="17" fontId="32" fillId="0" borderId="1" xfId="0" applyNumberFormat="1" applyFont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37" fontId="0" fillId="0" borderId="35" xfId="1" applyNumberFormat="1" applyFont="1" applyFill="1" applyBorder="1" applyAlignment="1">
      <alignment horizontal="center" vertical="center" wrapText="1"/>
    </xf>
    <xf numFmtId="37" fontId="27" fillId="0" borderId="0" xfId="1" applyNumberFormat="1" applyFont="1" applyFill="1" applyBorder="1" applyAlignment="1">
      <alignment horizontal="left" vertical="center" wrapText="1"/>
    </xf>
    <xf numFmtId="164" fontId="0" fillId="0" borderId="35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7" fontId="27" fillId="15" borderId="0" xfId="1" applyNumberFormat="1" applyFont="1" applyFill="1" applyBorder="1" applyAlignment="1">
      <alignment horizontal="left" vertical="center" wrapText="1"/>
    </xf>
    <xf numFmtId="17" fontId="33" fillId="9" borderId="1" xfId="0" applyNumberFormat="1" applyFont="1" applyFill="1" applyBorder="1" applyAlignment="1">
      <alignment horizontal="center" vertical="center"/>
    </xf>
    <xf numFmtId="17" fontId="33" fillId="16" borderId="1" xfId="0" applyNumberFormat="1" applyFont="1" applyFill="1" applyBorder="1" applyAlignment="1">
      <alignment horizontal="center" vertical="center"/>
    </xf>
    <xf numFmtId="37" fontId="0" fillId="0" borderId="0" xfId="1" applyNumberFormat="1" applyFont="1" applyFill="1" applyBorder="1" applyAlignment="1">
      <alignment horizontal="left" vertical="center" wrapText="1"/>
    </xf>
    <xf numFmtId="0" fontId="1" fillId="0" borderId="1" xfId="19" applyBorder="1"/>
    <xf numFmtId="0" fontId="0" fillId="0" borderId="1" xfId="19" applyFont="1" applyBorder="1"/>
    <xf numFmtId="164" fontId="1" fillId="0" borderId="1" xfId="19" applyNumberFormat="1" applyBorder="1"/>
    <xf numFmtId="37" fontId="0" fillId="0" borderId="1" xfId="19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 vertical="center"/>
    </xf>
    <xf numFmtId="164" fontId="0" fillId="0" borderId="0" xfId="0" applyNumberFormat="1" applyFill="1"/>
    <xf numFmtId="165" fontId="0" fillId="0" borderId="1" xfId="1" applyNumberFormat="1" applyFont="1" applyBorder="1"/>
    <xf numFmtId="17" fontId="1" fillId="0" borderId="1" xfId="19" applyNumberFormat="1" applyBorder="1" applyAlignment="1">
      <alignment horizontal="center"/>
    </xf>
    <xf numFmtId="165" fontId="0" fillId="0" borderId="17" xfId="1" applyNumberFormat="1" applyFont="1" applyBorder="1" applyAlignment="1">
      <alignment vertical="center"/>
    </xf>
    <xf numFmtId="37" fontId="0" fillId="0" borderId="1" xfId="0" applyNumberFormat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/>
    </xf>
    <xf numFmtId="165" fontId="0" fillId="5" borderId="1" xfId="0" applyNumberFormat="1" applyFill="1" applyBorder="1"/>
    <xf numFmtId="37" fontId="0" fillId="0" borderId="0" xfId="0" applyNumberFormat="1"/>
    <xf numFmtId="0" fontId="3" fillId="8" borderId="1" xfId="0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1" applyNumberFormat="1" applyFont="1" applyAlignment="1"/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16" fillId="2" borderId="3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17" fontId="32" fillId="5" borderId="1" xfId="0" applyNumberFormat="1" applyFont="1" applyFill="1" applyBorder="1" applyAlignment="1">
      <alignment horizontal="center" vertical="center"/>
    </xf>
    <xf numFmtId="17" fontId="32" fillId="0" borderId="1" xfId="0" applyNumberFormat="1" applyFont="1" applyBorder="1" applyAlignment="1">
      <alignment horizontal="center" vertical="center"/>
    </xf>
    <xf numFmtId="17" fontId="3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" fontId="26" fillId="9" borderId="1" xfId="19" applyNumberFormat="1" applyFont="1" applyFill="1" applyBorder="1" applyAlignment="1">
      <alignment horizontal="center" vertical="center"/>
    </xf>
    <xf numFmtId="0" fontId="1" fillId="0" borderId="1" xfId="19" applyBorder="1" applyAlignment="1">
      <alignment horizontal="center"/>
    </xf>
  </cellXfs>
  <cellStyles count="23">
    <cellStyle name="Comma" xfId="1" builtinId="3"/>
    <cellStyle name="Comma [0] 3" xfId="20"/>
    <cellStyle name="Comma 3 2" xfId="21"/>
    <cellStyle name="Comma 6" xfId="3"/>
    <cellStyle name="Normal" xfId="0" builtinId="0"/>
    <cellStyle name="Normal 10 7" xfId="4"/>
    <cellStyle name="Normal 2" xfId="5"/>
    <cellStyle name="Normal 2 2" xfId="19"/>
    <cellStyle name="Normal 2 3 2" xfId="6"/>
    <cellStyle name="oft Excel]_x000a__x000d_Comment=open=/f を指定すると、ユーザー定義関数を関数貼り付けの一覧に登録することができます。_x000a__x000d_Maximized" xfId="7"/>
    <cellStyle name="Percent" xfId="2" builtinId="5"/>
    <cellStyle name="桁区切り 2" xfId="8"/>
    <cellStyle name="桁区切り 2 19" xfId="9"/>
    <cellStyle name="桁区切り 2 21" xfId="18"/>
    <cellStyle name="桁区切り 2 3" xfId="22"/>
    <cellStyle name="桁区切り 3" xfId="10"/>
    <cellStyle name="標準 2" xfId="11"/>
    <cellStyle name="標準 2 2" xfId="12"/>
    <cellStyle name="標準 3" xfId="13"/>
    <cellStyle name="標準 42" xfId="14"/>
    <cellStyle name="標準 5" xfId="15"/>
    <cellStyle name="標準 5 2" xfId="16"/>
    <cellStyle name="標準_INVOICE　RAHAMAN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transportation fee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chi phí'!$B$5</c:f>
              <c:strCache>
                <c:ptCount val="1"/>
                <c:pt idx="0">
                  <c:v>Total transportation fee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1.4937060870992957E-3"/>
                  <c:y val="-1.6940985011563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2.1472782656213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1.6940985011563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1.2705738758672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11762312644544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'Tổng chi phí'!$C$3:$Z$4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Apr-20</c:v>
                  </c:pt>
                  <c:pt idx="2">
                    <c:v>May-20</c:v>
                  </c:pt>
                  <c:pt idx="4">
                    <c:v>Jun-20</c:v>
                  </c:pt>
                  <c:pt idx="6">
                    <c:v>Jul-20</c:v>
                  </c:pt>
                  <c:pt idx="8">
                    <c:v>Aug-20</c:v>
                  </c:pt>
                  <c:pt idx="10">
                    <c:v>Sep-20</c:v>
                  </c:pt>
                  <c:pt idx="12">
                    <c:v>Oct-20</c:v>
                  </c:pt>
                  <c:pt idx="14">
                    <c:v>Nov-20</c:v>
                  </c:pt>
                  <c:pt idx="16">
                    <c:v>Dec-20</c:v>
                  </c:pt>
                  <c:pt idx="18">
                    <c:v>Jan-21</c:v>
                  </c:pt>
                  <c:pt idx="20">
                    <c:v>Feb-21</c:v>
                  </c:pt>
                  <c:pt idx="22">
                    <c:v>Mar-21</c:v>
                  </c:pt>
                </c:lvl>
              </c:multiLvlStrCache>
            </c:multiLvlStrRef>
          </c:cat>
          <c:val>
            <c:numRef>
              <c:f>'Tổng chi phí'!$C$5:$Z$5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179736.603</c:v>
                </c:pt>
                <c:pt idx="15">
                  <c:v>42281.707999999999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473352"/>
        <c:axId val="527478448"/>
      </c:barChart>
      <c:lineChart>
        <c:grouping val="standard"/>
        <c:varyColors val="0"/>
        <c:ser>
          <c:idx val="1"/>
          <c:order val="1"/>
          <c:tx>
            <c:strRef>
              <c:f>'Tổng chi phí'!$B$6</c:f>
              <c:strCache>
                <c:ptCount val="1"/>
                <c:pt idx="0">
                  <c:v>Initial Budget (MEA)</c:v>
                </c:pt>
              </c:strCache>
            </c:strRef>
          </c:tx>
          <c:cat>
            <c:multiLvlStrRef>
              <c:f>'Tổng chi phí'!$C$3:$Z$4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Apr-20</c:v>
                  </c:pt>
                  <c:pt idx="2">
                    <c:v>May-20</c:v>
                  </c:pt>
                  <c:pt idx="4">
                    <c:v>Jun-20</c:v>
                  </c:pt>
                  <c:pt idx="6">
                    <c:v>Jul-20</c:v>
                  </c:pt>
                  <c:pt idx="8">
                    <c:v>Aug-20</c:v>
                  </c:pt>
                  <c:pt idx="10">
                    <c:v>Sep-20</c:v>
                  </c:pt>
                  <c:pt idx="12">
                    <c:v>Oct-20</c:v>
                  </c:pt>
                  <c:pt idx="14">
                    <c:v>Nov-20</c:v>
                  </c:pt>
                  <c:pt idx="16">
                    <c:v>Dec-20</c:v>
                  </c:pt>
                  <c:pt idx="18">
                    <c:v>Jan-21</c:v>
                  </c:pt>
                  <c:pt idx="20">
                    <c:v>Feb-21</c:v>
                  </c:pt>
                  <c:pt idx="22">
                    <c:v>Mar-21</c:v>
                  </c:pt>
                </c:lvl>
              </c:multiLvlStrCache>
            </c:multiLvlStrRef>
          </c:cat>
          <c:val>
            <c:numRef>
              <c:f>'Tổng chi phí'!$C$6:$Z$6</c:f>
              <c:numCache>
                <c:formatCode>_(* #,##0_);_(* \(#,##0\);_(* "-"??_);_(@_)</c:formatCode>
                <c:ptCount val="24"/>
                <c:pt idx="0">
                  <c:v>157387</c:v>
                </c:pt>
                <c:pt idx="2">
                  <c:v>157387</c:v>
                </c:pt>
                <c:pt idx="4">
                  <c:v>157387</c:v>
                </c:pt>
                <c:pt idx="6">
                  <c:v>157387</c:v>
                </c:pt>
                <c:pt idx="8">
                  <c:v>157387</c:v>
                </c:pt>
                <c:pt idx="10">
                  <c:v>157387</c:v>
                </c:pt>
                <c:pt idx="12">
                  <c:v>157387</c:v>
                </c:pt>
                <c:pt idx="14">
                  <c:v>157387</c:v>
                </c:pt>
                <c:pt idx="16">
                  <c:v>157387</c:v>
                </c:pt>
                <c:pt idx="18">
                  <c:v>157387</c:v>
                </c:pt>
                <c:pt idx="20">
                  <c:v>157387</c:v>
                </c:pt>
                <c:pt idx="22">
                  <c:v>157387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'Tổng chi phí'!$B$7</c:f>
              <c:strCache>
                <c:ptCount val="1"/>
                <c:pt idx="0">
                  <c:v>Working Budget (MEA)</c:v>
                </c:pt>
              </c:strCache>
            </c:strRef>
          </c:tx>
          <c:cat>
            <c:multiLvlStrRef>
              <c:f>'Tổng chi phí'!$C$3:$Z$4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Apr-20</c:v>
                  </c:pt>
                  <c:pt idx="2">
                    <c:v>May-20</c:v>
                  </c:pt>
                  <c:pt idx="4">
                    <c:v>Jun-20</c:v>
                  </c:pt>
                  <c:pt idx="6">
                    <c:v>Jul-20</c:v>
                  </c:pt>
                  <c:pt idx="8">
                    <c:v>Aug-20</c:v>
                  </c:pt>
                  <c:pt idx="10">
                    <c:v>Sep-20</c:v>
                  </c:pt>
                  <c:pt idx="12">
                    <c:v>Oct-20</c:v>
                  </c:pt>
                  <c:pt idx="14">
                    <c:v>Nov-20</c:v>
                  </c:pt>
                  <c:pt idx="16">
                    <c:v>Dec-20</c:v>
                  </c:pt>
                  <c:pt idx="18">
                    <c:v>Jan-21</c:v>
                  </c:pt>
                  <c:pt idx="20">
                    <c:v>Feb-21</c:v>
                  </c:pt>
                  <c:pt idx="22">
                    <c:v>Mar-21</c:v>
                  </c:pt>
                </c:lvl>
              </c:multiLvlStrCache>
            </c:multiLvlStrRef>
          </c:cat>
          <c:val>
            <c:numRef>
              <c:f>'Tổng chi phí'!$C$7:$Z$7</c:f>
              <c:numCache>
                <c:formatCode>_(* #,##0_);_(* \(#,##0\);_(* "-"??_);_(@_)</c:formatCode>
                <c:ptCount val="24"/>
                <c:pt idx="0">
                  <c:v>157387</c:v>
                </c:pt>
                <c:pt idx="2">
                  <c:v>157387</c:v>
                </c:pt>
                <c:pt idx="4">
                  <c:v>157387</c:v>
                </c:pt>
                <c:pt idx="6">
                  <c:v>157387</c:v>
                </c:pt>
                <c:pt idx="8">
                  <c:v>157387</c:v>
                </c:pt>
                <c:pt idx="10">
                  <c:v>157387</c:v>
                </c:pt>
                <c:pt idx="12">
                  <c:v>157387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'Tổng chi phí'!$B$8</c:f>
              <c:strCache>
                <c:ptCount val="1"/>
                <c:pt idx="0">
                  <c:v>Initial Budget (MAT)</c:v>
                </c:pt>
              </c:strCache>
            </c:strRef>
          </c:tx>
          <c:marker>
            <c:symbol val="circle"/>
            <c:size val="7"/>
          </c:marker>
          <c:cat>
            <c:multiLvlStrRef>
              <c:f>'Tổng chi phí'!$C$3:$Z$4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Apr-20</c:v>
                  </c:pt>
                  <c:pt idx="2">
                    <c:v>May-20</c:v>
                  </c:pt>
                  <c:pt idx="4">
                    <c:v>Jun-20</c:v>
                  </c:pt>
                  <c:pt idx="6">
                    <c:v>Jul-20</c:v>
                  </c:pt>
                  <c:pt idx="8">
                    <c:v>Aug-20</c:v>
                  </c:pt>
                  <c:pt idx="10">
                    <c:v>Sep-20</c:v>
                  </c:pt>
                  <c:pt idx="12">
                    <c:v>Oct-20</c:v>
                  </c:pt>
                  <c:pt idx="14">
                    <c:v>Nov-20</c:v>
                  </c:pt>
                  <c:pt idx="16">
                    <c:v>Dec-20</c:v>
                  </c:pt>
                  <c:pt idx="18">
                    <c:v>Jan-21</c:v>
                  </c:pt>
                  <c:pt idx="20">
                    <c:v>Feb-21</c:v>
                  </c:pt>
                  <c:pt idx="22">
                    <c:v>Mar-21</c:v>
                  </c:pt>
                </c:lvl>
              </c:multiLvlStrCache>
            </c:multiLvlStrRef>
          </c:cat>
          <c:val>
            <c:numRef>
              <c:f>'Tổng chi phí'!$C$8:$Z$8</c:f>
              <c:numCache>
                <c:formatCode>_(* #,##0_);_(* \(#,##0\);_(* "-"??_);_(@_)</c:formatCode>
                <c:ptCount val="24"/>
                <c:pt idx="1">
                  <c:v>17385</c:v>
                </c:pt>
                <c:pt idx="3">
                  <c:v>118589</c:v>
                </c:pt>
                <c:pt idx="5">
                  <c:v>41956</c:v>
                </c:pt>
                <c:pt idx="7">
                  <c:v>61427</c:v>
                </c:pt>
                <c:pt idx="9">
                  <c:v>52317</c:v>
                </c:pt>
                <c:pt idx="11">
                  <c:v>31618</c:v>
                </c:pt>
                <c:pt idx="13">
                  <c:v>126795</c:v>
                </c:pt>
                <c:pt idx="15">
                  <c:v>50926</c:v>
                </c:pt>
                <c:pt idx="17">
                  <c:v>35929</c:v>
                </c:pt>
                <c:pt idx="19">
                  <c:v>17385</c:v>
                </c:pt>
                <c:pt idx="21">
                  <c:v>43370</c:v>
                </c:pt>
                <c:pt idx="23">
                  <c:v>17385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'Tổng chi phí'!$B$9</c:f>
              <c:strCache>
                <c:ptCount val="1"/>
                <c:pt idx="0">
                  <c:v>Working Budget (MAT)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'Tổng chi phí'!$C$3:$Z$4</c:f>
              <c:multiLvlStrCache>
                <c:ptCount val="24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</c:lvl>
                <c:lvl>
                  <c:pt idx="0">
                    <c:v>Apr-20</c:v>
                  </c:pt>
                  <c:pt idx="2">
                    <c:v>May-20</c:v>
                  </c:pt>
                  <c:pt idx="4">
                    <c:v>Jun-20</c:v>
                  </c:pt>
                  <c:pt idx="6">
                    <c:v>Jul-20</c:v>
                  </c:pt>
                  <c:pt idx="8">
                    <c:v>Aug-20</c:v>
                  </c:pt>
                  <c:pt idx="10">
                    <c:v>Sep-20</c:v>
                  </c:pt>
                  <c:pt idx="12">
                    <c:v>Oct-20</c:v>
                  </c:pt>
                  <c:pt idx="14">
                    <c:v>Nov-20</c:v>
                  </c:pt>
                  <c:pt idx="16">
                    <c:v>Dec-20</c:v>
                  </c:pt>
                  <c:pt idx="18">
                    <c:v>Jan-21</c:v>
                  </c:pt>
                  <c:pt idx="20">
                    <c:v>Feb-21</c:v>
                  </c:pt>
                  <c:pt idx="22">
                    <c:v>Mar-21</c:v>
                  </c:pt>
                </c:lvl>
              </c:multiLvlStrCache>
            </c:multiLvlStrRef>
          </c:cat>
          <c:val>
            <c:numRef>
              <c:f>'Tổng chi phí'!$C$9:$Z$9</c:f>
              <c:numCache>
                <c:formatCode>_(* #,##0_);_(* \(#,##0\);_(* "-"??_);_(@_)</c:formatCode>
                <c:ptCount val="24"/>
                <c:pt idx="1">
                  <c:v>31385</c:v>
                </c:pt>
                <c:pt idx="3">
                  <c:v>33589</c:v>
                </c:pt>
                <c:pt idx="5">
                  <c:v>21658</c:v>
                </c:pt>
                <c:pt idx="7">
                  <c:v>53069</c:v>
                </c:pt>
                <c:pt idx="9">
                  <c:v>52919</c:v>
                </c:pt>
                <c:pt idx="11">
                  <c:v>49120</c:v>
                </c:pt>
                <c:pt idx="13">
                  <c:v>58467</c:v>
                </c:pt>
                <c:pt idx="15">
                  <c:v>32607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73352"/>
        <c:axId val="527478448"/>
      </c:lineChart>
      <c:catAx>
        <c:axId val="527473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27478448"/>
        <c:crosses val="autoZero"/>
        <c:auto val="1"/>
        <c:lblAlgn val="ctr"/>
        <c:lblOffset val="100"/>
        <c:noMultiLvlLbl val="0"/>
      </c:catAx>
      <c:valAx>
        <c:axId val="5274784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274733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TOTAL</a:t>
            </a:r>
            <a:r>
              <a:rPr lang="en-US" sz="1000" baseline="0"/>
              <a:t> FEE</a:t>
            </a:r>
            <a:endParaRPr lang="en-US" sz="10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fee for exporting'!$A$5</c:f>
              <c:strCache>
                <c:ptCount val="1"/>
                <c:pt idx="0">
                  <c:v>Yusen</c:v>
                </c:pt>
              </c:strCache>
            </c:strRef>
          </c:tx>
          <c:invertIfNegative val="0"/>
          <c:cat>
            <c:multiLvlStrRef>
              <c:f>'Total fee for exporting'!$B$3:$AC$4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exporting'!$B$5:$AC$5</c:f>
              <c:numCache>
                <c:formatCode>#,##0_);\(#,##0\)</c:formatCode>
                <c:ptCount val="28"/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  <c:pt idx="14" formatCode="_(* #,##0_);_(* \(#,##0\);_(* &quot;-&quot;??_);_(@_)">
                  <c:v>0</c:v>
                </c:pt>
                <c:pt idx="15" formatCode="_(* #,##0_);_(* \(#,##0\);_(* &quot;-&quot;??_);_(@_)">
                  <c:v>0</c:v>
                </c:pt>
              </c:numCache>
            </c:numRef>
          </c:val>
        </c:ser>
        <c:ser>
          <c:idx val="2"/>
          <c:order val="1"/>
          <c:tx>
            <c:strRef>
              <c:f>'Total fee for exporting'!$A$6</c:f>
              <c:strCache>
                <c:ptCount val="1"/>
                <c:pt idx="0">
                  <c:v>Nippon</c:v>
                </c:pt>
              </c:strCache>
            </c:strRef>
          </c:tx>
          <c:invertIfNegative val="0"/>
          <c:cat>
            <c:multiLvlStrRef>
              <c:f>'Total fee for exporting'!$B$3:$AC$4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exporting'!$B$6:$AC$6</c:f>
              <c:numCache>
                <c:formatCode>#,##0_);\(#,##0\)</c:formatCode>
                <c:ptCount val="28"/>
              </c:numCache>
            </c:numRef>
          </c:val>
        </c:ser>
        <c:ser>
          <c:idx val="4"/>
          <c:order val="2"/>
          <c:tx>
            <c:strRef>
              <c:f>'Total fee for exporting'!$A$7</c:f>
              <c:strCache>
                <c:ptCount val="1"/>
                <c:pt idx="0">
                  <c:v>Nissin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anchor="t" anchorCtr="0"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'Total fee for exporting'!$B$3:$AC$4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exporting'!$B$7:$AC$7</c:f>
              <c:numCache>
                <c:formatCode>#,##0_);\(#,##0\)</c:formatCode>
                <c:ptCount val="28"/>
              </c:numCache>
            </c:numRef>
          </c:val>
        </c:ser>
        <c:ser>
          <c:idx val="5"/>
          <c:order val="3"/>
          <c:tx>
            <c:strRef>
              <c:f>'Total fee for exporting'!$A$8</c:f>
              <c:strCache>
                <c:ptCount val="1"/>
                <c:pt idx="0">
                  <c:v>PCS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5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'Total fee for exporting'!$B$3:$AC$4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exporting'!$B$8:$AC$8</c:f>
              <c:numCache>
                <c:formatCode>#,##0_);\(#,##0\)</c:formatCode>
                <c:ptCount val="28"/>
              </c:numCache>
            </c:numRef>
          </c:val>
        </c:ser>
        <c:ser>
          <c:idx val="1"/>
          <c:order val="4"/>
          <c:tx>
            <c:strRef>
              <c:f>'Total fee for exporting'!$A$9</c:f>
              <c:strCache>
                <c:ptCount val="1"/>
                <c:pt idx="0">
                  <c:v>OCS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b" anchorCtr="0">
                  <a:spAutoFit/>
                </a:bodyPr>
                <a:lstStyle/>
                <a:p>
                  <a:pPr>
                    <a:defRPr sz="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-5400000" vert="horz" wrap="square" lIns="38100" tIns="19050" rIns="38100" bIns="19050" anchor="b" anchorCtr="0">
                  <a:spAutoFit/>
                </a:bodyPr>
                <a:lstStyle/>
                <a:p>
                  <a:pPr>
                    <a:defRPr sz="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b" anchorCtr="0">
                <a:spAutoFit/>
              </a:bodyPr>
              <a:lstStyle/>
              <a:p>
                <a:pPr>
                  <a:defRPr sz="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fee for exporting'!$B$3:$AC$4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exporting'!$B$9:$AC$9</c:f>
              <c:numCache>
                <c:formatCode>#,##0_);\(#,##0\)</c:formatCode>
                <c:ptCount val="28"/>
                <c:pt idx="0">
                  <c:v>24480.8613</c:v>
                </c:pt>
                <c:pt idx="1">
                  <c:v>18435.879000000001</c:v>
                </c:pt>
                <c:pt idx="2">
                  <c:v>95595.154200000004</c:v>
                </c:pt>
                <c:pt idx="3">
                  <c:v>15399.111000000001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  <c:pt idx="14" formatCode="_(* #,##0_);_(* \(#,##0\);_(* &quot;-&quot;??_);_(@_)">
                  <c:v>0</c:v>
                </c:pt>
                <c:pt idx="15" formatCode="_(* #,##0_);_(* \(#,##0\);_(* &quot;-&quot;??_);_(@_)">
                  <c:v>0</c:v>
                </c:pt>
                <c:pt idx="16" formatCode="_(* #,##0_);_(* \(#,##0\);_(* &quot;-&quot;??_);_(@_)">
                  <c:v>0</c:v>
                </c:pt>
                <c:pt idx="17" formatCode="_(* #,##0_);_(* \(#,##0\);_(* &quot;-&quot;??_);_(@_)">
                  <c:v>0</c:v>
                </c:pt>
              </c:numCache>
            </c:numRef>
          </c:val>
        </c:ser>
        <c:ser>
          <c:idx val="3"/>
          <c:order val="5"/>
          <c:tx>
            <c:strRef>
              <c:f>'Total fee for exporting'!$A$10</c:f>
              <c:strCache>
                <c:ptCount val="1"/>
                <c:pt idx="0">
                  <c:v>DHL</c:v>
                </c:pt>
              </c:strCache>
            </c:strRef>
          </c:tx>
          <c:invertIfNegative val="0"/>
          <c:cat>
            <c:multiLvlStrRef>
              <c:f>'Total fee for exporting'!$B$3:$AC$4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exporting'!$B$10:$AC$10</c:f>
              <c:numCache>
                <c:formatCode>#,##0_);\(#,##0\)</c:formatCode>
                <c:ptCount val="2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7483544"/>
        <c:axId val="527482760"/>
      </c:barChart>
      <c:catAx>
        <c:axId val="527483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527482760"/>
        <c:crosses val="autoZero"/>
        <c:auto val="1"/>
        <c:lblAlgn val="ctr"/>
        <c:lblOffset val="100"/>
        <c:noMultiLvlLbl val="0"/>
      </c:catAx>
      <c:valAx>
        <c:axId val="527482760"/>
        <c:scaling>
          <c:orientation val="minMax"/>
        </c:scaling>
        <c:delete val="0"/>
        <c:axPos val="l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83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fee for exporting'!$A$17</c:f>
              <c:strCache>
                <c:ptCount val="1"/>
                <c:pt idx="0">
                  <c:v>MEA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3.3613445378151287E-2"/>
                  <c:y val="-4.9586755347278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1982878919173371E-2"/>
                  <c:y val="-4.4077115864247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6385161729950252E-2"/>
                  <c:y val="2.7548197415154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586303135338696E-2"/>
                  <c:y val="-3.3057836898185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3613445378151363E-2"/>
                  <c:y val="-3.8567476381216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5210084033613547E-2"/>
                  <c:y val="-2.2038557932123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exporting'!$B$16:$O$16</c:f>
              <c:numCache>
                <c:formatCode>mmm\-yy</c:formatCode>
                <c:ptCount val="14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</c:numCache>
            </c:numRef>
          </c:cat>
          <c:val>
            <c:numRef>
              <c:f>'Total fee for exporting'!$B$17:$O$17</c:f>
              <c:numCache>
                <c:formatCode>#,##0_);\(#,##0\)</c:formatCode>
                <c:ptCount val="14"/>
                <c:pt idx="0">
                  <c:v>131.96</c:v>
                </c:pt>
                <c:pt idx="1">
                  <c:v>508.53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fee for exporting'!$A$18</c:f>
              <c:strCache>
                <c:ptCount val="1"/>
                <c:pt idx="0">
                  <c:v>MAT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3.6419197600299963E-2"/>
                  <c:y val="5.5096394830309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04201680672268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4817927170868348E-2"/>
                  <c:y val="-3.3057836898185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613445378151259E-2"/>
                  <c:y val="-3.8567476381216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6414565826330632E-2"/>
                  <c:y val="-2.7548197415154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exporting'!$B$16:$O$16</c:f>
              <c:numCache>
                <c:formatCode>mmm\-yy</c:formatCode>
                <c:ptCount val="14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</c:numCache>
            </c:numRef>
          </c:cat>
          <c:val>
            <c:numRef>
              <c:f>'Total fee for exporting'!$B$18:$O$18</c:f>
              <c:numCache>
                <c:formatCode>#,##0_);\(#,##0\)</c:formatCode>
                <c:ptCount val="14"/>
                <c:pt idx="0">
                  <c:v>79.77</c:v>
                </c:pt>
                <c:pt idx="1">
                  <c:v>68.599999999999994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81192"/>
        <c:axId val="527481584"/>
      </c:lineChart>
      <c:dateAx>
        <c:axId val="527481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27481584"/>
        <c:crosses val="autoZero"/>
        <c:auto val="1"/>
        <c:lblOffset val="100"/>
        <c:baseTimeUnit val="months"/>
      </c:dateAx>
      <c:valAx>
        <c:axId val="52748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(Kg)</a:t>
                </a:r>
              </a:p>
            </c:rich>
          </c:tx>
          <c:overlay val="0"/>
        </c:title>
        <c:numFmt formatCode="#,##0_);\(#,##0\)" sourceLinked="1"/>
        <c:majorTickMark val="none"/>
        <c:minorTickMark val="none"/>
        <c:tickLblPos val="nextTo"/>
        <c:crossAx val="5274811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Total weight of sample cargo (kg)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fee for sample (1)'!$B$63</c:f>
              <c:strCache>
                <c:ptCount val="1"/>
                <c:pt idx="0">
                  <c:v>MEA Sect.</c:v>
                </c:pt>
              </c:strCache>
            </c:strRef>
          </c:tx>
          <c:marker>
            <c:symbol val="none"/>
          </c:marke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fee for sample (1)'!$C$62:$P$62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(1)'!$C$63:$P$63</c:f>
              <c:numCache>
                <c:formatCode>General</c:formatCode>
                <c:ptCount val="14"/>
                <c:pt idx="0">
                  <c:v>632</c:v>
                </c:pt>
                <c:pt idx="1">
                  <c:v>325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fee for sample (1)'!$B$64</c:f>
              <c:strCache>
                <c:ptCount val="1"/>
                <c:pt idx="0">
                  <c:v>MAT Sect.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7339719445793585E-2"/>
                  <c:y val="-4.1379310344827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138662245183593E-2"/>
                  <c:y val="-2.990805040723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707993367775391E-2"/>
                  <c:y val="-3.98774005429762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fee for sample (1)'!$C$62:$P$62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(1)'!$C$64:$P$64</c:f>
              <c:numCache>
                <c:formatCode>General</c:formatCode>
                <c:ptCount val="14"/>
                <c:pt idx="0">
                  <c:v>68</c:v>
                </c:pt>
                <c:pt idx="1">
                  <c:v>0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76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470216"/>
        <c:axId val="527474136"/>
      </c:lineChart>
      <c:dateAx>
        <c:axId val="5274702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527474136"/>
        <c:crosses val="autoZero"/>
        <c:auto val="1"/>
        <c:lblOffset val="100"/>
        <c:baseTimeUnit val="months"/>
      </c:dateAx>
      <c:valAx>
        <c:axId val="527474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747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TAX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07647917363915"/>
          <c:y val="0.19685407745084496"/>
          <c:w val="0.66802347111955185"/>
          <c:h val="0.59771128608923885"/>
        </c:manualLayout>
      </c:layout>
      <c:lineChart>
        <c:grouping val="standard"/>
        <c:varyColors val="0"/>
        <c:ser>
          <c:idx val="0"/>
          <c:order val="0"/>
          <c:tx>
            <c:strRef>
              <c:f>'Total fee for sample (1)'!$B$40</c:f>
              <c:strCache>
                <c:ptCount val="1"/>
                <c:pt idx="0">
                  <c:v>Import Tax. Other Tax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5.5128318927347562E-2"/>
                  <c:y val="4.0576224362092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448536954318103E-2"/>
                  <c:y val="-5.3743753342946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0183229197071055E-2"/>
                  <c:y val="-2.8029472880381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0878810021370052E-17"/>
                  <c:y val="-3.1937569344761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2.0038541320418907E-2"/>
                  <c:y val="-1.2936195526011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sample (1)'!$C$39:$P$39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(1)'!$C$40:$P$40</c:f>
              <c:numCache>
                <c:formatCode>#,##0_);\(#,##0\)</c:formatCode>
                <c:ptCount val="14"/>
                <c:pt idx="0">
                  <c:v>35195.146000000001</c:v>
                </c:pt>
                <c:pt idx="1">
                  <c:v>19550.071999999996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fee for sample (1)'!$B$41</c:f>
              <c:strCache>
                <c:ptCount val="1"/>
                <c:pt idx="0">
                  <c:v>VAT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4.9648522836055989E-2"/>
                  <c:y val="-4.183421064930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0417962927711557E-2"/>
                  <c:y val="2.788951068914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2364601556317069E-2"/>
                  <c:y val="-4.81124580022121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2.337829820715538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sample (1)'!$C$39:$P$39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(1)'!$C$41:$P$41</c:f>
              <c:numCache>
                <c:formatCode>#,##0_);\(#,##0\)</c:formatCode>
                <c:ptCount val="14"/>
                <c:pt idx="0">
                  <c:v>26538.294999999998</c:v>
                </c:pt>
                <c:pt idx="1">
                  <c:v>16330.738000000001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471392"/>
        <c:axId val="527471784"/>
      </c:lineChart>
      <c:dateAx>
        <c:axId val="527471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71784"/>
        <c:crosses val="autoZero"/>
        <c:auto val="1"/>
        <c:lblOffset val="100"/>
        <c:baseTimeUnit val="months"/>
      </c:dateAx>
      <c:valAx>
        <c:axId val="527471784"/>
        <c:scaling>
          <c:orientation val="minMax"/>
        </c:scaling>
        <c:delete val="0"/>
        <c:axPos val="l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7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13004172599455"/>
          <c:y val="0.44575254408988352"/>
          <c:w val="0.19832482112479974"/>
          <c:h val="0.2487290141363908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COST/KG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fee for sample (1)'!$B$52</c:f>
              <c:strCache>
                <c:ptCount val="1"/>
                <c:pt idx="0">
                  <c:v>Nippon +
 YUSEN (Actual)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483948431116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718715874489289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961265898060497E-2"/>
                  <c:y val="-4.08482323052972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4316737146553867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4316737146553613E-2"/>
                  <c:y val="2.25779784709196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888910053630542E-3"/>
                  <c:y val="3.26519372054398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01872439395573E-2"/>
                  <c:y val="3.2636511093374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751200876443932E-2"/>
                  <c:y val="2.1757665294011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6822878797251592E-3"/>
                  <c:y val="2.1767958136959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3.8306771745287113E-2"/>
                  <c:y val="7.33784300304891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fee for sample (1)'!$C$49:$P$49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(1)'!$C$52:$P$52</c:f>
              <c:numCache>
                <c:formatCode>_(* #,##0_);_(* \(#,##0\);_(* "-"??_);_(@_)</c:formatCode>
                <c:ptCount val="14"/>
                <c:pt idx="0">
                  <c:v>144.00144750404951</c:v>
                </c:pt>
                <c:pt idx="1">
                  <c:v>169.73949999999999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2"/>
          <c:tx>
            <c:strRef>
              <c:f>'Total fee for sample (1)'!$B$56</c:f>
              <c:strCache>
                <c:ptCount val="1"/>
                <c:pt idx="0">
                  <c:v>DHL (Actual)</c:v>
                </c:pt>
              </c:strCache>
            </c:strRef>
          </c:tx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010858001293766E-2"/>
                  <c:y val="-1.0348120590132784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fee for sample (1)'!$C$49:$P$49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(1)'!$C$56:$P$56</c:f>
              <c:numCache>
                <c:formatCode>_(* #,##0_);_(* \(#,##0\);_(* "-"??_);_(@_)</c:formatCode>
                <c:ptCount val="14"/>
                <c:pt idx="0">
                  <c:v>396.12042857142859</c:v>
                </c:pt>
                <c:pt idx="1">
                  <c:v>294.43787628865977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27468256"/>
        <c:axId val="527468648"/>
      </c:barChart>
      <c:lineChart>
        <c:grouping val="standard"/>
        <c:varyColors val="0"/>
        <c:ser>
          <c:idx val="0"/>
          <c:order val="1"/>
          <c:tx>
            <c:strRef>
              <c:f>'Total fee for sample (1)'!$B$53</c:f>
              <c:strCache>
                <c:ptCount val="1"/>
                <c:pt idx="0">
                  <c:v>Nippon +
 YUSEN (Target)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diamond"/>
            <c:size val="5"/>
            <c:spPr>
              <a:solidFill>
                <a:srgbClr val="92D050"/>
              </a:solidFill>
            </c:spPr>
          </c:marker>
          <c:cat>
            <c:numRef>
              <c:f>'Total fee for sample (1)'!$C$49:$P$49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(1)'!$C$53:$P$53</c:f>
              <c:numCache>
                <c:formatCode>_(* #,##0_);_(* \(#,##0\);_(* "-"??_);_(@_)</c:formatCode>
                <c:ptCount val="14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fee for sample (1)'!$B$57</c:f>
              <c:strCache>
                <c:ptCount val="1"/>
                <c:pt idx="0">
                  <c:v>DHL (Target)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4"/>
            <c:spPr>
              <a:solidFill>
                <a:schemeClr val="accent2"/>
              </a:solidFill>
            </c:spPr>
          </c:marker>
          <c:cat>
            <c:numRef>
              <c:f>'Total fee for sample (1)'!$C$49:$P$49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sample (1)'!$C$57:$P$57</c:f>
              <c:numCache>
                <c:formatCode>_(* #,##0_);_(* \(#,##0\);_(* "-"??_);_(@_)</c:formatCode>
                <c:ptCount val="14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68256"/>
        <c:axId val="527468648"/>
      </c:lineChart>
      <c:dateAx>
        <c:axId val="527468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68648"/>
        <c:crosses val="autoZero"/>
        <c:auto val="1"/>
        <c:lblOffset val="100"/>
        <c:baseTimeUnit val="months"/>
      </c:dateAx>
      <c:valAx>
        <c:axId val="5274686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68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dirty="0" smtClean="0"/>
              <a:t>Total fee for importing sample cargo</a:t>
            </a:r>
            <a:endParaRPr lang="en-US" sz="1100" dirty="0"/>
          </a:p>
        </c:rich>
      </c:tx>
      <c:layout>
        <c:manualLayout>
          <c:xMode val="edge"/>
          <c:yMode val="edge"/>
          <c:x val="0.26096576104687802"/>
          <c:y val="5.96770512381604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49106372708948"/>
          <c:y val="0.17702898550724638"/>
          <c:w val="0.67719473879446346"/>
          <c:h val="0.490132374757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fee for sample (2)'!$A$5</c:f>
              <c:strCache>
                <c:ptCount val="1"/>
                <c:pt idx="0">
                  <c:v>Yusen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(2)'!$B$5:$AC$5</c:f>
              <c:numCache>
                <c:formatCode>_(* #,##0_);_(* \(#,##0\);_(* "-"??_);_(@_)</c:formatCode>
                <c:ptCount val="28"/>
                <c:pt idx="0" formatCode="#,##0_);\(#,##0\)">
                  <c:v>9463.5650000000005</c:v>
                </c:pt>
                <c:pt idx="1">
                  <c:v>2230</c:v>
                </c:pt>
                <c:pt idx="2" formatCode="#,##0_);\(#,##0\)">
                  <c:v>8341.2199999999993</c:v>
                </c:pt>
                <c:pt idx="3" formatCode="#,##0_);\(#,##0\)">
                  <c:v>1300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>
                  <c:v>0</c:v>
                </c:pt>
                <c:pt idx="17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 fee for sample (2)'!$A$6</c:f>
              <c:strCache>
                <c:ptCount val="1"/>
                <c:pt idx="0">
                  <c:v>Nissin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(2)'!$B$6:$AC$6</c:f>
              <c:numCache>
                <c:formatCode>_(* #,##0_);_(* \(#,##0\);_(* "-"??_);_(@_)</c:formatCode>
                <c:ptCount val="2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>
                  <c:v>0</c:v>
                </c:pt>
                <c:pt idx="17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2"/>
          <c:order val="2"/>
          <c:tx>
            <c:strRef>
              <c:f>'Total fee for sample (2)'!$A$7</c:f>
              <c:strCache>
                <c:ptCount val="1"/>
                <c:pt idx="0">
                  <c:v>Nippon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(2)'!$B$7:$AC$7</c:f>
              <c:numCache>
                <c:formatCode>_(* #,##0_);_(* \(#,##0\);_(* "-"??_);_(@_)</c:formatCode>
                <c:ptCount val="28"/>
                <c:pt idx="0" formatCode="#,##0_);\(#,##0\)">
                  <c:v>52816.266000000003</c:v>
                </c:pt>
                <c:pt idx="1">
                  <c:v>0</c:v>
                </c:pt>
                <c:pt idx="2" formatCode="#,##0_);\(#,##0\)">
                  <c:v>31831.041000000001</c:v>
                </c:pt>
                <c:pt idx="3" formatCode="#,##0_);\(#,##0\)">
                  <c:v>5291.5959999999995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>
                  <c:v>0</c:v>
                </c:pt>
                <c:pt idx="17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3"/>
          <c:order val="3"/>
          <c:tx>
            <c:strRef>
              <c:f>'Total fee for sample (2)'!$A$8</c:f>
              <c:strCache>
                <c:ptCount val="1"/>
                <c:pt idx="0">
                  <c:v>FEDEX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(2)'!$B$8:$AC$8</c:f>
              <c:numCache>
                <c:formatCode>_(* #,##0_);_(* \(#,##0\);_(* "-"??_);_(@_)</c:formatCode>
                <c:ptCount val="2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>
                  <c:v>0</c:v>
                </c:pt>
                <c:pt idx="17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4"/>
          <c:order val="4"/>
          <c:tx>
            <c:strRef>
              <c:f>'Total fee for sample (2)'!$A$9</c:f>
              <c:strCache>
                <c:ptCount val="1"/>
                <c:pt idx="0">
                  <c:v>OCS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(2)'!$B$9:$AC$9</c:f>
              <c:numCache>
                <c:formatCode>_(* #,##0_);_(* \(#,##0\);_(* "-"??_);_(@_)</c:formatCode>
                <c:ptCount val="2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>
                  <c:v>0</c:v>
                </c:pt>
                <c:pt idx="17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5"/>
          <c:order val="5"/>
          <c:tx>
            <c:strRef>
              <c:f>'Total fee for sample (2)'!$A$10</c:f>
              <c:strCache>
                <c:ptCount val="1"/>
                <c:pt idx="0">
                  <c:v>DHL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(2)'!$B$10:$AC$10</c:f>
              <c:numCache>
                <c:formatCode>_(* #,##0_);_(* \(#,##0\);_(* "-"??_);_(@_)</c:formatCode>
                <c:ptCount val="28"/>
                <c:pt idx="0" formatCode="#,##0_);\(#,##0\)">
                  <c:v>0</c:v>
                </c:pt>
                <c:pt idx="1">
                  <c:v>8418.9</c:v>
                </c:pt>
                <c:pt idx="2" formatCode="#,##0_);\(#,##0\)">
                  <c:v>5517.7910000000002</c:v>
                </c:pt>
                <c:pt idx="3" formatCode="#,##0_);\(#,##0\)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>
                  <c:v>0</c:v>
                </c:pt>
                <c:pt idx="17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6"/>
          <c:order val="6"/>
          <c:tx>
            <c:strRef>
              <c:f>'Total fee for sample (2)'!$A$11</c:f>
              <c:strCache>
                <c:ptCount val="1"/>
                <c:pt idx="0">
                  <c:v>Import Tax. Other Tax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(2)'!$B$11:$AC$11</c:f>
              <c:numCache>
                <c:formatCode>_(* #,##0_);_(* \(#,##0\);_(* "-"??_);_(@_)</c:formatCode>
                <c:ptCount val="28"/>
                <c:pt idx="0" formatCode="#,##0_);\(#,##0\)">
                  <c:v>34349.195</c:v>
                </c:pt>
                <c:pt idx="1">
                  <c:v>845.95100000000002</c:v>
                </c:pt>
                <c:pt idx="2" formatCode="#,##0_);\(#,##0\)">
                  <c:v>19278.776999999998</c:v>
                </c:pt>
                <c:pt idx="3" formatCode="#,##0_);\(#,##0\)">
                  <c:v>271.29500000000002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>
                  <c:v>0</c:v>
                </c:pt>
                <c:pt idx="17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7"/>
          <c:order val="7"/>
          <c:tx>
            <c:strRef>
              <c:f>'Total fee for sample (2)'!$A$12</c:f>
              <c:strCache>
                <c:ptCount val="1"/>
                <c:pt idx="0">
                  <c:v>VAT</c:v>
                </c:pt>
              </c:strCache>
            </c:strRef>
          </c:tx>
          <c:invertIfNegative val="0"/>
          <c:cat>
            <c:multiLvlStrRef>
              <c:f>'Total fee for sample 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sample (2)'!$B$12:$AC$12</c:f>
              <c:numCache>
                <c:formatCode>_(* #,##0_);_(* \(#,##0\);_(* "-"??_);_(@_)</c:formatCode>
                <c:ptCount val="28"/>
                <c:pt idx="0" formatCode="#,##0_);\(#,##0\)">
                  <c:v>24112.226999999999</c:v>
                </c:pt>
                <c:pt idx="1">
                  <c:v>2426.0680000000002</c:v>
                </c:pt>
                <c:pt idx="2" formatCode="#,##0_);\(#,##0\)">
                  <c:v>15799.207</c:v>
                </c:pt>
                <c:pt idx="3" formatCode="#,##0_);\(#,##0\)">
                  <c:v>531.53099999999995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_(* #,##0.0_);_(* \(#,##0.0\);_(* &quot;-&quot;??_);_(@_)">
                  <c:v>0</c:v>
                </c:pt>
                <c:pt idx="11" formatCode="_(* #,##0.0_);_(* \(#,##0.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.0_);_(* \(#,##0.0\);_(* &quot;-&quot;??_);_(@_)">
                  <c:v>0</c:v>
                </c:pt>
                <c:pt idx="18" formatCode="_(* #,##0.0_);_(* \(#,##0.0\);_(* &quot;-&quot;??_);_(@_)">
                  <c:v>0</c:v>
                </c:pt>
                <c:pt idx="19" formatCode="_(* #,##0.0_);_(* \(#,##0.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7469040"/>
        <c:axId val="527476488"/>
      </c:barChart>
      <c:catAx>
        <c:axId val="52746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76488"/>
        <c:crosses val="autoZero"/>
        <c:auto val="1"/>
        <c:lblAlgn val="ctr"/>
        <c:lblOffset val="100"/>
        <c:noMultiLvlLbl val="0"/>
      </c:catAx>
      <c:valAx>
        <c:axId val="527476488"/>
        <c:scaling>
          <c:orientation val="minMax"/>
        </c:scaling>
        <c:delete val="0"/>
        <c:axPos val="l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2746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19071559729097"/>
          <c:y val="7.6940297614521536E-2"/>
          <c:w val="0.14602112504177323"/>
          <c:h val="0.78988360150633341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Total</a:t>
            </a:r>
            <a:r>
              <a:rPr lang="en-US" sz="1100" baseline="0"/>
              <a:t> Weight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fee for Commercial (1)'!$B$63</c:f>
              <c:strCache>
                <c:ptCount val="1"/>
                <c:pt idx="0">
                  <c:v>MEA Sect.</c:v>
                </c:pt>
              </c:strCache>
            </c:strRef>
          </c:tx>
          <c:marker>
            <c:symbol val="none"/>
          </c:marker>
          <c:dLbls>
            <c:dLbl>
              <c:idx val="4"/>
              <c:layout>
                <c:manualLayout>
                  <c:x val="-1.6185731358370661E-2"/>
                  <c:y val="5.1971165489658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Commercial (1)'!$C$62:$P$62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Commercial (1)'!$C$63:$P$63</c:f>
              <c:numCache>
                <c:formatCode>General</c:formatCode>
                <c:ptCount val="14"/>
                <c:pt idx="0">
                  <c:v>27.6</c:v>
                </c:pt>
                <c:pt idx="1">
                  <c:v>148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fee for Commercial (1)'!$B$64</c:f>
              <c:strCache>
                <c:ptCount val="1"/>
                <c:pt idx="0">
                  <c:v>MAT Sect.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Commercial (1)'!$C$62:$P$62</c:f>
              <c:numCache>
                <c:formatCode>mmm\-yy</c:formatCode>
                <c:ptCount val="1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</c:numCache>
            </c:numRef>
          </c:cat>
          <c:val>
            <c:numRef>
              <c:f>'Total fee for Commercial (1)'!$C$64:$P$64</c:f>
              <c:numCache>
                <c:formatCode>General</c:formatCode>
                <c:ptCount val="14"/>
                <c:pt idx="0">
                  <c:v>68</c:v>
                </c:pt>
                <c:pt idx="1">
                  <c:v>230</c:v>
                </c:pt>
                <c:pt idx="2" formatCode="_(* #,##0.0_);_(* \(#,##0.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478840"/>
        <c:axId val="527476096"/>
      </c:lineChart>
      <c:dateAx>
        <c:axId val="5274788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76096"/>
        <c:crosses val="autoZero"/>
        <c:auto val="1"/>
        <c:lblOffset val="100"/>
        <c:baseTimeUnit val="months"/>
      </c:dateAx>
      <c:valAx>
        <c:axId val="527476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78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TAX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339853787206041E-2"/>
          <c:y val="0.19288994352468619"/>
          <c:w val="0.72627894374598589"/>
          <c:h val="0.60796003774165164"/>
        </c:manualLayout>
      </c:layout>
      <c:lineChart>
        <c:grouping val="standard"/>
        <c:varyColors val="0"/>
        <c:ser>
          <c:idx val="0"/>
          <c:order val="0"/>
          <c:tx>
            <c:strRef>
              <c:f>'Total fee for Commercial (1)'!$B$40</c:f>
              <c:strCache>
                <c:ptCount val="1"/>
                <c:pt idx="0">
                  <c:v>Import Tax. Other Tax</c:v>
                </c:pt>
              </c:strCache>
            </c:strRef>
          </c:tx>
          <c:marker>
            <c:symbol val="none"/>
          </c:marker>
          <c:dLbls>
            <c:dLbl>
              <c:idx val="3"/>
              <c:layout>
                <c:manualLayout>
                  <c:x val="3.2791183124159566E-2"/>
                  <c:y val="-8.621687119638293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fee for Commercial (1)'!$C$39:$P$39</c:f>
              <c:numCache>
                <c:formatCode>mmm\-yy</c:formatCode>
                <c:ptCount val="14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</c:numCache>
            </c:numRef>
          </c:cat>
          <c:val>
            <c:numRef>
              <c:f>'Total fee for Commercial (1)'!$C$40:$P$40</c:f>
              <c:numCache>
                <c:formatCode>#,##0_);\(#,##0\)</c:formatCode>
                <c:ptCount val="14"/>
                <c:pt idx="0">
                  <c:v>1572.0320000000002</c:v>
                </c:pt>
                <c:pt idx="1">
                  <c:v>2005.1769999999999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fee for Commercial (1)'!$B$41</c:f>
              <c:strCache>
                <c:ptCount val="1"/>
                <c:pt idx="0">
                  <c:v>VAT</c:v>
                </c:pt>
              </c:strCache>
            </c:strRef>
          </c:tx>
          <c:marker>
            <c:symbol val="none"/>
          </c:marker>
          <c:dLbls>
            <c:dLbl>
              <c:idx val="7"/>
              <c:layout>
                <c:manualLayout>
                  <c:x val="5.0447974037168639E-3"/>
                  <c:y val="-5.6433513063951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7.5634796294253232E-3"/>
                  <c:y val="-3.7337992252366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'Total fee for Commercial (1)'!$C$39:$P$39</c:f>
              <c:numCache>
                <c:formatCode>mmm\-yy</c:formatCode>
                <c:ptCount val="14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</c:numCache>
            </c:numRef>
          </c:cat>
          <c:val>
            <c:numRef>
              <c:f>'Total fee for Commercial (1)'!$C$41:$P$41</c:f>
              <c:numCache>
                <c:formatCode>#,##0_);\(#,##0\)</c:formatCode>
                <c:ptCount val="14"/>
                <c:pt idx="0">
                  <c:v>2104.402</c:v>
                </c:pt>
                <c:pt idx="1">
                  <c:v>7973.4939999999997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472176"/>
        <c:axId val="527477272"/>
      </c:lineChart>
      <c:dateAx>
        <c:axId val="5274721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527477272"/>
        <c:crosses val="autoZero"/>
        <c:auto val="1"/>
        <c:lblOffset val="100"/>
        <c:baseTimeUnit val="months"/>
      </c:dateAx>
      <c:valAx>
        <c:axId val="527477272"/>
        <c:scaling>
          <c:orientation val="minMax"/>
        </c:scaling>
        <c:delete val="0"/>
        <c:axPos val="l"/>
        <c:majorGridlines/>
        <c:numFmt formatCode="#,##0_);\(#,##0\)" sourceLinked="1"/>
        <c:majorTickMark val="none"/>
        <c:minorTickMark val="none"/>
        <c:tickLblPos val="nextTo"/>
        <c:crossAx val="52747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31424321087455"/>
          <c:y val="0.16812298950980978"/>
          <c:w val="0.15699643386960133"/>
          <c:h val="0.44470605645575229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COST/KG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fee for Commercial (1)'!$B$52</c:f>
              <c:strCache>
                <c:ptCount val="1"/>
                <c:pt idx="0">
                  <c:v>Nippon +
 YUSEN (Actual)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1.4888910053630542E-3"/>
                  <c:y val="3.2651937205439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501872439395573E-2"/>
                  <c:y val="3.263651109337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751200876443932E-2"/>
                  <c:y val="2.1757665294011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6822878797251592E-3"/>
                  <c:y val="2.1767958136959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Commercial (1)'!$E$49:$P$49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'Total fee for Commercial (1)'!$E$52:$P$52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2"/>
          <c:tx>
            <c:strRef>
              <c:f>'Total fee for Commercial (1)'!$B$56</c:f>
              <c:strCache>
                <c:ptCount val="1"/>
                <c:pt idx="0">
                  <c:v>DHL (Actual)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-8.3326235491426089E-3"/>
                  <c:y val="3.6365630850852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4147794686169197E-3"/>
                  <c:y val="-7.2388459211360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2858923735797087E-3"/>
                  <c:y val="7.26284209546020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fee for Commercial (1)'!$E$49:$P$49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'Total fee for Commercial (1)'!$E$56:$P$56</c:f>
              <c:numCache>
                <c:formatCode>_(* #,##0_);_(* \(#,##0\);_(* "-"??_);_(@_)</c:formatCode>
                <c:ptCount val="12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27477664"/>
        <c:axId val="527472960"/>
      </c:barChart>
      <c:lineChart>
        <c:grouping val="standard"/>
        <c:varyColors val="0"/>
        <c:ser>
          <c:idx val="3"/>
          <c:order val="1"/>
          <c:tx>
            <c:strRef>
              <c:f>'Total fee for Commercial (1)'!$B$53</c:f>
              <c:strCache>
                <c:ptCount val="1"/>
                <c:pt idx="0">
                  <c:v>Nippon +
 YUSEN (Target)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'Total fee for Commercial (1)'!$E$49:$P$49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'Total fee for Commercial (1)'!$E$53:$P$53</c:f>
              <c:numCache>
                <c:formatCode>_(* #,##0_);_(* \(#,##0\);_(* "-"??_);_(@_)</c:formatCode>
                <c:ptCount val="12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'Total fee for Commercial (1)'!$B$57</c:f>
              <c:strCache>
                <c:ptCount val="1"/>
                <c:pt idx="0">
                  <c:v>DHL (Target)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'Total fee for Commercial (1)'!$E$49:$P$49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'Total fee for Commercial (1)'!$E$57:$P$57</c:f>
              <c:numCache>
                <c:formatCode>_(* #,##0_);_(* \(#,##0\);_(* "-"??_);_(@_)</c:formatCode>
                <c:ptCount val="12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7477664"/>
        <c:axId val="527472960"/>
      </c:lineChart>
      <c:dateAx>
        <c:axId val="52747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527472960"/>
        <c:crosses val="autoZero"/>
        <c:auto val="1"/>
        <c:lblOffset val="100"/>
        <c:baseTimeUnit val="months"/>
      </c:dateAx>
      <c:valAx>
        <c:axId val="5274729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5274776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dirty="0" smtClean="0"/>
              <a:t>Total fee for importing sample cargo</a:t>
            </a:r>
            <a:endParaRPr lang="en-US" sz="1100" dirty="0"/>
          </a:p>
        </c:rich>
      </c:tx>
      <c:layout>
        <c:manualLayout>
          <c:xMode val="edge"/>
          <c:yMode val="edge"/>
          <c:x val="0.26096576104687802"/>
          <c:y val="5.96770512381604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49106372708948"/>
          <c:y val="0.17702898550724638"/>
          <c:w val="0.67719473879446346"/>
          <c:h val="0.490132374757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fee for Commercial(2)'!$A$5</c:f>
              <c:strCache>
                <c:ptCount val="1"/>
                <c:pt idx="0">
                  <c:v>Yusen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Commercial(2)'!$B$5:$AC$5</c:f>
              <c:numCache>
                <c:formatCode>#,##0_);\(#,##0\)</c:formatCode>
                <c:ptCount val="28"/>
                <c:pt idx="0">
                  <c:v>1226.5</c:v>
                </c:pt>
                <c:pt idx="1">
                  <c:v>1959.84</c:v>
                </c:pt>
                <c:pt idx="2">
                  <c:v>0</c:v>
                </c:pt>
                <c:pt idx="3">
                  <c:v>2998.88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General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 fee for Commercial(2)'!$A$6</c:f>
              <c:strCache>
                <c:ptCount val="1"/>
                <c:pt idx="0">
                  <c:v>Nissin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Commercial(2)'!$B$6:$AC$6</c:f>
              <c:numCache>
                <c:formatCode>#,##0_);\(#,##0\)</c:formatCode>
                <c:ptCount val="28"/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.0_);_(* \(#,##0.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2"/>
          <c:order val="2"/>
          <c:tx>
            <c:strRef>
              <c:f>'Total fee for Commercial(2)'!$A$7</c:f>
              <c:strCache>
                <c:ptCount val="1"/>
                <c:pt idx="0">
                  <c:v>Nippon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Commercial(2)'!$B$7:$AC$7</c:f>
              <c:numCache>
                <c:formatCode>#,##0_);\(#,##0\)</c:formatCode>
                <c:ptCount val="28"/>
                <c:pt idx="0">
                  <c:v>6771.0360000000001</c:v>
                </c:pt>
                <c:pt idx="1">
                  <c:v>6362.09</c:v>
                </c:pt>
                <c:pt idx="2">
                  <c:v>0</c:v>
                </c:pt>
                <c:pt idx="3">
                  <c:v>17475.745999999999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.0_);_(* \(#,##0.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3"/>
          <c:order val="3"/>
          <c:tx>
            <c:strRef>
              <c:f>'Total fee for Commercial(2)'!$A$8</c:f>
              <c:strCache>
                <c:ptCount val="1"/>
                <c:pt idx="0">
                  <c:v>FEDEX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Commercial(2)'!$B$8:$AC$8</c:f>
              <c:numCache>
                <c:formatCode>#,##0_);\(#,##0\)</c:formatCode>
                <c:ptCount val="28"/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.0_);_(* \(#,##0.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4"/>
          <c:order val="4"/>
          <c:tx>
            <c:strRef>
              <c:f>'Total fee for Commercial(2)'!$A$9</c:f>
              <c:strCache>
                <c:ptCount val="1"/>
                <c:pt idx="0">
                  <c:v>OCS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Commercial(2)'!$B$9:$AC$9</c:f>
              <c:numCache>
                <c:formatCode>#,##0_);\(#,##0\)</c:formatCode>
                <c:ptCount val="28"/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.0_);_(* \(#,##0.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5"/>
          <c:order val="5"/>
          <c:tx>
            <c:strRef>
              <c:f>'Total fee for Commercial(2)'!$A$10</c:f>
              <c:strCache>
                <c:ptCount val="1"/>
                <c:pt idx="0">
                  <c:v>DHL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Commercial(2)'!$B$10:$AC$10</c:f>
              <c:numCache>
                <c:formatCode>#,##0_);\(#,##0\)</c:formatCode>
                <c:ptCount val="28"/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.0_);_(* \(#,##0.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6"/>
          <c:order val="6"/>
          <c:tx>
            <c:strRef>
              <c:f>'Total fee for Commercial(2)'!$A$11</c:f>
              <c:strCache>
                <c:ptCount val="1"/>
                <c:pt idx="0">
                  <c:v>Import Tax. Other Tax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Commercial(2)'!$B$11:$AC$11</c:f>
              <c:numCache>
                <c:formatCode>#,##0_);\(#,##0\)</c:formatCode>
                <c:ptCount val="28"/>
                <c:pt idx="0">
                  <c:v>1025.884</c:v>
                </c:pt>
                <c:pt idx="1">
                  <c:v>546.14800000000002</c:v>
                </c:pt>
                <c:pt idx="2">
                  <c:v>0</c:v>
                </c:pt>
                <c:pt idx="3">
                  <c:v>2005.1769999999999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.0_);_(* \(#,##0.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ser>
          <c:idx val="7"/>
          <c:order val="7"/>
          <c:tx>
            <c:strRef>
              <c:f>'Total fee for Commercial(2)'!$A$12</c:f>
              <c:strCache>
                <c:ptCount val="1"/>
                <c:pt idx="0">
                  <c:v>VAT</c:v>
                </c:pt>
              </c:strCache>
            </c:strRef>
          </c:tx>
          <c:invertIfNegative val="0"/>
          <c:cat>
            <c:multiLvlStrRef>
              <c:f>'Total fee for Commercial(2)'!$B$3:$AC$4</c:f>
              <c:multiLvlStrCache>
                <c:ptCount val="28"/>
                <c:lvl>
                  <c:pt idx="0">
                    <c:v>MEA</c:v>
                  </c:pt>
                  <c:pt idx="1">
                    <c:v>MAT</c:v>
                  </c:pt>
                  <c:pt idx="2">
                    <c:v>MEA</c:v>
                  </c:pt>
                  <c:pt idx="3">
                    <c:v>MAT</c:v>
                  </c:pt>
                  <c:pt idx="4">
                    <c:v>MEA</c:v>
                  </c:pt>
                  <c:pt idx="5">
                    <c:v>MAT</c:v>
                  </c:pt>
                  <c:pt idx="6">
                    <c:v>MEA</c:v>
                  </c:pt>
                  <c:pt idx="7">
                    <c:v>MAT</c:v>
                  </c:pt>
                  <c:pt idx="8">
                    <c:v>MEA</c:v>
                  </c:pt>
                  <c:pt idx="9">
                    <c:v>MAT</c:v>
                  </c:pt>
                  <c:pt idx="10">
                    <c:v>MEA</c:v>
                  </c:pt>
                  <c:pt idx="11">
                    <c:v>MAT</c:v>
                  </c:pt>
                  <c:pt idx="12">
                    <c:v>MEA</c:v>
                  </c:pt>
                  <c:pt idx="13">
                    <c:v>MAT</c:v>
                  </c:pt>
                  <c:pt idx="14">
                    <c:v>MEA</c:v>
                  </c:pt>
                  <c:pt idx="15">
                    <c:v>MAT</c:v>
                  </c:pt>
                  <c:pt idx="16">
                    <c:v>MEA</c:v>
                  </c:pt>
                  <c:pt idx="17">
                    <c:v>MAT</c:v>
                  </c:pt>
                  <c:pt idx="18">
                    <c:v>MEA</c:v>
                  </c:pt>
                  <c:pt idx="19">
                    <c:v>MAT</c:v>
                  </c:pt>
                  <c:pt idx="20">
                    <c:v>MEA</c:v>
                  </c:pt>
                  <c:pt idx="21">
                    <c:v>MAT</c:v>
                  </c:pt>
                  <c:pt idx="22">
                    <c:v>MEA</c:v>
                  </c:pt>
                  <c:pt idx="23">
                    <c:v>MAT</c:v>
                  </c:pt>
                  <c:pt idx="24">
                    <c:v>MEA</c:v>
                  </c:pt>
                  <c:pt idx="25">
                    <c:v>MAT</c:v>
                  </c:pt>
                  <c:pt idx="26">
                    <c:v>MEA</c:v>
                  </c:pt>
                  <c:pt idx="27">
                    <c:v>MAT</c:v>
                  </c:pt>
                </c:lvl>
                <c:lvl>
                  <c:pt idx="0">
                    <c:v>Feb-20</c:v>
                  </c:pt>
                  <c:pt idx="2">
                    <c:v>Mar-20</c:v>
                  </c:pt>
                  <c:pt idx="4">
                    <c:v>Apr-20</c:v>
                  </c:pt>
                  <c:pt idx="6">
                    <c:v>May-20</c:v>
                  </c:pt>
                  <c:pt idx="8">
                    <c:v>Jun-20</c:v>
                  </c:pt>
                  <c:pt idx="10">
                    <c:v>Jul-20</c:v>
                  </c:pt>
                  <c:pt idx="12">
                    <c:v>Aug-20</c:v>
                  </c:pt>
                  <c:pt idx="14">
                    <c:v>Sep-20</c:v>
                  </c:pt>
                  <c:pt idx="16">
                    <c:v>Oct-20</c:v>
                  </c:pt>
                  <c:pt idx="18">
                    <c:v>Nov-20</c:v>
                  </c:pt>
                  <c:pt idx="20">
                    <c:v>Dec-20</c:v>
                  </c:pt>
                  <c:pt idx="22">
                    <c:v>Jan-21</c:v>
                  </c:pt>
                  <c:pt idx="24">
                    <c:v>Feb-21</c:v>
                  </c:pt>
                  <c:pt idx="26">
                    <c:v>Mar-21</c:v>
                  </c:pt>
                </c:lvl>
              </c:multiLvlStrCache>
            </c:multiLvlStrRef>
          </c:cat>
          <c:val>
            <c:numRef>
              <c:f>'Total fee for Commercial(2)'!$B$12:$AC$12</c:f>
              <c:numCache>
                <c:formatCode>#,##0_);\(#,##0\)</c:formatCode>
                <c:ptCount val="28"/>
                <c:pt idx="0">
                  <c:v>957.49199999999996</c:v>
                </c:pt>
                <c:pt idx="1">
                  <c:v>1146.9100000000001</c:v>
                </c:pt>
                <c:pt idx="2">
                  <c:v>0</c:v>
                </c:pt>
                <c:pt idx="3">
                  <c:v>7973.4939999999997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.0_);_(* \(#,##0.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.0_);_(* \(#,##0.0\);_(* &quot;-&quot;??_);_(@_)">
                  <c:v>0</c:v>
                </c:pt>
                <c:pt idx="13" formatCode="_(* #,##0.0_);_(* \(#,##0.0\);_(* &quot;-&quot;??_);_(@_)">
                  <c:v>0</c:v>
                </c:pt>
                <c:pt idx="14" formatCode="_(* #,##0.0_);_(* \(#,##0.0\);_(* &quot;-&quot;??_);_(@_)">
                  <c:v>0</c:v>
                </c:pt>
                <c:pt idx="15" formatCode="_(* #,##0.0_);_(* \(#,##0.0\);_(* &quot;-&quot;??_);_(@_)">
                  <c:v>0</c:v>
                </c:pt>
                <c:pt idx="16" formatCode="_(* #,##0.0_);_(* \(#,##0.0\);_(* &quot;-&quot;??_);_(@_)">
                  <c:v>0</c:v>
                </c:pt>
                <c:pt idx="17" formatCode="_(* #,##0_);_(* \(#,##0\);_(* &quot;-&quot;??_);_(@_)">
                  <c:v>0</c:v>
                </c:pt>
                <c:pt idx="18" formatCode="_(* #,##0_);_(* \(#,##0\);_(* &quot;-&quot;??_);_(@_)">
                  <c:v>0</c:v>
                </c:pt>
                <c:pt idx="19" formatCode="_(* #,##0_);_(* \(#,##0\);_(* &quot;-&quot;??_);_(@_)">
                  <c:v>0</c:v>
                </c:pt>
                <c:pt idx="20" formatCode="_(* #,##0.0_);_(* \(#,##0.0\);_(* &quot;-&quot;??_);_(@_)">
                  <c:v>0</c:v>
                </c:pt>
                <c:pt idx="21" formatCode="_(* #,##0.0_);_(* \(#,##0.0\);_(* &quot;-&quot;??_);_(@_)">
                  <c:v>0</c:v>
                </c:pt>
                <c:pt idx="22" formatCode="_(* #,##0.0_);_(* \(#,##0.0\);_(* &quot;-&quot;??_);_(@_)">
                  <c:v>0</c:v>
                </c:pt>
                <c:pt idx="23" formatCode="_(* #,##0.0_);_(* \(#,##0.0\);_(* &quot;-&quot;??_);_(@_)">
                  <c:v>0</c:v>
                </c:pt>
                <c:pt idx="24" formatCode="_(* #,##0.0_);_(* \(#,##0.0\);_(* &quot;-&quot;??_);_(@_)">
                  <c:v>0</c:v>
                </c:pt>
                <c:pt idx="25" formatCode="_(* #,##0.0_);_(* \(#,##0.0\);_(* &quot;-&quot;??_);_(@_)">
                  <c:v>0</c:v>
                </c:pt>
                <c:pt idx="26" formatCode="_(* #,##0.0_);_(* \(#,##0.0\);_(* &quot;-&quot;??_);_(@_)">
                  <c:v>0</c:v>
                </c:pt>
                <c:pt idx="27" formatCode="_(* #,##0.0_);_(* \(#,##0.0\);_(* &quot;-&quot;??_);_(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7483152"/>
        <c:axId val="527481976"/>
      </c:barChart>
      <c:catAx>
        <c:axId val="52748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27481976"/>
        <c:crosses val="autoZero"/>
        <c:auto val="1"/>
        <c:lblAlgn val="ctr"/>
        <c:lblOffset val="100"/>
        <c:noMultiLvlLbl val="0"/>
      </c:catAx>
      <c:valAx>
        <c:axId val="527481976"/>
        <c:scaling>
          <c:orientation val="minMax"/>
        </c:scaling>
        <c:delete val="0"/>
        <c:axPos val="l"/>
        <c:majorGridlines/>
        <c:numFmt formatCode="#,##0_);\(#,##0\)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2748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25401606607753"/>
          <c:y val="0.18478342219678209"/>
          <c:w val="0.14602112504177323"/>
          <c:h val="0.7898836015063334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3897</xdr:colOff>
      <xdr:row>10</xdr:row>
      <xdr:rowOff>71132</xdr:rowOff>
    </xdr:from>
    <xdr:to>
      <xdr:col>15</xdr:col>
      <xdr:colOff>397565</xdr:colOff>
      <xdr:row>26</xdr:row>
      <xdr:rowOff>21777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251400</xdr:colOff>
      <xdr:row>60</xdr:row>
      <xdr:rowOff>133010</xdr:rowOff>
    </xdr:from>
    <xdr:to>
      <xdr:col>22</xdr:col>
      <xdr:colOff>175396</xdr:colOff>
      <xdr:row>70</xdr:row>
      <xdr:rowOff>155421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231445</xdr:colOff>
      <xdr:row>35</xdr:row>
      <xdr:rowOff>335403</xdr:rowOff>
    </xdr:from>
    <xdr:to>
      <xdr:col>21</xdr:col>
      <xdr:colOff>526676</xdr:colOff>
      <xdr:row>42</xdr:row>
      <xdr:rowOff>57709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228598</xdr:colOff>
      <xdr:row>49</xdr:row>
      <xdr:rowOff>22412</xdr:rowOff>
    </xdr:from>
    <xdr:to>
      <xdr:col>23</xdr:col>
      <xdr:colOff>152399</xdr:colOff>
      <xdr:row>58</xdr:row>
      <xdr:rowOff>176892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361952</xdr:colOff>
      <xdr:row>14</xdr:row>
      <xdr:rowOff>57149</xdr:rowOff>
    </xdr:from>
    <xdr:to>
      <xdr:col>17</xdr:col>
      <xdr:colOff>95251</xdr:colOff>
      <xdr:row>27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2320</xdr:colOff>
      <xdr:row>65</xdr:row>
      <xdr:rowOff>148879</xdr:rowOff>
    </xdr:from>
    <xdr:to>
      <xdr:col>24</xdr:col>
      <xdr:colOff>163286</xdr:colOff>
      <xdr:row>80</xdr:row>
      <xdr:rowOff>53629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269423</xdr:colOff>
      <xdr:row>34</xdr:row>
      <xdr:rowOff>142255</xdr:rowOff>
    </xdr:from>
    <xdr:to>
      <xdr:col>24</xdr:col>
      <xdr:colOff>578923</xdr:colOff>
      <xdr:row>43</xdr:row>
      <xdr:rowOff>84239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519793</xdr:colOff>
      <xdr:row>51</xdr:row>
      <xdr:rowOff>47625</xdr:rowOff>
    </xdr:from>
    <xdr:to>
      <xdr:col>24</xdr:col>
      <xdr:colOff>438151</xdr:colOff>
      <xdr:row>63</xdr:row>
      <xdr:rowOff>72117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14</xdr:row>
      <xdr:rowOff>19049</xdr:rowOff>
    </xdr:from>
    <xdr:to>
      <xdr:col>19</xdr:col>
      <xdr:colOff>19050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18</xdr:row>
      <xdr:rowOff>133350</xdr:rowOff>
    </xdr:from>
    <xdr:to>
      <xdr:col>23</xdr:col>
      <xdr:colOff>593481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18</xdr:row>
      <xdr:rowOff>114299</xdr:rowOff>
    </xdr:from>
    <xdr:to>
      <xdr:col>15</xdr:col>
      <xdr:colOff>28575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2.22\Purchase%20Process\v14062\AppData\Local\Temp\notesD3253C\~77590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2017"/>
      <sheetName val="APR-18"/>
      <sheetName val="MAY-18 "/>
      <sheetName val="JUN-18"/>
      <sheetName val="JULY-18 "/>
      <sheetName val="AUG-18 "/>
      <sheetName val="SEP-18"/>
      <sheetName val="OCT-18"/>
      <sheetName val="NOV-18"/>
      <sheetName val="DEC-18"/>
      <sheetName val="JAN-19"/>
      <sheetName val="Import fee"/>
      <sheetName val="Total fee"/>
      <sheetName val="DS KB"/>
      <sheetName val="Sheet1"/>
      <sheetName val="Sheet2"/>
      <sheetName val="Sheet3"/>
      <sheetName val="Effect DHL"/>
      <sheetName val="Effect DH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H4">
            <v>22344.785</v>
          </cell>
        </row>
        <row r="5">
          <cell r="H5">
            <v>0</v>
          </cell>
        </row>
        <row r="6">
          <cell r="H6">
            <v>142487.96399999998</v>
          </cell>
        </row>
        <row r="7">
          <cell r="H7">
            <v>164832.74899999998</v>
          </cell>
        </row>
        <row r="10">
          <cell r="H10">
            <v>22993.603999999999</v>
          </cell>
        </row>
        <row r="11">
          <cell r="H11">
            <v>0</v>
          </cell>
        </row>
        <row r="12">
          <cell r="H12">
            <v>79219.148000000001</v>
          </cell>
        </row>
        <row r="13">
          <cell r="H13">
            <v>102212.75200000001</v>
          </cell>
        </row>
        <row r="16">
          <cell r="H16">
            <v>49604.947</v>
          </cell>
        </row>
        <row r="17">
          <cell r="H17">
            <v>9248.357</v>
          </cell>
        </row>
        <row r="18">
          <cell r="H18">
            <v>204990.42300000001</v>
          </cell>
        </row>
        <row r="23">
          <cell r="H23">
            <v>52053.45</v>
          </cell>
        </row>
        <row r="24">
          <cell r="H24">
            <v>39547.196000000004</v>
          </cell>
        </row>
        <row r="25">
          <cell r="H25">
            <v>181879.18</v>
          </cell>
        </row>
        <row r="26">
          <cell r="H26">
            <v>11401</v>
          </cell>
        </row>
      </sheetData>
      <sheetData sheetId="12">
        <row r="3">
          <cell r="E3">
            <v>43191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AE32"/>
  <sheetViews>
    <sheetView topLeftCell="A14" zoomScale="85" zoomScaleNormal="85" zoomScaleSheetLayoutView="85" workbookViewId="0">
      <selection activeCell="H22" sqref="H22"/>
    </sheetView>
  </sheetViews>
  <sheetFormatPr defaultRowHeight="15"/>
  <cols>
    <col min="1" max="1" width="4.140625" style="1" customWidth="1"/>
    <col min="2" max="2" width="13.28515625" customWidth="1"/>
    <col min="3" max="3" width="13.85546875" customWidth="1"/>
    <col min="4" max="4" width="9" customWidth="1"/>
    <col min="5" max="5" width="8.42578125" customWidth="1"/>
    <col min="6" max="7" width="9" customWidth="1"/>
    <col min="8" max="8" width="7.140625" customWidth="1"/>
    <col min="9" max="9" width="9.7109375" customWidth="1"/>
    <col min="10" max="10" width="9.42578125" customWidth="1"/>
    <col min="11" max="11" width="7.140625" customWidth="1"/>
    <col min="12" max="12" width="9.140625" customWidth="1"/>
    <col min="13" max="13" width="9.42578125" customWidth="1"/>
    <col min="14" max="14" width="6.85546875" hidden="1" customWidth="1"/>
    <col min="15" max="15" width="10.28515625" hidden="1" customWidth="1"/>
    <col min="16" max="17" width="10.28515625" customWidth="1"/>
    <col min="18" max="18" width="7.42578125" customWidth="1"/>
    <col min="19" max="19" width="8.7109375" customWidth="1"/>
    <col min="20" max="20" width="8.28515625" customWidth="1"/>
    <col min="21" max="21" width="9.28515625" customWidth="1"/>
    <col min="22" max="22" width="7.7109375" bestFit="1" customWidth="1"/>
    <col min="23" max="24" width="9" customWidth="1"/>
    <col min="25" max="25" width="10" customWidth="1"/>
    <col min="26" max="26" width="11.85546875" customWidth="1"/>
    <col min="27" max="27" width="11" customWidth="1"/>
    <col min="31" max="31" width="17.5703125" customWidth="1"/>
  </cols>
  <sheetData>
    <row r="1" spans="1:27" ht="51.75" hidden="1" customHeight="1">
      <c r="D1" s="96" t="s">
        <v>0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</row>
    <row r="2" spans="1:27" ht="24" hidden="1" customHeight="1">
      <c r="Y2" s="2" t="s">
        <v>1</v>
      </c>
      <c r="Z2" s="2"/>
    </row>
    <row r="3" spans="1:27" ht="15" hidden="1" customHeight="1">
      <c r="A3" s="356" t="s">
        <v>2</v>
      </c>
      <c r="B3" s="356" t="s">
        <v>3</v>
      </c>
      <c r="C3" s="97" t="s">
        <v>4</v>
      </c>
      <c r="D3" s="100" t="s">
        <v>5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3" t="s">
        <v>6</v>
      </c>
      <c r="U3" s="104"/>
      <c r="V3" s="103" t="s">
        <v>7</v>
      </c>
      <c r="W3" s="104"/>
      <c r="X3" s="88"/>
      <c r="Y3" s="361" t="s">
        <v>8</v>
      </c>
      <c r="Z3" s="105"/>
      <c r="AA3" s="356" t="s">
        <v>9</v>
      </c>
    </row>
    <row r="4" spans="1:27" ht="15" hidden="1" customHeight="1">
      <c r="A4" s="356"/>
      <c r="B4" s="356"/>
      <c r="C4" s="98"/>
      <c r="D4" s="100" t="s">
        <v>10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1"/>
      <c r="Q4" s="101"/>
      <c r="R4" s="101"/>
      <c r="S4" s="101"/>
      <c r="T4" s="103" t="s">
        <v>11</v>
      </c>
      <c r="U4" s="104"/>
      <c r="V4" s="103" t="s">
        <v>11</v>
      </c>
      <c r="W4" s="104"/>
      <c r="X4" s="89"/>
      <c r="Y4" s="344"/>
      <c r="Z4" s="106"/>
      <c r="AA4" s="356"/>
    </row>
    <row r="5" spans="1:27" ht="30.75" hidden="1" customHeight="1">
      <c r="A5" s="356"/>
      <c r="B5" s="356"/>
      <c r="C5" s="99"/>
      <c r="D5" s="108" t="s">
        <v>13</v>
      </c>
      <c r="E5" s="108" t="s">
        <v>14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17" t="s">
        <v>15</v>
      </c>
      <c r="U5" s="117" t="s">
        <v>16</v>
      </c>
      <c r="V5" s="117" t="s">
        <v>15</v>
      </c>
      <c r="W5" s="117" t="s">
        <v>16</v>
      </c>
      <c r="X5" s="90"/>
      <c r="Y5" s="345"/>
      <c r="Z5" s="107"/>
      <c r="AA5" s="356"/>
    </row>
    <row r="6" spans="1:27" ht="34.5" hidden="1" customHeight="1">
      <c r="A6" s="336">
        <v>1</v>
      </c>
      <c r="B6" s="362" t="s">
        <v>18</v>
      </c>
      <c r="C6" s="110" t="s">
        <v>19</v>
      </c>
      <c r="D6" s="4">
        <f>18890000-D7</f>
        <v>17850000</v>
      </c>
      <c r="E6" s="4">
        <v>4247562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8">
        <v>264</v>
      </c>
      <c r="U6" s="6">
        <v>52435080</v>
      </c>
      <c r="V6" s="9">
        <v>18.18</v>
      </c>
      <c r="W6" s="6">
        <v>5926871.6100000003</v>
      </c>
      <c r="X6" s="6"/>
      <c r="Y6" s="10" t="e">
        <f>+#REF!+#REF!+U6+W6</f>
        <v>#REF!</v>
      </c>
      <c r="Z6" s="10"/>
      <c r="AA6" s="11"/>
    </row>
    <row r="7" spans="1:27" ht="34.5" hidden="1" customHeight="1">
      <c r="A7" s="337"/>
      <c r="B7" s="363"/>
      <c r="C7" s="111"/>
      <c r="D7" s="4">
        <v>1040000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7"/>
      <c r="U7" s="7"/>
      <c r="V7" s="12"/>
      <c r="W7" s="7"/>
      <c r="X7" s="7"/>
      <c r="Y7" s="10" t="e">
        <f>+#REF!+#REF!+U7+W7</f>
        <v>#REF!</v>
      </c>
      <c r="Z7" s="10"/>
      <c r="AA7" s="13" t="s">
        <v>20</v>
      </c>
    </row>
    <row r="8" spans="1:27" ht="29.25" hidden="1" customHeight="1">
      <c r="A8" s="337"/>
      <c r="B8" s="363"/>
      <c r="C8" s="14" t="s">
        <v>21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1"/>
      <c r="Q8" s="31"/>
      <c r="R8" s="31"/>
      <c r="S8" s="31"/>
      <c r="U8" s="6"/>
      <c r="V8" s="9">
        <v>54.48</v>
      </c>
      <c r="W8" s="5">
        <v>12566831.310000001</v>
      </c>
      <c r="X8" s="5"/>
      <c r="Y8" s="10" t="e">
        <f>+#REF!+#REF!+U8+W8</f>
        <v>#REF!</v>
      </c>
      <c r="Z8" s="10"/>
      <c r="AA8" s="15"/>
    </row>
    <row r="9" spans="1:27" ht="27.75" hidden="1" customHeight="1">
      <c r="A9" s="338"/>
      <c r="B9" s="364"/>
      <c r="C9" s="14" t="s">
        <v>22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6"/>
      <c r="U9" s="6"/>
      <c r="V9" s="6"/>
      <c r="W9" s="6"/>
      <c r="X9" s="6"/>
      <c r="Y9" s="10" t="e">
        <f>+#REF!+#REF!+U9+W9</f>
        <v>#REF!</v>
      </c>
      <c r="Z9" s="10"/>
      <c r="AA9" s="15"/>
    </row>
    <row r="10" spans="1:27" ht="37.5" hidden="1" customHeight="1">
      <c r="A10" s="109">
        <v>2</v>
      </c>
      <c r="B10" s="16" t="s">
        <v>23</v>
      </c>
      <c r="C10" s="16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6"/>
      <c r="U10" s="6"/>
      <c r="V10" s="6"/>
      <c r="W10" s="6"/>
      <c r="X10" s="6"/>
      <c r="Y10" s="10" t="e">
        <f>+#REF!+#REF!+U10+W10</f>
        <v>#REF!</v>
      </c>
      <c r="Z10" s="10"/>
      <c r="AA10" s="17"/>
    </row>
    <row r="11" spans="1:27" ht="28.5" hidden="1" customHeight="1">
      <c r="A11" s="18"/>
      <c r="B11" s="19" t="s">
        <v>8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2"/>
      <c r="U11" s="21">
        <f>SUM(U6:U10)</f>
        <v>52435080</v>
      </c>
      <c r="V11" s="22"/>
      <c r="W11" s="23">
        <f>+SUM(W6:W10)</f>
        <v>18493702.920000002</v>
      </c>
      <c r="X11" s="23"/>
      <c r="Y11" s="23" t="e">
        <f>+SUM(Y6:Y10)</f>
        <v>#REF!</v>
      </c>
      <c r="Z11" s="23"/>
      <c r="AA11" s="11"/>
    </row>
    <row r="12" spans="1:27" ht="15" hidden="1" customHeight="1"/>
    <row r="13" spans="1:27" ht="22.5" hidden="1" customHeight="1"/>
    <row r="14" spans="1:27" ht="40.5" customHeight="1">
      <c r="C14" s="355" t="s">
        <v>37</v>
      </c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</row>
    <row r="15" spans="1:27">
      <c r="U15" s="86">
        <f>+V19+T19+R19</f>
        <v>148.07999999999998</v>
      </c>
      <c r="Y15" s="2" t="s">
        <v>24</v>
      </c>
      <c r="Z15" s="2"/>
    </row>
    <row r="16" spans="1:27" ht="24" customHeight="1">
      <c r="A16" s="356" t="s">
        <v>2</v>
      </c>
      <c r="B16" s="356" t="s">
        <v>3</v>
      </c>
      <c r="C16" s="356" t="s">
        <v>4</v>
      </c>
      <c r="D16" s="357" t="s">
        <v>34</v>
      </c>
      <c r="E16" s="357"/>
      <c r="F16" s="357"/>
      <c r="G16" s="357"/>
      <c r="H16" s="357"/>
      <c r="I16" s="357"/>
      <c r="J16" s="357"/>
      <c r="K16" s="357"/>
      <c r="L16" s="357"/>
      <c r="M16" s="357"/>
      <c r="N16" s="357"/>
      <c r="O16" s="357"/>
      <c r="P16" s="115" t="s">
        <v>8</v>
      </c>
      <c r="Q16" s="115"/>
      <c r="R16" s="358" t="s">
        <v>33</v>
      </c>
      <c r="S16" s="358"/>
      <c r="T16" s="358"/>
      <c r="U16" s="358"/>
      <c r="V16" s="358"/>
      <c r="W16" s="358"/>
      <c r="X16" s="114" t="s">
        <v>8</v>
      </c>
      <c r="Y16" s="359" t="s">
        <v>12</v>
      </c>
      <c r="Z16" s="343" t="s">
        <v>36</v>
      </c>
      <c r="AA16" s="346" t="s">
        <v>9</v>
      </c>
    </row>
    <row r="17" spans="1:31" ht="18.75" customHeight="1">
      <c r="A17" s="356"/>
      <c r="B17" s="356"/>
      <c r="C17" s="356"/>
      <c r="D17" s="349" t="s">
        <v>5</v>
      </c>
      <c r="E17" s="349"/>
      <c r="F17" s="349"/>
      <c r="G17" s="349"/>
      <c r="H17" s="350" t="s">
        <v>31</v>
      </c>
      <c r="I17" s="350"/>
      <c r="J17" s="350"/>
      <c r="K17" s="351" t="s">
        <v>32</v>
      </c>
      <c r="L17" s="351"/>
      <c r="M17" s="351"/>
      <c r="N17" s="352" t="s">
        <v>30</v>
      </c>
      <c r="O17" s="352"/>
      <c r="P17" s="113"/>
      <c r="Q17" s="113"/>
      <c r="R17" s="349" t="s">
        <v>5</v>
      </c>
      <c r="S17" s="349"/>
      <c r="T17" s="353" t="s">
        <v>6</v>
      </c>
      <c r="U17" s="353"/>
      <c r="V17" s="354" t="s">
        <v>7</v>
      </c>
      <c r="W17" s="354"/>
      <c r="X17" s="116"/>
      <c r="Y17" s="360"/>
      <c r="Z17" s="344"/>
      <c r="AA17" s="347"/>
    </row>
    <row r="18" spans="1:31" ht="48" customHeight="1">
      <c r="A18" s="356"/>
      <c r="B18" s="356"/>
      <c r="C18" s="356"/>
      <c r="D18" s="50" t="s">
        <v>25</v>
      </c>
      <c r="E18" s="50" t="s">
        <v>14</v>
      </c>
      <c r="F18" s="50" t="s">
        <v>16</v>
      </c>
      <c r="G18" s="50" t="s">
        <v>17</v>
      </c>
      <c r="H18" s="3" t="s">
        <v>15</v>
      </c>
      <c r="I18" s="3" t="s">
        <v>16</v>
      </c>
      <c r="J18" s="3" t="s">
        <v>17</v>
      </c>
      <c r="K18" s="26" t="s">
        <v>15</v>
      </c>
      <c r="L18" s="26" t="s">
        <v>16</v>
      </c>
      <c r="M18" s="26" t="s">
        <v>17</v>
      </c>
      <c r="N18" s="27" t="s">
        <v>15</v>
      </c>
      <c r="O18" s="27" t="s">
        <v>17</v>
      </c>
      <c r="P18" s="27"/>
      <c r="Q18" s="27"/>
      <c r="R18" s="50" t="s">
        <v>15</v>
      </c>
      <c r="S18" s="50" t="s">
        <v>16</v>
      </c>
      <c r="T18" s="29" t="s">
        <v>15</v>
      </c>
      <c r="U18" s="29" t="s">
        <v>16</v>
      </c>
      <c r="V18" s="30" t="s">
        <v>15</v>
      </c>
      <c r="W18" s="30" t="s">
        <v>16</v>
      </c>
      <c r="X18" s="30"/>
      <c r="Y18" s="360"/>
      <c r="Z18" s="345"/>
      <c r="AA18" s="348"/>
    </row>
    <row r="19" spans="1:31" ht="32.25" customHeight="1">
      <c r="A19" s="336">
        <v>1</v>
      </c>
      <c r="B19" s="339" t="s">
        <v>18</v>
      </c>
      <c r="C19" s="51" t="s">
        <v>28</v>
      </c>
      <c r="D19" s="52">
        <f>19610-D20</f>
        <v>11590</v>
      </c>
      <c r="E19" s="53">
        <f>5111.852-E20</f>
        <v>2879.5519999999997</v>
      </c>
      <c r="F19" s="54">
        <f>+D19+E19</f>
        <v>14469.552</v>
      </c>
      <c r="G19" s="55"/>
      <c r="I19" s="57"/>
      <c r="J19" s="55"/>
      <c r="K19" s="56">
        <f>334-K20</f>
        <v>246.9</v>
      </c>
      <c r="L19" s="57">
        <f>64817.02+4190.889-L20</f>
        <v>56307.978000000003</v>
      </c>
      <c r="M19" s="55"/>
      <c r="N19" s="52"/>
      <c r="O19" s="55"/>
      <c r="P19" s="130">
        <f>+L19+I19+F19</f>
        <v>70777.53</v>
      </c>
      <c r="Q19" s="130">
        <f>+M19+J19+G19</f>
        <v>0</v>
      </c>
      <c r="R19" s="58">
        <v>69.2</v>
      </c>
      <c r="S19" s="59">
        <v>15876.555399999999</v>
      </c>
      <c r="T19" s="60">
        <f>13+9+8</f>
        <v>30</v>
      </c>
      <c r="U19" s="61">
        <v>8094.4089999999997</v>
      </c>
      <c r="V19" s="62">
        <f>56.48-V20</f>
        <v>48.879999999999995</v>
      </c>
      <c r="W19" s="61">
        <f>13602.55952+1198.484-W20</f>
        <v>11398.90148</v>
      </c>
      <c r="X19" s="91">
        <f>+W19+U19+S19</f>
        <v>35369.865879999998</v>
      </c>
      <c r="Y19" s="63">
        <f>+F19+I19+L19+U19+W19+S19</f>
        <v>106147.39588</v>
      </c>
      <c r="Z19" s="63">
        <f>+G19+J19+M19+O19</f>
        <v>0</v>
      </c>
      <c r="AA19" s="64"/>
      <c r="AE19" s="86"/>
    </row>
    <row r="20" spans="1:31" ht="32.25" customHeight="1">
      <c r="A20" s="337"/>
      <c r="B20" s="340"/>
      <c r="C20" s="112" t="s">
        <v>21</v>
      </c>
      <c r="D20" s="118">
        <v>8020</v>
      </c>
      <c r="E20" s="119">
        <v>2232.3000000000002</v>
      </c>
      <c r="F20" s="54">
        <f>+D20+E20</f>
        <v>10252.299999999999</v>
      </c>
      <c r="G20" s="120"/>
      <c r="I20" s="122"/>
      <c r="J20" s="120"/>
      <c r="K20" s="121">
        <v>87.1</v>
      </c>
      <c r="L20" s="122">
        <v>12699.931</v>
      </c>
      <c r="M20" s="120"/>
      <c r="N20" s="118"/>
      <c r="O20" s="120"/>
      <c r="P20" s="130">
        <f t="shared" ref="P20:Q24" si="0">+L20+I20+F20</f>
        <v>22952.231</v>
      </c>
      <c r="Q20" s="130">
        <f t="shared" si="0"/>
        <v>0</v>
      </c>
      <c r="R20" s="123"/>
      <c r="S20" s="124"/>
      <c r="T20" s="125"/>
      <c r="U20" s="126"/>
      <c r="V20" s="127">
        <v>7.6</v>
      </c>
      <c r="W20" s="126">
        <f>3402.14204</f>
        <v>3402.1420400000002</v>
      </c>
      <c r="X20" s="91">
        <f>+W20+U20+S20</f>
        <v>3402.1420400000002</v>
      </c>
      <c r="Y20" s="63">
        <f>+F20+I20+L20+U20+W20+S20</f>
        <v>26354.373039999999</v>
      </c>
      <c r="Z20" s="128"/>
      <c r="AA20" s="129"/>
      <c r="AE20" s="86"/>
    </row>
    <row r="21" spans="1:31" ht="32.25" customHeight="1">
      <c r="A21" s="338"/>
      <c r="B21" s="341"/>
      <c r="C21" s="65" t="s">
        <v>22</v>
      </c>
      <c r="D21" s="66"/>
      <c r="E21" s="67"/>
      <c r="F21" s="68"/>
      <c r="G21" s="69"/>
      <c r="H21" s="70"/>
      <c r="I21" s="68"/>
      <c r="J21" s="69"/>
      <c r="K21" s="71"/>
      <c r="L21" s="68"/>
      <c r="M21" s="69"/>
      <c r="N21" s="66"/>
      <c r="O21" s="69"/>
      <c r="P21" s="130">
        <f t="shared" si="0"/>
        <v>0</v>
      </c>
      <c r="Q21" s="130">
        <f t="shared" si="0"/>
        <v>0</v>
      </c>
      <c r="R21" s="66"/>
      <c r="S21" s="72"/>
      <c r="T21" s="73"/>
      <c r="U21" s="74"/>
      <c r="V21" s="73"/>
      <c r="W21" s="74"/>
      <c r="X21" s="92"/>
      <c r="Y21" s="75">
        <f>+F21+I21+L21+U21+W21</f>
        <v>0</v>
      </c>
      <c r="Z21" s="75">
        <f>+G21+J21+M21+O21</f>
        <v>0</v>
      </c>
      <c r="AA21" s="76"/>
    </row>
    <row r="22" spans="1:31" ht="31.5" customHeight="1">
      <c r="A22" s="336">
        <v>2</v>
      </c>
      <c r="B22" s="339" t="s">
        <v>27</v>
      </c>
      <c r="C22" s="51" t="s">
        <v>19</v>
      </c>
      <c r="D22" s="52">
        <v>520</v>
      </c>
      <c r="E22" s="53"/>
      <c r="F22" s="54"/>
      <c r="G22" s="55">
        <f>+D22+E22</f>
        <v>520</v>
      </c>
      <c r="H22" s="56">
        <v>6</v>
      </c>
      <c r="I22" s="57"/>
      <c r="J22" s="77">
        <v>3330.145</v>
      </c>
      <c r="K22" s="78"/>
      <c r="L22" s="54"/>
      <c r="M22" s="55"/>
      <c r="N22" s="52"/>
      <c r="O22" s="55"/>
      <c r="P22" s="130">
        <f t="shared" si="0"/>
        <v>0</v>
      </c>
      <c r="Q22" s="130">
        <f t="shared" si="0"/>
        <v>3850.145</v>
      </c>
      <c r="R22" s="52"/>
      <c r="S22" s="59"/>
      <c r="T22" s="79"/>
      <c r="U22" s="61"/>
      <c r="V22" s="79"/>
      <c r="W22" s="61"/>
      <c r="X22" s="91"/>
      <c r="Y22" s="63">
        <f>+F22+I22+L22+U22+W22</f>
        <v>0</v>
      </c>
      <c r="Z22" s="63">
        <f>+G22+J22+M22+O22</f>
        <v>3850.145</v>
      </c>
      <c r="AA22" s="80" t="s">
        <v>35</v>
      </c>
    </row>
    <row r="23" spans="1:31" ht="32.25" customHeight="1">
      <c r="A23" s="338"/>
      <c r="B23" s="341"/>
      <c r="C23" s="65" t="s">
        <v>21</v>
      </c>
      <c r="D23" s="52">
        <f>3330+880+880</f>
        <v>5090</v>
      </c>
      <c r="E23" s="53">
        <f>800.556+420.2+341.55</f>
        <v>1562.306</v>
      </c>
      <c r="F23" s="68"/>
      <c r="G23" s="69">
        <f>+D23+E23</f>
        <v>6652.3060000000005</v>
      </c>
      <c r="H23" s="81">
        <v>104</v>
      </c>
      <c r="I23" s="82"/>
      <c r="J23" s="83">
        <v>25194.109</v>
      </c>
      <c r="K23" s="71">
        <v>165</v>
      </c>
      <c r="L23" s="68"/>
      <c r="M23" s="69">
        <v>30986.719000000001</v>
      </c>
      <c r="N23" s="66"/>
      <c r="O23" s="69"/>
      <c r="P23" s="130">
        <f t="shared" si="0"/>
        <v>0</v>
      </c>
      <c r="Q23" s="130">
        <f t="shared" si="0"/>
        <v>62833.134000000005</v>
      </c>
      <c r="R23" s="66"/>
      <c r="S23" s="72"/>
      <c r="T23" s="73"/>
      <c r="U23" s="74"/>
      <c r="V23" s="73"/>
      <c r="W23" s="74"/>
      <c r="X23" s="92"/>
      <c r="Y23" s="75">
        <f>+F23+I23+L23+U23+W23</f>
        <v>0</v>
      </c>
      <c r="Z23" s="75">
        <f>+G23+J23+M23+O23</f>
        <v>62833.134000000005</v>
      </c>
      <c r="AA23" s="84" t="s">
        <v>29</v>
      </c>
    </row>
    <row r="24" spans="1:31" ht="33" customHeight="1">
      <c r="A24" s="109">
        <v>3</v>
      </c>
      <c r="B24" s="110" t="s">
        <v>26</v>
      </c>
      <c r="C24" s="16"/>
      <c r="D24" s="32"/>
      <c r="E24" s="33"/>
      <c r="F24" s="34"/>
      <c r="G24" s="35"/>
      <c r="H24" s="40"/>
      <c r="I24" s="34"/>
      <c r="J24" s="35"/>
      <c r="K24" s="42"/>
      <c r="L24" s="34"/>
      <c r="M24" s="35"/>
      <c r="N24" s="32"/>
      <c r="O24" s="35"/>
      <c r="P24" s="130">
        <f t="shared" si="0"/>
        <v>0</v>
      </c>
      <c r="Q24" s="130">
        <f t="shared" si="0"/>
        <v>0</v>
      </c>
      <c r="R24" s="32"/>
      <c r="S24" s="44"/>
      <c r="T24" s="47"/>
      <c r="U24" s="46"/>
      <c r="V24" s="47"/>
      <c r="W24" s="46"/>
      <c r="X24" s="93"/>
      <c r="Y24" s="24">
        <f>+F24+I24+L24+U24+W24</f>
        <v>0</v>
      </c>
      <c r="Z24" s="24">
        <f>+G24+J24+M24+O24</f>
        <v>0</v>
      </c>
      <c r="AA24" s="17"/>
    </row>
    <row r="25" spans="1:31" ht="24" customHeight="1">
      <c r="A25" s="18"/>
      <c r="B25" s="19" t="s">
        <v>8</v>
      </c>
      <c r="C25" s="19"/>
      <c r="D25" s="36"/>
      <c r="E25" s="37"/>
      <c r="F25" s="38">
        <f>SUM(F19:F24)</f>
        <v>24721.851999999999</v>
      </c>
      <c r="G25" s="39"/>
      <c r="H25" s="41"/>
      <c r="I25" s="38">
        <f>SUM(I19:I24)</f>
        <v>0</v>
      </c>
      <c r="J25" s="39"/>
      <c r="K25" s="43"/>
      <c r="L25" s="38">
        <f>SUM(L19:L24)</f>
        <v>69007.909</v>
      </c>
      <c r="M25" s="39"/>
      <c r="N25" s="36"/>
      <c r="O25" s="39"/>
      <c r="P25" s="131">
        <f>+SUM(P19:P24)</f>
        <v>93729.760999999999</v>
      </c>
      <c r="Q25" s="131">
        <f>+SUM(Q19:Q24)</f>
        <v>66683.27900000001</v>
      </c>
      <c r="R25" s="36"/>
      <c r="S25" s="45">
        <f>SUM(S19:S24)</f>
        <v>15876.555399999999</v>
      </c>
      <c r="T25" s="48"/>
      <c r="U25" s="45">
        <f>SUM(U19:U24)</f>
        <v>8094.4089999999997</v>
      </c>
      <c r="V25" s="48"/>
      <c r="W25" s="49">
        <f>+SUM(W19:W24)</f>
        <v>14801.043520000001</v>
      </c>
      <c r="X25" s="94"/>
      <c r="Y25" s="28">
        <f>+SUM(Y19:Y24)</f>
        <v>132501.76892</v>
      </c>
      <c r="Z25" s="28">
        <f>SUM(Z19:Z24)</f>
        <v>66683.27900000001</v>
      </c>
      <c r="AA25" s="11"/>
      <c r="AE25" s="85"/>
    </row>
    <row r="27" spans="1:31">
      <c r="G27" s="25"/>
      <c r="J27" s="25"/>
      <c r="O27" s="25"/>
      <c r="P27" s="25"/>
      <c r="Q27" s="25"/>
      <c r="AE27" s="85"/>
    </row>
    <row r="28" spans="1:31">
      <c r="Y28" s="25"/>
      <c r="Z28" s="25"/>
    </row>
    <row r="29" spans="1:31">
      <c r="F29" s="25"/>
    </row>
    <row r="32" spans="1:31">
      <c r="F32" s="342"/>
      <c r="G32" s="342"/>
    </row>
  </sheetData>
  <mergeCells count="27">
    <mergeCell ref="A3:A5"/>
    <mergeCell ref="B3:B5"/>
    <mergeCell ref="Y3:Y5"/>
    <mergeCell ref="AA3:AA5"/>
    <mergeCell ref="A6:A9"/>
    <mergeCell ref="B6:B9"/>
    <mergeCell ref="C14:Y14"/>
    <mergeCell ref="A16:A18"/>
    <mergeCell ref="B16:B18"/>
    <mergeCell ref="C16:C18"/>
    <mergeCell ref="D16:O16"/>
    <mergeCell ref="R16:W16"/>
    <mergeCell ref="Y16:Y18"/>
    <mergeCell ref="Z16:Z18"/>
    <mergeCell ref="AA16:AA18"/>
    <mergeCell ref="D17:G17"/>
    <mergeCell ref="H17:J17"/>
    <mergeCell ref="K17:M17"/>
    <mergeCell ref="N17:O17"/>
    <mergeCell ref="R17:S17"/>
    <mergeCell ref="T17:U17"/>
    <mergeCell ref="V17:W17"/>
    <mergeCell ref="A19:A21"/>
    <mergeCell ref="B19:B21"/>
    <mergeCell ref="A22:A23"/>
    <mergeCell ref="B22:B23"/>
    <mergeCell ref="F32:G32"/>
  </mergeCells>
  <pageMargins left="0" right="0" top="0.75" bottom="0.75" header="0.3" footer="0.3"/>
  <pageSetup paperSize="9" scale="85" orientation="landscape" horizontalDpi="300" verticalDpi="300" r:id="rId1"/>
  <colBreaks count="1" manualBreakCount="1">
    <brk id="24" min="13" max="27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P7"/>
  <sheetViews>
    <sheetView topLeftCell="B1" workbookViewId="0">
      <selection activeCell="F13" sqref="F13"/>
    </sheetView>
  </sheetViews>
  <sheetFormatPr defaultRowHeight="15"/>
  <cols>
    <col min="1" max="1" width="13" customWidth="1"/>
    <col min="2" max="2" width="17.28515625" style="209" customWidth="1"/>
    <col min="3" max="3" width="10.5703125" bestFit="1" customWidth="1"/>
  </cols>
  <sheetData>
    <row r="3" spans="1:16">
      <c r="A3" s="11"/>
      <c r="B3" s="210"/>
      <c r="C3" s="211">
        <v>43556</v>
      </c>
      <c r="D3" s="211">
        <v>43586</v>
      </c>
      <c r="E3" s="211">
        <v>43617</v>
      </c>
      <c r="F3" s="211">
        <v>43647</v>
      </c>
      <c r="G3" s="211">
        <v>43678</v>
      </c>
      <c r="H3" s="211">
        <v>43709</v>
      </c>
      <c r="I3" s="211">
        <v>43739</v>
      </c>
      <c r="J3" s="211">
        <v>43770</v>
      </c>
      <c r="K3" s="211">
        <v>43800</v>
      </c>
      <c r="L3" s="211">
        <v>43831</v>
      </c>
      <c r="M3" s="211">
        <v>43862</v>
      </c>
      <c r="N3" s="211">
        <v>43891</v>
      </c>
      <c r="O3" s="19" t="s">
        <v>8</v>
      </c>
      <c r="P3" s="11" t="s">
        <v>51</v>
      </c>
    </row>
    <row r="4" spans="1:16" ht="32.25" customHeight="1">
      <c r="A4" s="390" t="s">
        <v>50</v>
      </c>
      <c r="B4" s="15" t="s">
        <v>19</v>
      </c>
      <c r="C4" s="212" t="e">
        <f>#REF!</f>
        <v>#REF!</v>
      </c>
      <c r="D4" s="212" t="e">
        <f>#REF!</f>
        <v>#REF!</v>
      </c>
      <c r="E4" s="212" t="e">
        <f>#REF!+#REF!</f>
        <v>#REF!</v>
      </c>
      <c r="F4" s="212">
        <v>316</v>
      </c>
      <c r="G4" s="212" t="e">
        <f>#REF!+#REF!</f>
        <v>#REF!</v>
      </c>
      <c r="H4" s="212" t="e">
        <f>#REF!+#REF!</f>
        <v>#REF!</v>
      </c>
      <c r="I4" s="212" t="e">
        <f>#REF!+#REF!+#REF!+#REF!</f>
        <v>#REF!</v>
      </c>
      <c r="J4" s="212" t="e">
        <f>+#REF!+#REF!+#REF!</f>
        <v>#REF!</v>
      </c>
      <c r="K4" s="212" t="e">
        <f>#REF!+#REF!+#REF!</f>
        <v>#REF!</v>
      </c>
      <c r="L4" s="212" t="e">
        <f>+#REF!+#REF!+#REF!</f>
        <v>#REF!</v>
      </c>
      <c r="M4" s="212"/>
      <c r="N4" s="212"/>
      <c r="O4" s="214" t="e">
        <f>+SUM(C4:N4)</f>
        <v>#REF!</v>
      </c>
      <c r="P4" s="11"/>
    </row>
    <row r="5" spans="1:16" ht="35.25" customHeight="1">
      <c r="A5" s="390"/>
      <c r="B5" s="15" t="s">
        <v>21</v>
      </c>
      <c r="C5" s="212" t="e">
        <f>#REF!</f>
        <v>#REF!</v>
      </c>
      <c r="D5" s="212"/>
      <c r="E5" s="212" t="e">
        <f>#REF!+#REF!</f>
        <v>#REF!</v>
      </c>
      <c r="F5" s="212">
        <v>624.70000000000005</v>
      </c>
      <c r="G5" s="212" t="e">
        <f>#REF!+#REF!</f>
        <v>#REF!</v>
      </c>
      <c r="H5" s="212"/>
      <c r="I5" s="212" t="e">
        <f>#REF!+#REF!+#REF!+#REF!</f>
        <v>#REF!</v>
      </c>
      <c r="J5" s="212" t="e">
        <f>+#REF!+#REF!+#REF!</f>
        <v>#REF!</v>
      </c>
      <c r="K5" s="212" t="e">
        <f>#REF!+#REF!+#REF!</f>
        <v>#REF!</v>
      </c>
      <c r="L5" s="212" t="e">
        <f>+#REF!+#REF!+#REF!</f>
        <v>#REF!</v>
      </c>
      <c r="M5" s="212"/>
      <c r="N5" s="212"/>
      <c r="O5" s="214" t="e">
        <f t="shared" ref="O5:O7" si="0">+SUM(C5:N5)</f>
        <v>#REF!</v>
      </c>
      <c r="P5" s="11"/>
    </row>
    <row r="6" spans="1:16">
      <c r="A6" s="389" t="s">
        <v>42</v>
      </c>
      <c r="B6" s="15" t="s">
        <v>19</v>
      </c>
      <c r="C6" s="11"/>
      <c r="D6" s="11"/>
      <c r="E6" s="11"/>
      <c r="F6" s="11"/>
      <c r="G6" s="11"/>
      <c r="H6" s="11">
        <v>56</v>
      </c>
      <c r="I6" s="11">
        <v>257</v>
      </c>
      <c r="J6" s="11">
        <v>10</v>
      </c>
      <c r="K6" s="11">
        <v>53</v>
      </c>
      <c r="L6" s="11">
        <v>15</v>
      </c>
      <c r="M6" s="11"/>
      <c r="N6" s="11"/>
      <c r="O6" s="214">
        <f t="shared" si="0"/>
        <v>391</v>
      </c>
      <c r="P6" s="213" t="e">
        <f>+O6/O4</f>
        <v>#REF!</v>
      </c>
    </row>
    <row r="7" spans="1:16">
      <c r="A7" s="389"/>
      <c r="B7" s="15" t="s">
        <v>21</v>
      </c>
      <c r="C7" s="11"/>
      <c r="D7" s="11"/>
      <c r="E7" s="11"/>
      <c r="F7" s="11"/>
      <c r="G7" s="11"/>
      <c r="H7" s="11"/>
      <c r="I7" s="11">
        <v>5</v>
      </c>
      <c r="J7" s="11">
        <v>9</v>
      </c>
      <c r="K7" s="11">
        <v>16</v>
      </c>
      <c r="L7" s="11"/>
      <c r="M7" s="11"/>
      <c r="N7" s="11"/>
      <c r="O7" s="214">
        <f t="shared" si="0"/>
        <v>30</v>
      </c>
      <c r="P7" s="213" t="e">
        <f>+O7/O5</f>
        <v>#REF!</v>
      </c>
    </row>
  </sheetData>
  <mergeCells count="2">
    <mergeCell ref="A6:A7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X36"/>
  <sheetViews>
    <sheetView tabSelected="1" topLeftCell="A14" zoomScale="80" zoomScaleNormal="80" zoomScaleSheetLayoutView="85" workbookViewId="0">
      <selection activeCell="G30" sqref="G30"/>
    </sheetView>
  </sheetViews>
  <sheetFormatPr defaultRowHeight="15"/>
  <cols>
    <col min="1" max="1" width="4.140625" style="1" customWidth="1"/>
    <col min="2" max="2" width="20.42578125" customWidth="1"/>
    <col min="3" max="3" width="14.7109375" customWidth="1"/>
    <col min="4" max="4" width="12.85546875" customWidth="1"/>
    <col min="5" max="5" width="9.28515625" customWidth="1"/>
    <col min="6" max="6" width="9.5703125" customWidth="1"/>
    <col min="7" max="7" width="7.85546875" customWidth="1"/>
    <col min="8" max="8" width="9.28515625" customWidth="1"/>
    <col min="9" max="9" width="9.28515625" hidden="1" customWidth="1"/>
    <col min="10" max="10" width="7.85546875" hidden="1" customWidth="1"/>
    <col min="11" max="12" width="9.28515625" hidden="1" customWidth="1"/>
    <col min="13" max="13" width="6.85546875" customWidth="1"/>
    <col min="14" max="15" width="9.28515625" customWidth="1"/>
    <col min="16" max="16" width="7.5703125" customWidth="1"/>
    <col min="17" max="17" width="11.7109375" customWidth="1"/>
    <col min="18" max="18" width="9.85546875" hidden="1" customWidth="1"/>
    <col min="19" max="19" width="7.7109375" hidden="1" customWidth="1"/>
    <col min="20" max="20" width="9.42578125" hidden="1" customWidth="1"/>
    <col min="21" max="21" width="7.42578125" customWidth="1"/>
    <col min="22" max="22" width="11.28515625" customWidth="1"/>
    <col min="23" max="23" width="10.140625" customWidth="1"/>
    <col min="24" max="24" width="9.7109375" customWidth="1"/>
    <col min="25" max="25" width="9.140625" customWidth="1"/>
    <col min="26" max="26" width="13.28515625" customWidth="1"/>
    <col min="27" max="27" width="12.42578125" customWidth="1"/>
    <col min="28" max="28" width="10" customWidth="1"/>
    <col min="29" max="29" width="8.140625" customWidth="1"/>
    <col min="30" max="31" width="9.7109375" customWidth="1"/>
    <col min="32" max="33" width="9.140625" customWidth="1"/>
    <col min="34" max="34" width="9.42578125" customWidth="1"/>
    <col min="35" max="35" width="9.140625" hidden="1" customWidth="1"/>
    <col min="36" max="37" width="10.140625" hidden="1" customWidth="1"/>
    <col min="38" max="38" width="7" hidden="1" customWidth="1"/>
    <col min="39" max="39" width="9.28515625" hidden="1" customWidth="1"/>
    <col min="40" max="40" width="7.7109375" hidden="1" customWidth="1"/>
    <col min="41" max="41" width="9" hidden="1" customWidth="1"/>
    <col min="42" max="43" width="10.42578125" customWidth="1"/>
    <col min="44" max="45" width="12.5703125" customWidth="1"/>
    <col min="46" max="46" width="12" customWidth="1"/>
    <col min="48" max="48" width="11.5703125" bestFit="1" customWidth="1"/>
    <col min="50" max="50" width="17.5703125" customWidth="1"/>
  </cols>
  <sheetData>
    <row r="1" spans="1:48" ht="51.75" hidden="1" customHeight="1">
      <c r="D1" s="151" t="s">
        <v>0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</row>
    <row r="2" spans="1:48" ht="24" hidden="1" customHeight="1">
      <c r="AR2" s="2" t="s">
        <v>1</v>
      </c>
      <c r="AS2" s="2"/>
    </row>
    <row r="3" spans="1:48" ht="15" hidden="1" customHeight="1">
      <c r="A3" s="356" t="s">
        <v>2</v>
      </c>
      <c r="B3" s="356" t="s">
        <v>3</v>
      </c>
      <c r="C3" s="329" t="s">
        <v>4</v>
      </c>
      <c r="D3" s="148" t="s">
        <v>5</v>
      </c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6" t="s">
        <v>6</v>
      </c>
      <c r="AM3" s="147"/>
      <c r="AN3" s="146" t="s">
        <v>7</v>
      </c>
      <c r="AO3" s="147"/>
      <c r="AP3" s="88"/>
      <c r="AQ3" s="88"/>
      <c r="AR3" s="361" t="s">
        <v>8</v>
      </c>
      <c r="AS3" s="324"/>
      <c r="AT3" s="356" t="s">
        <v>9</v>
      </c>
    </row>
    <row r="4" spans="1:48" ht="15" hidden="1" customHeight="1">
      <c r="A4" s="356"/>
      <c r="B4" s="356"/>
      <c r="C4" s="330"/>
      <c r="D4" s="148" t="s">
        <v>10</v>
      </c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6" t="s">
        <v>11</v>
      </c>
      <c r="AM4" s="147"/>
      <c r="AN4" s="146" t="s">
        <v>11</v>
      </c>
      <c r="AO4" s="147"/>
      <c r="AP4" s="89"/>
      <c r="AQ4" s="89"/>
      <c r="AR4" s="344"/>
      <c r="AS4" s="325"/>
      <c r="AT4" s="356"/>
    </row>
    <row r="5" spans="1:48" ht="30.75" hidden="1" customHeight="1">
      <c r="A5" s="356"/>
      <c r="B5" s="356"/>
      <c r="C5" s="331"/>
      <c r="D5" s="152" t="s">
        <v>13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328" t="s">
        <v>15</v>
      </c>
      <c r="AM5" s="328" t="s">
        <v>16</v>
      </c>
      <c r="AN5" s="328" t="s">
        <v>15</v>
      </c>
      <c r="AO5" s="328" t="s">
        <v>16</v>
      </c>
      <c r="AP5" s="90"/>
      <c r="AQ5" s="90"/>
      <c r="AR5" s="345"/>
      <c r="AS5" s="326"/>
      <c r="AT5" s="356"/>
    </row>
    <row r="6" spans="1:48" ht="34.5" hidden="1" customHeight="1">
      <c r="A6" s="336">
        <v>1</v>
      </c>
      <c r="B6" s="362" t="s">
        <v>18</v>
      </c>
      <c r="C6" s="332" t="s">
        <v>19</v>
      </c>
      <c r="D6" s="4">
        <f>18890000-D7</f>
        <v>17850000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8">
        <v>264</v>
      </c>
      <c r="AM6" s="6">
        <v>52435080</v>
      </c>
      <c r="AN6" s="9">
        <v>18.18</v>
      </c>
      <c r="AO6" s="6">
        <v>5926871.6100000003</v>
      </c>
      <c r="AP6" s="6"/>
      <c r="AQ6" s="6"/>
      <c r="AR6" s="10" t="e">
        <f>+#REF!+#REF!+AM6+AO6</f>
        <v>#REF!</v>
      </c>
      <c r="AS6" s="10"/>
      <c r="AT6" s="11"/>
    </row>
    <row r="7" spans="1:48" ht="34.5" hidden="1" customHeight="1">
      <c r="A7" s="337"/>
      <c r="B7" s="363"/>
      <c r="C7" s="333"/>
      <c r="D7" s="4">
        <v>1040000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7"/>
      <c r="AM7" s="7"/>
      <c r="AN7" s="12"/>
      <c r="AO7" s="7"/>
      <c r="AP7" s="7"/>
      <c r="AQ7" s="7"/>
      <c r="AR7" s="10" t="e">
        <f>+#REF!+#REF!+AM7+AO7</f>
        <v>#REF!</v>
      </c>
      <c r="AS7" s="10"/>
      <c r="AT7" s="13" t="s">
        <v>20</v>
      </c>
    </row>
    <row r="8" spans="1:48" ht="29.25" hidden="1" customHeight="1">
      <c r="A8" s="337"/>
      <c r="B8" s="363"/>
      <c r="C8" s="334" t="s">
        <v>21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M8" s="6"/>
      <c r="AN8" s="9">
        <v>54.48</v>
      </c>
      <c r="AO8" s="5">
        <v>12566831.310000001</v>
      </c>
      <c r="AP8" s="5"/>
      <c r="AQ8" s="5"/>
      <c r="AR8" s="10" t="e">
        <f>+#REF!+#REF!+AM8+AO8</f>
        <v>#REF!</v>
      </c>
      <c r="AS8" s="10"/>
      <c r="AT8" s="15"/>
    </row>
    <row r="9" spans="1:48" ht="27.75" hidden="1" customHeight="1">
      <c r="A9" s="338"/>
      <c r="B9" s="364"/>
      <c r="C9" s="334" t="s">
        <v>22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6"/>
      <c r="AM9" s="6"/>
      <c r="AN9" s="6"/>
      <c r="AO9" s="6"/>
      <c r="AP9" s="6"/>
      <c r="AQ9" s="6"/>
      <c r="AR9" s="10" t="e">
        <f>+#REF!+#REF!+AM9+AO9</f>
        <v>#REF!</v>
      </c>
      <c r="AS9" s="10"/>
      <c r="AT9" s="15"/>
    </row>
    <row r="10" spans="1:48" ht="37.5" hidden="1" customHeight="1">
      <c r="A10" s="327">
        <v>2</v>
      </c>
      <c r="B10" s="16" t="s">
        <v>23</v>
      </c>
      <c r="C10" s="16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6"/>
      <c r="AM10" s="6"/>
      <c r="AN10" s="6"/>
      <c r="AO10" s="6"/>
      <c r="AP10" s="6"/>
      <c r="AQ10" s="6"/>
      <c r="AR10" s="10" t="e">
        <f>+#REF!+#REF!+AM10+AO10</f>
        <v>#REF!</v>
      </c>
      <c r="AS10" s="10"/>
      <c r="AT10" s="17"/>
    </row>
    <row r="11" spans="1:48" ht="28.5" hidden="1" customHeight="1">
      <c r="A11" s="335"/>
      <c r="B11" s="19" t="s">
        <v>8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2"/>
      <c r="AM11" s="21">
        <f>SUM(AM6:AM10)</f>
        <v>52435080</v>
      </c>
      <c r="AN11" s="22"/>
      <c r="AO11" s="23">
        <f>+SUM(AO6:AO10)</f>
        <v>18493702.920000002</v>
      </c>
      <c r="AP11" s="23"/>
      <c r="AQ11" s="23"/>
      <c r="AR11" s="23" t="e">
        <f>+SUM(AR6:AR10)</f>
        <v>#REF!</v>
      </c>
      <c r="AS11" s="23"/>
      <c r="AT11" s="11"/>
    </row>
    <row r="12" spans="1:48" ht="15" hidden="1" customHeight="1"/>
    <row r="13" spans="1:48" ht="22.5" hidden="1" customHeight="1"/>
    <row r="14" spans="1:48" ht="40.5" customHeight="1">
      <c r="C14" s="365" t="s">
        <v>89</v>
      </c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355"/>
      <c r="AJ14" s="355"/>
      <c r="AK14" s="355"/>
      <c r="AL14" s="355"/>
      <c r="AM14" s="355"/>
      <c r="AN14" s="355"/>
      <c r="AO14" s="355"/>
      <c r="AP14" s="355"/>
      <c r="AQ14" s="355"/>
      <c r="AR14" s="355"/>
      <c r="AV14" s="85"/>
    </row>
    <row r="15" spans="1:48">
      <c r="AR15" s="2" t="s">
        <v>24</v>
      </c>
      <c r="AS15" s="2"/>
    </row>
    <row r="16" spans="1:48" ht="20.25" customHeight="1">
      <c r="A16" s="356" t="s">
        <v>2</v>
      </c>
      <c r="B16" s="356" t="s">
        <v>3</v>
      </c>
      <c r="C16" s="356" t="s">
        <v>47</v>
      </c>
      <c r="D16" s="366" t="s">
        <v>34</v>
      </c>
      <c r="E16" s="367"/>
      <c r="F16" s="367"/>
      <c r="G16" s="367"/>
      <c r="H16" s="367"/>
      <c r="I16" s="367"/>
      <c r="J16" s="367"/>
      <c r="K16" s="367"/>
      <c r="L16" s="367"/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7"/>
      <c r="X16" s="367"/>
      <c r="Y16" s="367"/>
      <c r="Z16" s="367"/>
      <c r="AA16" s="367"/>
      <c r="AB16" s="367"/>
      <c r="AC16" s="367"/>
      <c r="AD16" s="367"/>
      <c r="AE16" s="367"/>
      <c r="AF16" s="367"/>
      <c r="AG16" s="367"/>
      <c r="AH16" s="367"/>
      <c r="AI16" s="368"/>
      <c r="AJ16" s="369" t="s">
        <v>33</v>
      </c>
      <c r="AK16" s="370"/>
      <c r="AL16" s="370"/>
      <c r="AM16" s="370"/>
      <c r="AN16" s="370"/>
      <c r="AO16" s="370"/>
      <c r="AP16" s="370"/>
      <c r="AQ16" s="371"/>
      <c r="AR16" s="359" t="s">
        <v>12</v>
      </c>
      <c r="AS16" s="343" t="s">
        <v>36</v>
      </c>
      <c r="AT16" s="346" t="s">
        <v>9</v>
      </c>
    </row>
    <row r="17" spans="1:50" ht="33.75" customHeight="1">
      <c r="A17" s="356"/>
      <c r="B17" s="356"/>
      <c r="C17" s="356"/>
      <c r="D17" s="349" t="s">
        <v>5</v>
      </c>
      <c r="E17" s="349"/>
      <c r="F17" s="349"/>
      <c r="G17" s="391" t="s">
        <v>90</v>
      </c>
      <c r="H17" s="391"/>
      <c r="I17" s="391"/>
      <c r="J17" s="392" t="s">
        <v>88</v>
      </c>
      <c r="K17" s="391"/>
      <c r="L17" s="391"/>
      <c r="M17" s="350" t="s">
        <v>31</v>
      </c>
      <c r="N17" s="350"/>
      <c r="O17" s="350"/>
      <c r="P17" s="351" t="s">
        <v>32</v>
      </c>
      <c r="Q17" s="351"/>
      <c r="R17" s="351"/>
      <c r="S17" s="372" t="s">
        <v>40</v>
      </c>
      <c r="T17" s="372"/>
      <c r="U17" s="373" t="s">
        <v>39</v>
      </c>
      <c r="V17" s="374"/>
      <c r="W17" s="375"/>
      <c r="X17" s="376" t="s">
        <v>44</v>
      </c>
      <c r="Y17" s="377"/>
      <c r="Z17" s="377"/>
      <c r="AA17" s="378"/>
      <c r="AB17" s="379" t="s">
        <v>45</v>
      </c>
      <c r="AC17" s="380"/>
      <c r="AD17" s="380"/>
      <c r="AE17" s="381"/>
      <c r="AF17" s="382" t="s">
        <v>43</v>
      </c>
      <c r="AG17" s="383"/>
      <c r="AH17" s="383"/>
      <c r="AI17" s="384"/>
      <c r="AJ17" s="349" t="s">
        <v>5</v>
      </c>
      <c r="AK17" s="349"/>
      <c r="AL17" s="353" t="s">
        <v>52</v>
      </c>
      <c r="AM17" s="353"/>
      <c r="AN17" s="352" t="s">
        <v>42</v>
      </c>
      <c r="AO17" s="352"/>
      <c r="AP17" s="386" t="s">
        <v>39</v>
      </c>
      <c r="AQ17" s="387"/>
      <c r="AR17" s="360"/>
      <c r="AS17" s="344"/>
      <c r="AT17" s="347"/>
    </row>
    <row r="18" spans="1:50" ht="48" customHeight="1">
      <c r="A18" s="356"/>
      <c r="B18" s="356"/>
      <c r="C18" s="356"/>
      <c r="D18" s="50" t="s">
        <v>38</v>
      </c>
      <c r="E18" s="50" t="s">
        <v>16</v>
      </c>
      <c r="F18" s="50" t="s">
        <v>17</v>
      </c>
      <c r="G18" s="321" t="s">
        <v>78</v>
      </c>
      <c r="H18" s="321" t="s">
        <v>16</v>
      </c>
      <c r="I18" s="321" t="s">
        <v>17</v>
      </c>
      <c r="J18" s="321" t="s">
        <v>78</v>
      </c>
      <c r="K18" s="321" t="s">
        <v>16</v>
      </c>
      <c r="L18" s="321" t="s">
        <v>17</v>
      </c>
      <c r="M18" s="3" t="s">
        <v>78</v>
      </c>
      <c r="N18" s="3" t="s">
        <v>16</v>
      </c>
      <c r="O18" s="3" t="s">
        <v>17</v>
      </c>
      <c r="P18" s="26" t="s">
        <v>78</v>
      </c>
      <c r="Q18" s="26" t="s">
        <v>16</v>
      </c>
      <c r="R18" s="26" t="s">
        <v>17</v>
      </c>
      <c r="S18" s="173" t="s">
        <v>15</v>
      </c>
      <c r="T18" s="173" t="s">
        <v>41</v>
      </c>
      <c r="U18" s="27" t="s">
        <v>78</v>
      </c>
      <c r="V18" s="27" t="s">
        <v>46</v>
      </c>
      <c r="W18" s="27" t="s">
        <v>17</v>
      </c>
      <c r="X18" s="50" t="s">
        <v>48</v>
      </c>
      <c r="Y18" s="50" t="s">
        <v>49</v>
      </c>
      <c r="Z18" s="171" t="s">
        <v>41</v>
      </c>
      <c r="AA18" s="171" t="s">
        <v>17</v>
      </c>
      <c r="AB18" s="27" t="s">
        <v>48</v>
      </c>
      <c r="AC18" s="27" t="s">
        <v>49</v>
      </c>
      <c r="AD18" s="172" t="s">
        <v>41</v>
      </c>
      <c r="AE18" s="172" t="s">
        <v>17</v>
      </c>
      <c r="AF18" s="162" t="s">
        <v>48</v>
      </c>
      <c r="AG18" s="162" t="s">
        <v>49</v>
      </c>
      <c r="AH18" s="162" t="s">
        <v>46</v>
      </c>
      <c r="AI18" s="162" t="s">
        <v>17</v>
      </c>
      <c r="AJ18" s="50" t="s">
        <v>15</v>
      </c>
      <c r="AK18" s="50" t="s">
        <v>16</v>
      </c>
      <c r="AL18" s="29" t="s">
        <v>15</v>
      </c>
      <c r="AM18" s="29" t="s">
        <v>16</v>
      </c>
      <c r="AN18" s="27" t="s">
        <v>15</v>
      </c>
      <c r="AO18" s="27" t="s">
        <v>16</v>
      </c>
      <c r="AP18" s="152" t="s">
        <v>78</v>
      </c>
      <c r="AQ18" s="152" t="s">
        <v>16</v>
      </c>
      <c r="AR18" s="360"/>
      <c r="AS18" s="345"/>
      <c r="AT18" s="348"/>
    </row>
    <row r="19" spans="1:50" ht="28.5" customHeight="1">
      <c r="A19" s="337">
        <v>1</v>
      </c>
      <c r="B19" s="339" t="s">
        <v>55</v>
      </c>
      <c r="C19" s="51" t="s">
        <v>19</v>
      </c>
      <c r="D19" s="159">
        <f>14329.177-410-410</f>
        <v>13509.177</v>
      </c>
      <c r="E19" s="161">
        <f>D19</f>
        <v>13509.177</v>
      </c>
      <c r="F19" s="234"/>
      <c r="G19" s="163">
        <v>178.6</v>
      </c>
      <c r="H19" s="186">
        <v>32666.128000000001</v>
      </c>
      <c r="I19" s="180"/>
      <c r="J19" s="163"/>
      <c r="K19" s="186"/>
      <c r="L19" s="180"/>
      <c r="M19" s="163">
        <v>427</v>
      </c>
      <c r="N19" s="186">
        <v>33945.521000000001</v>
      </c>
      <c r="O19" s="180"/>
      <c r="P19" s="133"/>
      <c r="Q19" s="57"/>
      <c r="R19" s="174"/>
      <c r="S19" s="132"/>
      <c r="T19" s="161"/>
      <c r="U19" s="137"/>
      <c r="V19" s="135"/>
      <c r="W19" s="188"/>
      <c r="X19" s="165">
        <v>26570.445</v>
      </c>
      <c r="Y19" s="199">
        <v>17558.386999999999</v>
      </c>
      <c r="Z19" s="153">
        <f>+Y19+X19</f>
        <v>44128.831999999995</v>
      </c>
      <c r="AA19" s="154"/>
      <c r="AB19" s="132"/>
      <c r="AC19" s="203"/>
      <c r="AD19" s="153">
        <f>+AC19+AB19</f>
        <v>0</v>
      </c>
      <c r="AE19" s="204"/>
      <c r="AF19" s="168">
        <f t="shared" ref="AF19:AG22" si="0">+X19+AB19</f>
        <v>26570.445</v>
      </c>
      <c r="AG19" s="208">
        <f t="shared" si="0"/>
        <v>17558.386999999999</v>
      </c>
      <c r="AH19" s="54">
        <f>+AG19+AF19</f>
        <v>44128.831999999995</v>
      </c>
      <c r="AI19" s="198"/>
      <c r="AJ19" s="58"/>
      <c r="AK19" s="59"/>
      <c r="AL19" s="60"/>
      <c r="AM19" s="61"/>
      <c r="AN19" s="62"/>
      <c r="AO19" s="61"/>
      <c r="AP19" s="193">
        <v>274</v>
      </c>
      <c r="AQ19" s="91">
        <v>55486.945</v>
      </c>
      <c r="AR19" s="232">
        <f>+E19+H19+K19+N19+Q19+T19+V19+AH19+AK19+AQ19</f>
        <v>179736.603</v>
      </c>
      <c r="AS19" s="63"/>
      <c r="AT19" s="64"/>
      <c r="AV19" s="25"/>
      <c r="AX19" s="86"/>
    </row>
    <row r="20" spans="1:50" ht="22.5" customHeight="1">
      <c r="A20" s="337"/>
      <c r="B20" s="340"/>
      <c r="C20" s="134" t="s">
        <v>21</v>
      </c>
      <c r="D20" s="160">
        <f>2344.5+410+410</f>
        <v>3164.5</v>
      </c>
      <c r="E20" s="138">
        <f>+D20</f>
        <v>3164.5</v>
      </c>
      <c r="F20" s="181"/>
      <c r="G20" s="223"/>
      <c r="H20" s="224">
        <v>325</v>
      </c>
      <c r="I20" s="181"/>
      <c r="J20" s="223"/>
      <c r="K20" s="224"/>
      <c r="L20" s="181"/>
      <c r="M20" s="223"/>
      <c r="N20" s="224"/>
      <c r="O20" s="181"/>
      <c r="P20" s="137">
        <v>38</v>
      </c>
      <c r="Q20" s="135">
        <v>9344.8880000000008</v>
      </c>
      <c r="R20" s="175"/>
      <c r="S20" s="137"/>
      <c r="T20" s="138"/>
      <c r="U20" s="137"/>
      <c r="V20" s="135"/>
      <c r="W20" s="189"/>
      <c r="X20" s="166">
        <v>1742.231</v>
      </c>
      <c r="Y20" s="200">
        <v>3411.2049999999999</v>
      </c>
      <c r="Z20" s="135">
        <f>+Y20+X20</f>
        <v>5153.4359999999997</v>
      </c>
      <c r="AA20" s="136"/>
      <c r="AB20" s="137">
        <v>148.15</v>
      </c>
      <c r="AC20" s="205"/>
      <c r="AD20" s="68">
        <f>+AC20+AB20</f>
        <v>148.15</v>
      </c>
      <c r="AE20" s="206"/>
      <c r="AF20" s="166">
        <f t="shared" si="0"/>
        <v>1890.3810000000001</v>
      </c>
      <c r="AG20" s="200">
        <f t="shared" si="0"/>
        <v>3411.2049999999999</v>
      </c>
      <c r="AH20" s="135">
        <f>+AG20+AF20</f>
        <v>5301.5860000000002</v>
      </c>
      <c r="AI20" s="225"/>
      <c r="AJ20" s="139"/>
      <c r="AK20" s="138">
        <f>AJ20</f>
        <v>0</v>
      </c>
      <c r="AL20" s="140"/>
      <c r="AM20" s="141"/>
      <c r="AN20" s="142"/>
      <c r="AO20" s="141"/>
      <c r="AP20" s="194">
        <v>1.5</v>
      </c>
      <c r="AQ20" s="143">
        <v>836.04700000000003</v>
      </c>
      <c r="AR20" s="232">
        <f>E20+Q20+Z20+AK20+AQ20</f>
        <v>18498.870999999999</v>
      </c>
      <c r="AS20" s="144"/>
      <c r="AT20" s="145"/>
      <c r="AV20" s="25"/>
      <c r="AX20" s="86"/>
    </row>
    <row r="21" spans="1:50" ht="21" customHeight="1">
      <c r="A21" s="337"/>
      <c r="B21" s="388" t="s">
        <v>54</v>
      </c>
      <c r="C21" s="51" t="s">
        <v>19</v>
      </c>
      <c r="D21" s="226"/>
      <c r="E21" s="59">
        <f t="shared" ref="E21" si="1">+D21</f>
        <v>0</v>
      </c>
      <c r="F21" s="180"/>
      <c r="G21" s="163"/>
      <c r="H21" s="187"/>
      <c r="I21" s="180"/>
      <c r="J21" s="163"/>
      <c r="K21" s="187"/>
      <c r="L21" s="180"/>
      <c r="M21" s="163"/>
      <c r="N21" s="187"/>
      <c r="O21" s="180"/>
      <c r="P21" s="236"/>
      <c r="Q21" s="156"/>
      <c r="R21" s="174"/>
      <c r="S21" s="132"/>
      <c r="T21" s="161"/>
      <c r="U21" s="132"/>
      <c r="V21" s="153"/>
      <c r="W21" s="188"/>
      <c r="X21" s="168"/>
      <c r="Y21" s="208"/>
      <c r="Z21" s="54">
        <f>X21+Y21</f>
        <v>0</v>
      </c>
      <c r="AA21" s="55"/>
      <c r="AB21" s="132"/>
      <c r="AC21" s="203"/>
      <c r="AD21" s="153"/>
      <c r="AE21" s="204"/>
      <c r="AF21" s="168">
        <f t="shared" si="0"/>
        <v>0</v>
      </c>
      <c r="AG21" s="208">
        <f t="shared" si="0"/>
        <v>0</v>
      </c>
      <c r="AH21" s="54">
        <f>+AG21+AF21</f>
        <v>0</v>
      </c>
      <c r="AI21" s="198"/>
      <c r="AJ21" s="227"/>
      <c r="AK21" s="161"/>
      <c r="AL21" s="228"/>
      <c r="AM21" s="187"/>
      <c r="AN21" s="229"/>
      <c r="AO21" s="187"/>
      <c r="AP21" s="230"/>
      <c r="AQ21" s="231"/>
      <c r="AR21" s="232">
        <f>E21+N21+Z21+AH21+V21</f>
        <v>0</v>
      </c>
      <c r="AS21" s="232"/>
      <c r="AT21" s="233"/>
      <c r="AX21" s="86"/>
    </row>
    <row r="22" spans="1:50" ht="25.5" customHeight="1">
      <c r="A22" s="338"/>
      <c r="B22" s="388"/>
      <c r="C22" s="65" t="s">
        <v>21</v>
      </c>
      <c r="D22" s="66">
        <v>3173.12</v>
      </c>
      <c r="E22" s="235">
        <f>+D22</f>
        <v>3173.12</v>
      </c>
      <c r="F22" s="182"/>
      <c r="G22" s="70"/>
      <c r="H22" s="72"/>
      <c r="I22" s="182"/>
      <c r="J22" s="70"/>
      <c r="K22" s="72"/>
      <c r="L22" s="182"/>
      <c r="M22" s="70">
        <v>5.3</v>
      </c>
      <c r="N22" s="72">
        <v>3757.1750000000002</v>
      </c>
      <c r="O22" s="182"/>
      <c r="P22" s="316"/>
      <c r="Q22" s="68"/>
      <c r="R22" s="176"/>
      <c r="S22" s="66"/>
      <c r="T22" s="72"/>
      <c r="U22" s="66"/>
      <c r="V22" s="68"/>
      <c r="W22" s="190"/>
      <c r="X22" s="167">
        <v>5560.6779999999999</v>
      </c>
      <c r="Y22" s="158">
        <v>6799.973</v>
      </c>
      <c r="Z22" s="68">
        <f>+Y22+X22</f>
        <v>12360.651</v>
      </c>
      <c r="AA22" s="69"/>
      <c r="AB22" s="66"/>
      <c r="AC22" s="67"/>
      <c r="AD22" s="68"/>
      <c r="AE22" s="201"/>
      <c r="AF22" s="167">
        <f t="shared" si="0"/>
        <v>5560.6779999999999</v>
      </c>
      <c r="AG22" s="158">
        <f t="shared" si="0"/>
        <v>6799.973</v>
      </c>
      <c r="AH22" s="68">
        <f>+AG22+AF22</f>
        <v>12360.651</v>
      </c>
      <c r="AI22" s="201"/>
      <c r="AJ22" s="66"/>
      <c r="AK22" s="72"/>
      <c r="AL22" s="73"/>
      <c r="AM22" s="74"/>
      <c r="AN22" s="73"/>
      <c r="AO22" s="74"/>
      <c r="AP22" s="195"/>
      <c r="AQ22" s="92"/>
      <c r="AR22" s="232">
        <f>+E22+H22+K22+N22+Q22+T22+V22+AH22+AK22+AQ22</f>
        <v>19290.946</v>
      </c>
      <c r="AS22" s="75"/>
      <c r="AT22" s="76"/>
    </row>
    <row r="23" spans="1:50" ht="21" hidden="1" customHeight="1">
      <c r="A23" s="336">
        <v>2</v>
      </c>
      <c r="B23" s="339" t="s">
        <v>27</v>
      </c>
      <c r="C23" s="51" t="s">
        <v>19</v>
      </c>
      <c r="D23" s="132"/>
      <c r="E23" s="161"/>
      <c r="F23" s="180">
        <f>+D23</f>
        <v>0</v>
      </c>
      <c r="G23" s="155"/>
      <c r="H23" s="187"/>
      <c r="I23" s="183"/>
      <c r="J23" s="155"/>
      <c r="K23" s="187"/>
      <c r="L23" s="183"/>
      <c r="M23" s="155"/>
      <c r="N23" s="187"/>
      <c r="O23" s="183"/>
      <c r="P23" s="157"/>
      <c r="Q23" s="153"/>
      <c r="R23" s="174"/>
      <c r="S23" s="132"/>
      <c r="T23" s="161"/>
      <c r="U23" s="52"/>
      <c r="V23" s="54"/>
      <c r="W23" s="188"/>
      <c r="X23" s="168"/>
      <c r="Y23" s="208"/>
      <c r="Z23" s="54"/>
      <c r="AA23" s="55">
        <f>X23</f>
        <v>0</v>
      </c>
      <c r="AB23" s="52"/>
      <c r="AC23" s="53"/>
      <c r="AD23" s="54"/>
      <c r="AE23" s="198"/>
      <c r="AF23" s="168"/>
      <c r="AG23" s="208"/>
      <c r="AH23" s="54"/>
      <c r="AI23" s="198"/>
      <c r="AJ23" s="52"/>
      <c r="AK23" s="59"/>
      <c r="AL23" s="79"/>
      <c r="AM23" s="61"/>
      <c r="AN23" s="79"/>
      <c r="AO23" s="61"/>
      <c r="AP23" s="193"/>
      <c r="AQ23" s="91"/>
      <c r="AR23" s="232"/>
      <c r="AS23" s="63">
        <f>F23+O23+AA23</f>
        <v>0</v>
      </c>
      <c r="AT23" s="80" t="s">
        <v>35</v>
      </c>
    </row>
    <row r="24" spans="1:50" ht="19.5" hidden="1" customHeight="1">
      <c r="A24" s="338"/>
      <c r="B24" s="341"/>
      <c r="C24" s="65" t="s">
        <v>21</v>
      </c>
      <c r="D24" s="66"/>
      <c r="E24" s="72"/>
      <c r="F24" s="182">
        <f>D24</f>
        <v>0</v>
      </c>
      <c r="G24" s="71"/>
      <c r="H24" s="72"/>
      <c r="I24" s="182"/>
      <c r="J24" s="71"/>
      <c r="K24" s="72"/>
      <c r="L24" s="182"/>
      <c r="M24" s="71"/>
      <c r="N24" s="72"/>
      <c r="O24" s="182"/>
      <c r="P24" s="71"/>
      <c r="Q24" s="68"/>
      <c r="R24" s="177"/>
      <c r="S24" s="167"/>
      <c r="T24" s="72"/>
      <c r="U24" s="66"/>
      <c r="V24" s="68"/>
      <c r="W24" s="190"/>
      <c r="X24" s="167"/>
      <c r="Y24" s="158"/>
      <c r="Z24" s="68"/>
      <c r="AA24" s="201">
        <f>+Y24+X24</f>
        <v>0</v>
      </c>
      <c r="AB24" s="167"/>
      <c r="AC24" s="158"/>
      <c r="AD24" s="68"/>
      <c r="AE24" s="201"/>
      <c r="AF24" s="167"/>
      <c r="AG24" s="158"/>
      <c r="AH24" s="68"/>
      <c r="AI24" s="201">
        <f>+AA24+AE24</f>
        <v>0</v>
      </c>
      <c r="AJ24" s="66"/>
      <c r="AK24" s="72"/>
      <c r="AL24" s="73"/>
      <c r="AM24" s="74"/>
      <c r="AN24" s="73"/>
      <c r="AO24" s="74"/>
      <c r="AP24" s="195"/>
      <c r="AQ24" s="92"/>
      <c r="AR24" s="232">
        <f t="shared" ref="AR24:AR27" si="2">E24+K24+N24+Q24+X24+AQ24</f>
        <v>0</v>
      </c>
      <c r="AS24" s="75">
        <f>+F24+O24+R24+AI24+W24+AA24</f>
        <v>0</v>
      </c>
      <c r="AT24" s="84"/>
    </row>
    <row r="25" spans="1:50" ht="28.5" customHeight="1">
      <c r="A25" s="327">
        <v>2</v>
      </c>
      <c r="B25" s="332" t="s">
        <v>91</v>
      </c>
      <c r="C25" s="51" t="s">
        <v>21</v>
      </c>
      <c r="D25" s="32"/>
      <c r="E25" s="44">
        <f>+D25</f>
        <v>0</v>
      </c>
      <c r="F25" s="184"/>
      <c r="G25" s="40"/>
      <c r="H25" s="44"/>
      <c r="I25" s="184"/>
      <c r="J25" s="40"/>
      <c r="K25" s="44"/>
      <c r="L25" s="184"/>
      <c r="M25" s="40"/>
      <c r="N25" s="44"/>
      <c r="O25" s="184"/>
      <c r="P25" s="42"/>
      <c r="Q25" s="34"/>
      <c r="R25" s="178"/>
      <c r="S25" s="32"/>
      <c r="T25" s="44"/>
      <c r="U25" s="32">
        <v>2.2999999999999998</v>
      </c>
      <c r="V25" s="34">
        <v>2916.991</v>
      </c>
      <c r="W25" s="191"/>
      <c r="X25" s="169"/>
      <c r="Y25" s="215">
        <v>1574.9</v>
      </c>
      <c r="Z25" s="34">
        <f>+Y25+X25</f>
        <v>1574.9</v>
      </c>
      <c r="AA25" s="35"/>
      <c r="AB25" s="32"/>
      <c r="AC25" s="33"/>
      <c r="AD25" s="34"/>
      <c r="AE25" s="216"/>
      <c r="AF25" s="167">
        <f t="shared" ref="AF25" si="3">+X25+AB25</f>
        <v>0</v>
      </c>
      <c r="AG25" s="158">
        <f t="shared" ref="AG25" si="4">+Y25+AC25</f>
        <v>1574.9</v>
      </c>
      <c r="AH25" s="68">
        <f>+AG25+AF25</f>
        <v>1574.9</v>
      </c>
      <c r="AI25" s="216"/>
      <c r="AJ25" s="32"/>
      <c r="AK25" s="44"/>
      <c r="AL25" s="47"/>
      <c r="AM25" s="46"/>
      <c r="AN25" s="47"/>
      <c r="AO25" s="46"/>
      <c r="AP25" s="196"/>
      <c r="AQ25" s="93"/>
      <c r="AR25" s="232">
        <f>+E25+H25+N25+Q25+V25+AH25</f>
        <v>4491.8909999999996</v>
      </c>
      <c r="AS25" s="24"/>
      <c r="AT25" s="17"/>
    </row>
    <row r="26" spans="1:50" ht="21" hidden="1" customHeight="1">
      <c r="A26" s="327">
        <v>3</v>
      </c>
      <c r="B26" s="332" t="s">
        <v>56</v>
      </c>
      <c r="C26" s="51" t="s">
        <v>19</v>
      </c>
      <c r="D26" s="32"/>
      <c r="E26" s="44">
        <f>+D26</f>
        <v>0</v>
      </c>
      <c r="F26" s="184"/>
      <c r="G26" s="40"/>
      <c r="H26" s="44"/>
      <c r="I26" s="184"/>
      <c r="J26" s="40"/>
      <c r="K26" s="44"/>
      <c r="L26" s="184"/>
      <c r="M26" s="40"/>
      <c r="N26" s="44"/>
      <c r="O26" s="184"/>
      <c r="P26" s="42"/>
      <c r="Q26" s="34"/>
      <c r="R26" s="178"/>
      <c r="S26" s="32"/>
      <c r="T26" s="44"/>
      <c r="U26" s="32"/>
      <c r="V26" s="34"/>
      <c r="W26" s="191"/>
      <c r="X26" s="169"/>
      <c r="Y26" s="215"/>
      <c r="Z26" s="34">
        <f>+Y26+X26</f>
        <v>0</v>
      </c>
      <c r="AA26" s="35"/>
      <c r="AB26" s="32"/>
      <c r="AC26" s="33"/>
      <c r="AD26" s="34"/>
      <c r="AE26" s="216"/>
      <c r="AF26" s="169">
        <f>+X26+AB26</f>
        <v>0</v>
      </c>
      <c r="AG26" s="215"/>
      <c r="AH26" s="34">
        <f>+AG26+AF26</f>
        <v>0</v>
      </c>
      <c r="AI26" s="216"/>
      <c r="AJ26" s="32"/>
      <c r="AK26" s="44"/>
      <c r="AL26" s="47"/>
      <c r="AM26" s="46"/>
      <c r="AN26" s="47"/>
      <c r="AO26" s="46"/>
      <c r="AP26" s="196"/>
      <c r="AQ26" s="93"/>
      <c r="AR26" s="232">
        <f t="shared" si="2"/>
        <v>0</v>
      </c>
      <c r="AS26" s="24"/>
      <c r="AT26" s="17"/>
    </row>
    <row r="27" spans="1:50" ht="17.25" hidden="1" customHeight="1">
      <c r="A27" s="327">
        <v>4</v>
      </c>
      <c r="B27" s="332" t="s">
        <v>53</v>
      </c>
      <c r="C27" s="332"/>
      <c r="D27" s="32"/>
      <c r="E27" s="44"/>
      <c r="F27" s="184"/>
      <c r="G27" s="40"/>
      <c r="H27" s="44"/>
      <c r="I27" s="184"/>
      <c r="J27" s="40"/>
      <c r="K27" s="44"/>
      <c r="L27" s="184"/>
      <c r="M27" s="40"/>
      <c r="N27" s="44"/>
      <c r="O27" s="184"/>
      <c r="P27" s="42"/>
      <c r="Q27" s="34"/>
      <c r="R27" s="178"/>
      <c r="S27" s="32"/>
      <c r="T27" s="44"/>
      <c r="U27" s="32"/>
      <c r="V27" s="34"/>
      <c r="W27" s="191"/>
      <c r="X27" s="169"/>
      <c r="Y27" s="215"/>
      <c r="Z27" s="34"/>
      <c r="AA27" s="35"/>
      <c r="AB27" s="32"/>
      <c r="AC27" s="33"/>
      <c r="AD27" s="34"/>
      <c r="AE27" s="216"/>
      <c r="AF27" s="169"/>
      <c r="AG27" s="215"/>
      <c r="AH27" s="34"/>
      <c r="AI27" s="216"/>
      <c r="AJ27" s="32"/>
      <c r="AK27" s="44"/>
      <c r="AL27" s="47"/>
      <c r="AM27" s="46"/>
      <c r="AN27" s="47"/>
      <c r="AO27" s="46"/>
      <c r="AP27" s="196"/>
      <c r="AQ27" s="93"/>
      <c r="AR27" s="232">
        <f t="shared" si="2"/>
        <v>0</v>
      </c>
      <c r="AS27" s="24"/>
      <c r="AT27" s="17"/>
    </row>
    <row r="28" spans="1:50" ht="30" customHeight="1">
      <c r="A28" s="335"/>
      <c r="B28" s="87" t="s">
        <v>8</v>
      </c>
      <c r="C28" s="19"/>
      <c r="D28" s="36"/>
      <c r="E28" s="45">
        <f>SUM(E19:E25)</f>
        <v>19846.796999999999</v>
      </c>
      <c r="F28" s="185"/>
      <c r="G28" s="41"/>
      <c r="H28" s="45"/>
      <c r="I28" s="185"/>
      <c r="J28" s="41"/>
      <c r="K28" s="45">
        <f>K19</f>
        <v>0</v>
      </c>
      <c r="L28" s="185"/>
      <c r="M28" s="41"/>
      <c r="N28" s="45">
        <f>SUM(N19:N22)</f>
        <v>37702.696000000004</v>
      </c>
      <c r="O28" s="185"/>
      <c r="P28" s="43"/>
      <c r="Q28" s="38">
        <f>SUM(Q19:Q26)</f>
        <v>9344.8880000000008</v>
      </c>
      <c r="R28" s="179"/>
      <c r="S28" s="36"/>
      <c r="T28" s="45">
        <f>+T20</f>
        <v>0</v>
      </c>
      <c r="U28" s="36"/>
      <c r="V28" s="38"/>
      <c r="W28" s="192"/>
      <c r="X28" s="170"/>
      <c r="Y28" s="202"/>
      <c r="Z28" s="38">
        <f>+SUM(Z19:Z27)</f>
        <v>63217.818999999996</v>
      </c>
      <c r="AA28" s="217"/>
      <c r="AB28" s="218"/>
      <c r="AC28" s="219"/>
      <c r="AD28" s="38">
        <f>SUM(AD19:AD27)</f>
        <v>148.15</v>
      </c>
      <c r="AE28" s="207"/>
      <c r="AF28" s="170"/>
      <c r="AG28" s="202"/>
      <c r="AH28" s="38">
        <f>SUM(AH19:AH27)</f>
        <v>63365.968999999997</v>
      </c>
      <c r="AI28" s="207"/>
      <c r="AJ28" s="36"/>
      <c r="AK28" s="45">
        <f>SUM(AK19:AK25)</f>
        <v>0</v>
      </c>
      <c r="AL28" s="48"/>
      <c r="AM28" s="45">
        <f>SUM(AM19:AM27)</f>
        <v>0</v>
      </c>
      <c r="AN28" s="48"/>
      <c r="AO28" s="49">
        <f>+SUM(AO19:AO25)</f>
        <v>0</v>
      </c>
      <c r="AP28" s="197"/>
      <c r="AQ28" s="94">
        <f>SUM(AQ19:AQ25)</f>
        <v>56322.991999999998</v>
      </c>
      <c r="AR28" s="24">
        <f>SUM(AR19:AR25)</f>
        <v>222018.31099999999</v>
      </c>
      <c r="AS28" s="28">
        <f>SUM(AS19:AS25)</f>
        <v>0</v>
      </c>
      <c r="AT28" s="11"/>
      <c r="AX28" s="85"/>
    </row>
    <row r="29" spans="1:50" ht="18" customHeight="1"/>
    <row r="30" spans="1:50">
      <c r="D30" s="25"/>
      <c r="E30" s="322"/>
      <c r="F30" s="322"/>
      <c r="I30" s="25"/>
      <c r="L30" s="25"/>
      <c r="O30" s="25"/>
      <c r="P30" s="220"/>
      <c r="Q30" s="220"/>
      <c r="R30" s="220"/>
      <c r="S30" s="220"/>
      <c r="T30" s="220"/>
      <c r="U30" s="220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X30" s="85"/>
    </row>
    <row r="31" spans="1:50" ht="15.75">
      <c r="D31" s="25"/>
      <c r="E31" s="25"/>
      <c r="F31" s="25"/>
      <c r="H31" s="164"/>
      <c r="I31" s="164"/>
      <c r="K31" s="164"/>
      <c r="L31" s="164"/>
      <c r="N31" s="164"/>
      <c r="O31" s="164"/>
      <c r="P31" s="221"/>
      <c r="Q31" s="222"/>
      <c r="R31" s="221"/>
      <c r="S31" s="221"/>
      <c r="T31" s="221"/>
      <c r="U31" s="221"/>
      <c r="V31" s="164"/>
      <c r="X31" s="25"/>
      <c r="AP31" s="95"/>
      <c r="AQ31" s="85"/>
      <c r="AR31" s="25"/>
      <c r="AS31" s="25"/>
    </row>
    <row r="32" spans="1:50">
      <c r="D32" s="25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</row>
    <row r="33" spans="5:33">
      <c r="H33" s="25"/>
      <c r="K33" s="25"/>
      <c r="N33" s="25"/>
      <c r="R33" s="2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</row>
    <row r="34" spans="5:33">
      <c r="E34" s="342"/>
      <c r="F34" s="342"/>
      <c r="R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5:33"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R35" s="25"/>
      <c r="W35" s="85"/>
    </row>
    <row r="36" spans="5:33">
      <c r="E36" s="25"/>
      <c r="R36" s="25"/>
    </row>
  </sheetData>
  <mergeCells count="36">
    <mergeCell ref="E34:F34"/>
    <mergeCell ref="E35:N35"/>
    <mergeCell ref="AL17:AM17"/>
    <mergeCell ref="A19:A22"/>
    <mergeCell ref="B19:B20"/>
    <mergeCell ref="B21:B22"/>
    <mergeCell ref="A23:A24"/>
    <mergeCell ref="B23:B24"/>
    <mergeCell ref="AS16:AS18"/>
    <mergeCell ref="AT16:AT18"/>
    <mergeCell ref="D17:F17"/>
    <mergeCell ref="G17:I17"/>
    <mergeCell ref="J17:L17"/>
    <mergeCell ref="M17:O17"/>
    <mergeCell ref="P17:R17"/>
    <mergeCell ref="S17:T17"/>
    <mergeCell ref="U17:W17"/>
    <mergeCell ref="X17:AA17"/>
    <mergeCell ref="AN17:AO17"/>
    <mergeCell ref="AP17:AQ17"/>
    <mergeCell ref="C14:AR14"/>
    <mergeCell ref="A16:A18"/>
    <mergeCell ref="B16:B18"/>
    <mergeCell ref="C16:C18"/>
    <mergeCell ref="D16:AI16"/>
    <mergeCell ref="AJ16:AQ16"/>
    <mergeCell ref="AR16:AR18"/>
    <mergeCell ref="AB17:AE17"/>
    <mergeCell ref="AF17:AI17"/>
    <mergeCell ref="AJ17:AK17"/>
    <mergeCell ref="A3:A5"/>
    <mergeCell ref="B3:B5"/>
    <mergeCell ref="AR3:AR5"/>
    <mergeCell ref="AT3:AT5"/>
    <mergeCell ref="A6:A9"/>
    <mergeCell ref="B6:B9"/>
  </mergeCells>
  <pageMargins left="0" right="0" top="0.75" bottom="0.75" header="0.3" footer="0.3"/>
  <pageSetup paperSize="9" scale="85" orientation="landscape" horizontalDpi="300" verticalDpi="300" r:id="rId1"/>
  <colBreaks count="1" manualBreakCount="1">
    <brk id="43" min="13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3:Z9"/>
  <sheetViews>
    <sheetView topLeftCell="A10" zoomScaleNormal="100" workbookViewId="0">
      <selection activeCell="R22" sqref="R22"/>
    </sheetView>
  </sheetViews>
  <sheetFormatPr defaultRowHeight="15"/>
  <cols>
    <col min="2" max="2" width="15.28515625" customWidth="1"/>
    <col min="3" max="4" width="9.85546875" style="288" customWidth="1"/>
    <col min="5" max="5" width="9.7109375" style="288" customWidth="1"/>
    <col min="6" max="7" width="9.85546875" style="288" customWidth="1"/>
    <col min="8" max="8" width="8.140625" style="288" customWidth="1"/>
    <col min="9" max="9" width="9.5703125" style="288" customWidth="1"/>
    <col min="10" max="10" width="8.140625" style="288" customWidth="1"/>
    <col min="11" max="11" width="11.5703125" style="288" customWidth="1"/>
    <col min="12" max="12" width="8.7109375" style="288" customWidth="1"/>
    <col min="13" max="13" width="9.5703125" style="288" customWidth="1"/>
    <col min="14" max="14" width="8.140625" style="288" customWidth="1"/>
    <col min="15" max="15" width="9.5703125" style="288" customWidth="1"/>
    <col min="16" max="16" width="9.7109375" style="288" customWidth="1"/>
    <col min="17" max="17" width="9.42578125" style="288" customWidth="1"/>
    <col min="18" max="18" width="8.140625" style="288" customWidth="1"/>
    <col min="19" max="19" width="9.28515625" style="288" customWidth="1"/>
    <col min="20" max="26" width="8.140625" style="288" customWidth="1"/>
  </cols>
  <sheetData>
    <row r="3" spans="2:26">
      <c r="B3" s="396"/>
      <c r="C3" s="394">
        <v>43922</v>
      </c>
      <c r="D3" s="394"/>
      <c r="E3" s="394">
        <v>43952</v>
      </c>
      <c r="F3" s="394"/>
      <c r="G3" s="394">
        <v>43983</v>
      </c>
      <c r="H3" s="394"/>
      <c r="I3" s="394">
        <v>44013</v>
      </c>
      <c r="J3" s="394"/>
      <c r="K3" s="394">
        <v>44044</v>
      </c>
      <c r="L3" s="394"/>
      <c r="M3" s="394">
        <v>44075</v>
      </c>
      <c r="N3" s="394"/>
      <c r="O3" s="395">
        <v>44105</v>
      </c>
      <c r="P3" s="395"/>
      <c r="Q3" s="395">
        <v>44136</v>
      </c>
      <c r="R3" s="395"/>
      <c r="S3" s="395">
        <v>44166</v>
      </c>
      <c r="T3" s="395"/>
      <c r="U3" s="395">
        <v>44197</v>
      </c>
      <c r="V3" s="395"/>
      <c r="W3" s="393">
        <v>44228</v>
      </c>
      <c r="X3" s="393"/>
      <c r="Y3" s="393">
        <v>44256</v>
      </c>
      <c r="Z3" s="393"/>
    </row>
    <row r="4" spans="2:26">
      <c r="B4" s="396"/>
      <c r="C4" s="289" t="s">
        <v>57</v>
      </c>
      <c r="D4" s="289" t="s">
        <v>58</v>
      </c>
      <c r="E4" s="289" t="s">
        <v>57</v>
      </c>
      <c r="F4" s="289" t="s">
        <v>58</v>
      </c>
      <c r="G4" s="289" t="s">
        <v>57</v>
      </c>
      <c r="H4" s="289" t="s">
        <v>58</v>
      </c>
      <c r="I4" s="289" t="s">
        <v>57</v>
      </c>
      <c r="J4" s="289" t="s">
        <v>58</v>
      </c>
      <c r="K4" s="289" t="s">
        <v>57</v>
      </c>
      <c r="L4" s="289" t="s">
        <v>58</v>
      </c>
      <c r="M4" s="289" t="s">
        <v>57</v>
      </c>
      <c r="N4" s="289" t="s">
        <v>58</v>
      </c>
      <c r="O4" s="289" t="s">
        <v>57</v>
      </c>
      <c r="P4" s="289" t="s">
        <v>58</v>
      </c>
      <c r="Q4" s="289" t="s">
        <v>57</v>
      </c>
      <c r="R4" s="289" t="s">
        <v>58</v>
      </c>
      <c r="S4" s="289" t="s">
        <v>57</v>
      </c>
      <c r="T4" s="289" t="s">
        <v>58</v>
      </c>
      <c r="U4" s="289" t="s">
        <v>57</v>
      </c>
      <c r="V4" s="289" t="s">
        <v>58</v>
      </c>
      <c r="W4" s="289" t="s">
        <v>57</v>
      </c>
      <c r="X4" s="289" t="s">
        <v>58</v>
      </c>
      <c r="Y4" s="289" t="s">
        <v>57</v>
      </c>
      <c r="Z4" s="289" t="s">
        <v>58</v>
      </c>
    </row>
    <row r="5" spans="2:26">
      <c r="B5" s="11" t="s">
        <v>82</v>
      </c>
      <c r="C5" s="290" t="e">
        <f>#REF!+#REF!</f>
        <v>#REF!</v>
      </c>
      <c r="D5" s="290" t="e">
        <f>#REF!+#REF!</f>
        <v>#REF!</v>
      </c>
      <c r="E5" s="290" t="e">
        <f>#REF!+#REF!</f>
        <v>#REF!</v>
      </c>
      <c r="F5" s="290" t="e">
        <f>#REF!+#REF!</f>
        <v>#REF!</v>
      </c>
      <c r="G5" s="290" t="e">
        <f>#REF!+#REF!</f>
        <v>#REF!</v>
      </c>
      <c r="H5" s="290" t="e">
        <f>#REF!+#REF!</f>
        <v>#REF!</v>
      </c>
      <c r="I5" s="290" t="e">
        <f>#REF!+#REF!</f>
        <v>#REF!</v>
      </c>
      <c r="J5" s="290" t="e">
        <f>#REF!+#REF!</f>
        <v>#REF!</v>
      </c>
      <c r="K5" s="290" t="e">
        <f>#REF!+#REF!</f>
        <v>#REF!</v>
      </c>
      <c r="L5" s="290" t="e">
        <f>#REF!+#REF!</f>
        <v>#REF!</v>
      </c>
      <c r="M5" s="290" t="e">
        <f>#REF!+#REF!</f>
        <v>#REF!</v>
      </c>
      <c r="N5" s="290" t="e">
        <f>#REF!</f>
        <v>#REF!</v>
      </c>
      <c r="O5" s="290" t="e">
        <f>#REF!+#REF!-#REF!</f>
        <v>#REF!</v>
      </c>
      <c r="P5" s="290" t="e">
        <f>#REF!-#REF!</f>
        <v>#REF!</v>
      </c>
      <c r="Q5" s="290">
        <f>'Nov-20'!AR19+'Nov-20'!AR21</f>
        <v>179736.603</v>
      </c>
      <c r="R5" s="290">
        <f>+'Nov-20'!AR20+'Nov-20'!AR22+'Nov-20'!AR25</f>
        <v>42281.707999999999</v>
      </c>
      <c r="S5" s="290"/>
      <c r="T5" s="290"/>
      <c r="U5" s="290"/>
      <c r="V5" s="290"/>
      <c r="W5" s="290"/>
      <c r="X5" s="290"/>
      <c r="Y5" s="290"/>
      <c r="Z5" s="290"/>
    </row>
    <row r="6" spans="2:26" ht="27.75" customHeight="1">
      <c r="B6" s="17" t="s">
        <v>83</v>
      </c>
      <c r="C6" s="290">
        <v>157387</v>
      </c>
      <c r="D6" s="290"/>
      <c r="E6" s="290">
        <v>157387</v>
      </c>
      <c r="F6" s="290"/>
      <c r="G6" s="290">
        <v>157387</v>
      </c>
      <c r="H6" s="290"/>
      <c r="I6" s="290">
        <v>157387</v>
      </c>
      <c r="J6" s="290"/>
      <c r="K6" s="290">
        <v>157387</v>
      </c>
      <c r="L6" s="290"/>
      <c r="M6" s="290">
        <v>157387</v>
      </c>
      <c r="N6" s="290"/>
      <c r="O6" s="290">
        <v>157387</v>
      </c>
      <c r="P6" s="290"/>
      <c r="Q6" s="290">
        <v>157387</v>
      </c>
      <c r="R6" s="290"/>
      <c r="S6" s="290">
        <v>157387</v>
      </c>
      <c r="T6" s="290"/>
      <c r="U6" s="290">
        <v>157387</v>
      </c>
      <c r="V6" s="290"/>
      <c r="W6" s="290">
        <v>157387</v>
      </c>
      <c r="X6" s="290"/>
      <c r="Y6" s="290">
        <v>157387</v>
      </c>
      <c r="Z6" s="290"/>
    </row>
    <row r="7" spans="2:26" ht="30">
      <c r="B7" s="17" t="s">
        <v>84</v>
      </c>
      <c r="C7" s="290">
        <v>157387</v>
      </c>
      <c r="D7" s="290"/>
      <c r="E7" s="290">
        <v>157387</v>
      </c>
      <c r="F7" s="290"/>
      <c r="G7" s="290">
        <v>157387</v>
      </c>
      <c r="H7" s="290"/>
      <c r="I7" s="290">
        <v>157387</v>
      </c>
      <c r="J7" s="290"/>
      <c r="K7" s="290">
        <v>157387</v>
      </c>
      <c r="L7" s="290"/>
      <c r="M7" s="290">
        <v>157387</v>
      </c>
      <c r="N7" s="290"/>
      <c r="O7" s="290">
        <v>157387</v>
      </c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</row>
    <row r="8" spans="2:26" ht="30">
      <c r="B8" s="17" t="s">
        <v>86</v>
      </c>
      <c r="C8" s="291"/>
      <c r="D8" s="290">
        <v>17385</v>
      </c>
      <c r="E8" s="291"/>
      <c r="F8" s="290">
        <v>118589</v>
      </c>
      <c r="G8" s="290"/>
      <c r="H8" s="290">
        <v>41956</v>
      </c>
      <c r="I8" s="291"/>
      <c r="J8" s="290">
        <v>61427</v>
      </c>
      <c r="K8" s="291"/>
      <c r="L8" s="290">
        <v>52317</v>
      </c>
      <c r="M8" s="291"/>
      <c r="N8" s="290">
        <v>31618</v>
      </c>
      <c r="O8" s="291"/>
      <c r="P8" s="290">
        <v>126795</v>
      </c>
      <c r="Q8" s="291"/>
      <c r="R8" s="290">
        <v>50926</v>
      </c>
      <c r="S8" s="291"/>
      <c r="T8" s="290">
        <v>35929</v>
      </c>
      <c r="U8" s="291"/>
      <c r="V8" s="290">
        <v>17385</v>
      </c>
      <c r="W8" s="291"/>
      <c r="X8" s="290">
        <v>43370</v>
      </c>
      <c r="Y8" s="291"/>
      <c r="Z8" s="290">
        <v>17385</v>
      </c>
    </row>
    <row r="9" spans="2:26" ht="29.25" customHeight="1">
      <c r="B9" s="17" t="s">
        <v>85</v>
      </c>
      <c r="C9" s="291"/>
      <c r="D9" s="290">
        <v>31385</v>
      </c>
      <c r="E9" s="291"/>
      <c r="F9" s="290">
        <v>33589</v>
      </c>
      <c r="G9" s="290"/>
      <c r="H9" s="290">
        <v>21658</v>
      </c>
      <c r="I9" s="291"/>
      <c r="J9" s="290">
        <v>53069</v>
      </c>
      <c r="K9" s="291"/>
      <c r="L9" s="290">
        <v>52919</v>
      </c>
      <c r="M9" s="291"/>
      <c r="N9" s="290">
        <v>49120</v>
      </c>
      <c r="O9" s="291"/>
      <c r="P9" s="290">
        <v>58467</v>
      </c>
      <c r="Q9" s="291"/>
      <c r="R9" s="290">
        <v>32607</v>
      </c>
      <c r="S9" s="290"/>
      <c r="T9" s="290"/>
      <c r="U9" s="291"/>
      <c r="V9" s="290"/>
      <c r="W9" s="291"/>
      <c r="X9" s="290"/>
      <c r="Y9" s="291"/>
      <c r="Z9" s="290"/>
    </row>
  </sheetData>
  <mergeCells count="13">
    <mergeCell ref="K3:L3"/>
    <mergeCell ref="B3:B4"/>
    <mergeCell ref="C3:D3"/>
    <mergeCell ref="E3:F3"/>
    <mergeCell ref="G3:H3"/>
    <mergeCell ref="I3:J3"/>
    <mergeCell ref="Y3:Z3"/>
    <mergeCell ref="M3:N3"/>
    <mergeCell ref="O3:P3"/>
    <mergeCell ref="Q3:R3"/>
    <mergeCell ref="S3:T3"/>
    <mergeCell ref="U3:V3"/>
    <mergeCell ref="W3:X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5"/>
  <sheetViews>
    <sheetView zoomScale="95" zoomScaleNormal="95" workbookViewId="0">
      <pane xSplit="2" ySplit="4" topLeftCell="P49" activePane="bottomRight" state="frozen"/>
      <selection pane="topRight" activeCell="D1" sqref="D1"/>
      <selection pane="bottomLeft" activeCell="A5" sqref="A5"/>
      <selection pane="bottomRight" activeCell="K36" sqref="K36"/>
    </sheetView>
  </sheetViews>
  <sheetFormatPr defaultRowHeight="15"/>
  <cols>
    <col min="1" max="1" width="6" customWidth="1"/>
    <col min="2" max="2" width="29.28515625" customWidth="1"/>
    <col min="3" max="4" width="10" customWidth="1"/>
    <col min="5" max="5" width="11" customWidth="1"/>
    <col min="6" max="6" width="9.7109375" customWidth="1"/>
    <col min="7" max="7" width="10.140625" customWidth="1"/>
    <col min="8" max="8" width="10.42578125" customWidth="1"/>
    <col min="9" max="9" width="9.85546875" customWidth="1"/>
    <col min="10" max="10" width="9.7109375" customWidth="1"/>
    <col min="11" max="11" width="9.140625" customWidth="1"/>
    <col min="12" max="12" width="10.140625" customWidth="1"/>
    <col min="13" max="13" width="10.28515625" customWidth="1"/>
    <col min="14" max="14" width="9.85546875" customWidth="1"/>
    <col min="15" max="15" width="9.42578125" customWidth="1"/>
    <col min="16" max="16" width="9.5703125" customWidth="1"/>
    <col min="19" max="19" width="16.28515625" customWidth="1"/>
  </cols>
  <sheetData>
    <row r="1" spans="2:31" ht="25.5" customHeight="1">
      <c r="E1" s="397" t="s">
        <v>59</v>
      </c>
      <c r="F1" s="397"/>
      <c r="G1" s="397"/>
      <c r="H1" s="397"/>
      <c r="I1" s="397"/>
      <c r="J1" s="397"/>
      <c r="K1" s="397"/>
      <c r="L1" s="397"/>
      <c r="M1" s="397"/>
      <c r="N1" s="397"/>
      <c r="O1" s="397"/>
    </row>
    <row r="3" spans="2:31" ht="21.75" hidden="1" customHeight="1">
      <c r="B3" s="240" t="s">
        <v>60</v>
      </c>
      <c r="C3" s="240"/>
      <c r="D3" s="240"/>
      <c r="E3" s="240">
        <v>43191</v>
      </c>
      <c r="F3" s="240">
        <v>43221</v>
      </c>
      <c r="G3" s="240">
        <v>43252</v>
      </c>
      <c r="H3" s="240">
        <v>43282</v>
      </c>
      <c r="I3" s="240">
        <v>43313</v>
      </c>
      <c r="J3" s="240">
        <v>43344</v>
      </c>
      <c r="K3" s="240">
        <v>43374</v>
      </c>
      <c r="L3" s="240">
        <v>43405</v>
      </c>
      <c r="M3" s="240">
        <v>43435</v>
      </c>
      <c r="N3" s="240">
        <v>43466</v>
      </c>
      <c r="O3" s="240">
        <v>43497</v>
      </c>
      <c r="P3" s="240">
        <v>43525</v>
      </c>
    </row>
    <row r="4" spans="2:31" ht="22.5" hidden="1" customHeight="1">
      <c r="B4" s="241" t="s">
        <v>61</v>
      </c>
      <c r="C4" s="241"/>
      <c r="D4" s="241"/>
      <c r="E4" s="242">
        <f>'[1]Import fee'!H4</f>
        <v>22344.785</v>
      </c>
      <c r="F4" s="242">
        <f>'[1]Import fee'!H10</f>
        <v>22993.603999999999</v>
      </c>
      <c r="G4" s="242">
        <f>'[1]Import fee'!H16-17110</f>
        <v>32494.947</v>
      </c>
      <c r="H4" s="242">
        <f>'[1]Import fee'!H23</f>
        <v>52053.45</v>
      </c>
      <c r="I4" s="242">
        <v>34105.304000000004</v>
      </c>
      <c r="J4" s="242">
        <v>154924.65</v>
      </c>
      <c r="K4" s="242">
        <v>20575.364999999998</v>
      </c>
      <c r="L4" s="243">
        <v>17218.41</v>
      </c>
      <c r="M4" s="242">
        <v>22349.776000000002</v>
      </c>
      <c r="N4" s="242">
        <v>25771.756000000001</v>
      </c>
      <c r="O4" s="242"/>
      <c r="P4" s="242"/>
    </row>
    <row r="5" spans="2:31" ht="22.5" hidden="1" customHeight="1">
      <c r="B5" s="241" t="s">
        <v>62</v>
      </c>
      <c r="C5" s="241"/>
      <c r="D5" s="241"/>
      <c r="E5" s="242">
        <f>'[1]Import fee'!H5</f>
        <v>0</v>
      </c>
      <c r="F5" s="242">
        <f>'[1]Import fee'!H11</f>
        <v>0</v>
      </c>
      <c r="G5" s="242">
        <f>'[1]Import fee'!H17</f>
        <v>9248.357</v>
      </c>
      <c r="H5" s="242">
        <f>'[1]Import fee'!H24</f>
        <v>39547.196000000004</v>
      </c>
      <c r="I5" s="242">
        <v>466.20000000000073</v>
      </c>
      <c r="J5" s="244"/>
      <c r="K5" s="242">
        <v>8635.5619999999999</v>
      </c>
      <c r="L5" s="243">
        <v>10026.816999999999</v>
      </c>
      <c r="M5" s="242">
        <v>15806.440999999999</v>
      </c>
      <c r="N5" s="242">
        <v>31789.166000000001</v>
      </c>
      <c r="O5" s="242"/>
      <c r="P5" s="242"/>
    </row>
    <row r="6" spans="2:31" ht="22.5" hidden="1" customHeight="1">
      <c r="B6" s="241" t="s">
        <v>52</v>
      </c>
      <c r="C6" s="241"/>
      <c r="D6" s="241"/>
      <c r="E6" s="242">
        <f>'[1]Import fee'!H6</f>
        <v>142487.96399999998</v>
      </c>
      <c r="F6" s="242">
        <f>'[1]Import fee'!H12</f>
        <v>79219.148000000001</v>
      </c>
      <c r="G6" s="242">
        <f>'[1]Import fee'!H18</f>
        <v>204990.42300000001</v>
      </c>
      <c r="H6" s="242">
        <f>'[1]Import fee'!H25</f>
        <v>181879.18</v>
      </c>
      <c r="I6" s="242">
        <v>133693.40400000001</v>
      </c>
      <c r="J6" s="242">
        <v>19583.595000000001</v>
      </c>
      <c r="K6" s="242">
        <v>94807.956999999995</v>
      </c>
      <c r="L6" s="243">
        <v>78987.620999999999</v>
      </c>
      <c r="M6" s="242">
        <v>63205.262000000002</v>
      </c>
      <c r="N6" s="242">
        <v>111108.823</v>
      </c>
      <c r="O6" s="242"/>
      <c r="P6" s="242"/>
    </row>
    <row r="7" spans="2:31" ht="22.5" hidden="1" customHeight="1">
      <c r="B7" s="241" t="s">
        <v>30</v>
      </c>
      <c r="C7" s="241"/>
      <c r="D7" s="241"/>
      <c r="E7" s="242"/>
      <c r="F7" s="242"/>
      <c r="G7" s="242"/>
      <c r="H7" s="242"/>
      <c r="I7" s="242"/>
      <c r="J7" s="242"/>
      <c r="K7" s="242"/>
      <c r="L7" s="245">
        <v>250</v>
      </c>
      <c r="M7" s="244"/>
      <c r="N7" s="242">
        <v>250</v>
      </c>
      <c r="O7" s="242"/>
      <c r="P7" s="242"/>
    </row>
    <row r="8" spans="2:31" ht="22.5" hidden="1" customHeight="1">
      <c r="B8" s="241" t="s">
        <v>39</v>
      </c>
      <c r="C8" s="241"/>
      <c r="D8" s="241"/>
      <c r="E8" s="242"/>
      <c r="F8" s="242"/>
      <c r="G8" s="242"/>
      <c r="H8" s="242">
        <f>'[1]Import fee'!H26</f>
        <v>11401</v>
      </c>
      <c r="I8" s="242"/>
      <c r="J8" s="244"/>
      <c r="K8" s="244"/>
      <c r="L8" s="242"/>
      <c r="M8" s="244"/>
      <c r="N8" s="244"/>
      <c r="O8" s="242"/>
      <c r="P8" s="242"/>
    </row>
    <row r="9" spans="2:31" ht="22.5" hidden="1" customHeight="1">
      <c r="B9" s="241" t="s">
        <v>42</v>
      </c>
      <c r="C9" s="241"/>
      <c r="D9" s="241"/>
      <c r="E9" s="242"/>
      <c r="F9" s="242"/>
      <c r="G9" s="242"/>
      <c r="H9" s="242"/>
      <c r="I9" s="242"/>
      <c r="J9" s="242">
        <v>15148.168</v>
      </c>
      <c r="K9" s="242">
        <v>68970.823000000004</v>
      </c>
      <c r="L9" s="246">
        <v>6592.4779999999992</v>
      </c>
      <c r="M9" s="242">
        <v>18303.607</v>
      </c>
      <c r="N9" s="242">
        <v>4785.5079999999998</v>
      </c>
      <c r="O9" s="242"/>
      <c r="P9" s="242"/>
    </row>
    <row r="10" spans="2:31" ht="22.5" hidden="1" customHeight="1">
      <c r="B10" s="247" t="s">
        <v>63</v>
      </c>
      <c r="C10" s="247"/>
      <c r="D10" s="247"/>
      <c r="E10" s="248"/>
      <c r="F10" s="248"/>
      <c r="G10" s="248">
        <f>17110-G11</f>
        <v>6941.1229999999996</v>
      </c>
      <c r="H10" s="248">
        <f>77201.782-H11</f>
        <v>24491.848000000005</v>
      </c>
      <c r="I10" s="248">
        <f>47283.601-I11</f>
        <v>12993.701000000001</v>
      </c>
      <c r="J10" s="248">
        <f>23058.132-J11</f>
        <v>12169.257000000001</v>
      </c>
      <c r="K10" s="248">
        <f>73643.452-K11</f>
        <v>17540.409000000007</v>
      </c>
      <c r="L10" s="249">
        <f>42060.956-L11</f>
        <v>21441.26</v>
      </c>
      <c r="M10" s="248">
        <f>113579.147-M11</f>
        <v>15742.328999999998</v>
      </c>
      <c r="N10" s="248">
        <v>30594.802</v>
      </c>
      <c r="O10" s="248"/>
      <c r="P10" s="248"/>
    </row>
    <row r="11" spans="2:31" ht="22.5" hidden="1" customHeight="1">
      <c r="B11" s="241" t="s">
        <v>49</v>
      </c>
      <c r="C11" s="241"/>
      <c r="D11" s="241"/>
      <c r="E11" s="242"/>
      <c r="F11" s="242"/>
      <c r="G11" s="242">
        <v>10168.877</v>
      </c>
      <c r="H11" s="242">
        <v>52709.934000000001</v>
      </c>
      <c r="I11" s="242">
        <v>34289.9</v>
      </c>
      <c r="J11" s="242">
        <v>10888.875</v>
      </c>
      <c r="K11" s="242">
        <v>56103.042999999998</v>
      </c>
      <c r="L11" s="250">
        <v>20619.696</v>
      </c>
      <c r="M11" s="242">
        <v>97836.817999999999</v>
      </c>
      <c r="N11" s="242">
        <v>28515.898000000001</v>
      </c>
      <c r="O11" s="242"/>
      <c r="P11" s="242"/>
    </row>
    <row r="12" spans="2:31" ht="54.75" hidden="1" customHeight="1">
      <c r="B12" s="239" t="s">
        <v>64</v>
      </c>
      <c r="C12" s="286"/>
      <c r="D12" s="286"/>
      <c r="E12" s="242">
        <f>'[1]Import fee'!H7</f>
        <v>164832.74899999998</v>
      </c>
      <c r="F12" s="242">
        <f>'[1]Import fee'!H13</f>
        <v>102212.75200000001</v>
      </c>
      <c r="G12" s="242">
        <f>SUM(G4:G11)</f>
        <v>263843.72700000001</v>
      </c>
      <c r="H12" s="242">
        <f t="shared" ref="H12:P12" si="0">SUM(H4:H11)</f>
        <v>362082.60800000001</v>
      </c>
      <c r="I12" s="242">
        <f t="shared" si="0"/>
        <v>215548.50899999999</v>
      </c>
      <c r="J12" s="242">
        <f t="shared" si="0"/>
        <v>212714.54500000001</v>
      </c>
      <c r="K12" s="242">
        <f t="shared" si="0"/>
        <v>266633.15899999999</v>
      </c>
      <c r="L12" s="242">
        <f t="shared" si="0"/>
        <v>155136.28200000001</v>
      </c>
      <c r="M12" s="242">
        <f t="shared" si="0"/>
        <v>233244.23300000001</v>
      </c>
      <c r="N12" s="242">
        <f>SUM(N4:N11)</f>
        <v>232815.95299999998</v>
      </c>
      <c r="O12" s="242">
        <f t="shared" si="0"/>
        <v>0</v>
      </c>
      <c r="P12" s="242">
        <f t="shared" si="0"/>
        <v>0</v>
      </c>
    </row>
    <row r="13" spans="2:31" ht="15.75">
      <c r="B13" s="251" t="s">
        <v>65</v>
      </c>
      <c r="C13" s="293"/>
      <c r="D13" s="293"/>
    </row>
    <row r="14" spans="2:31" ht="21.75" customHeight="1">
      <c r="B14" s="252"/>
      <c r="C14" s="253">
        <v>43862</v>
      </c>
      <c r="D14" s="253">
        <v>43891</v>
      </c>
      <c r="E14" s="253">
        <v>43922</v>
      </c>
      <c r="F14" s="253">
        <v>43952</v>
      </c>
      <c r="G14" s="253">
        <v>43983</v>
      </c>
      <c r="H14" s="253">
        <v>44013</v>
      </c>
      <c r="I14" s="253">
        <v>44044</v>
      </c>
      <c r="J14" s="253">
        <v>44075</v>
      </c>
      <c r="K14" s="253">
        <v>44105</v>
      </c>
      <c r="L14" s="253">
        <v>44136</v>
      </c>
      <c r="M14" s="253">
        <v>44166</v>
      </c>
      <c r="N14" s="253">
        <v>44197</v>
      </c>
      <c r="O14" s="253">
        <v>44228</v>
      </c>
      <c r="P14" s="253">
        <v>44256</v>
      </c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</row>
    <row r="15" spans="2:31" ht="22.5" customHeight="1">
      <c r="B15" s="241" t="s">
        <v>61</v>
      </c>
      <c r="C15" s="294">
        <v>9463.5650000000005</v>
      </c>
      <c r="D15" s="292">
        <v>8341.2199999999993</v>
      </c>
      <c r="E15" s="208" t="e">
        <f>#REF!</f>
        <v>#REF!</v>
      </c>
      <c r="F15" s="242" t="e">
        <f>#REF!</f>
        <v>#REF!</v>
      </c>
      <c r="G15" s="242" t="e">
        <f>#REF!</f>
        <v>#REF!</v>
      </c>
      <c r="H15" s="242" t="e">
        <f>#REF!</f>
        <v>#REF!</v>
      </c>
      <c r="I15" s="242" t="e">
        <f>#REF!</f>
        <v>#REF!</v>
      </c>
      <c r="J15" s="242" t="e">
        <f>#REF!</f>
        <v>#REF!</v>
      </c>
      <c r="K15" s="242" t="e">
        <f>#REF!</f>
        <v>#REF!</v>
      </c>
      <c r="L15" s="243"/>
      <c r="M15" s="242"/>
      <c r="N15" s="242"/>
      <c r="O15" s="242"/>
      <c r="P15" s="242"/>
      <c r="S15" s="255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2:31" ht="22.5" customHeight="1">
      <c r="B16" s="241" t="s">
        <v>62</v>
      </c>
      <c r="C16" s="295"/>
      <c r="D16" s="241"/>
      <c r="E16" s="242" t="e">
        <f>#REF!</f>
        <v>#REF!</v>
      </c>
      <c r="F16" s="242"/>
      <c r="G16" s="242"/>
      <c r="H16" s="242"/>
      <c r="I16" s="242" t="e">
        <f>#REF!</f>
        <v>#REF!</v>
      </c>
      <c r="J16" s="244" t="e">
        <f>#REF!</f>
        <v>#REF!</v>
      </c>
      <c r="K16" s="242" t="e">
        <f>#REF!</f>
        <v>#REF!</v>
      </c>
      <c r="L16" s="243"/>
      <c r="M16" s="242"/>
      <c r="N16" s="256"/>
      <c r="O16" s="242"/>
      <c r="P16" s="242"/>
      <c r="S16" s="255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</row>
    <row r="17" spans="2:31" ht="22.5" customHeight="1">
      <c r="B17" s="241" t="s">
        <v>52</v>
      </c>
      <c r="C17" s="295">
        <v>52816.266000000003</v>
      </c>
      <c r="D17" s="241">
        <v>31831.041000000001</v>
      </c>
      <c r="E17" s="242" t="e">
        <f>#REF!</f>
        <v>#REF!</v>
      </c>
      <c r="F17" s="242" t="e">
        <f>#REF!</f>
        <v>#REF!</v>
      </c>
      <c r="G17" s="242" t="e">
        <f>#REF!</f>
        <v>#REF!</v>
      </c>
      <c r="H17" s="242" t="e">
        <f>#REF!</f>
        <v>#REF!</v>
      </c>
      <c r="I17" s="242" t="e">
        <f>#REF!</f>
        <v>#REF!</v>
      </c>
      <c r="J17" s="242" t="e">
        <f>#REF!</f>
        <v>#REF!</v>
      </c>
      <c r="K17" s="242"/>
      <c r="L17" s="243"/>
      <c r="M17" s="242"/>
      <c r="N17" s="242"/>
      <c r="O17" s="242"/>
      <c r="P17" s="242"/>
      <c r="S17" s="255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</row>
    <row r="18" spans="2:31" ht="22.5" customHeight="1">
      <c r="B18" s="241" t="s">
        <v>30</v>
      </c>
      <c r="C18" s="295"/>
      <c r="D18" s="241"/>
      <c r="E18" s="242"/>
      <c r="F18" s="242"/>
      <c r="G18" s="242"/>
      <c r="H18" s="242"/>
      <c r="I18" s="242"/>
      <c r="J18" s="242"/>
      <c r="K18" s="242"/>
      <c r="L18" s="245"/>
      <c r="M18" s="244"/>
      <c r="N18" s="242"/>
      <c r="O18" s="242"/>
      <c r="P18" s="242"/>
      <c r="S18" s="255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</row>
    <row r="19" spans="2:31" ht="22.5" customHeight="1">
      <c r="B19" s="241" t="s">
        <v>39</v>
      </c>
      <c r="C19" s="295"/>
      <c r="D19" s="241"/>
      <c r="E19" s="242"/>
      <c r="F19" s="242"/>
      <c r="G19" s="242"/>
      <c r="H19" s="242"/>
      <c r="I19" s="242"/>
      <c r="J19" s="244"/>
      <c r="K19" s="244"/>
      <c r="L19" s="242"/>
      <c r="M19" s="244"/>
      <c r="N19" s="244"/>
      <c r="O19" s="242"/>
      <c r="P19" s="242"/>
      <c r="S19" s="255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</row>
    <row r="20" spans="2:31" ht="22.5" customHeight="1">
      <c r="B20" s="241" t="s">
        <v>42</v>
      </c>
      <c r="C20" s="295"/>
      <c r="D20" s="241">
        <v>5517.7910000000002</v>
      </c>
      <c r="E20" s="242" t="e">
        <f>#REF!</f>
        <v>#REF!</v>
      </c>
      <c r="F20" s="242" t="e">
        <f>#REF!</f>
        <v>#REF!</v>
      </c>
      <c r="G20" s="242" t="e">
        <f>#REF!</f>
        <v>#REF!</v>
      </c>
      <c r="H20" s="242"/>
      <c r="I20" s="242"/>
      <c r="J20" s="242" t="e">
        <f>#REF!</f>
        <v>#REF!</v>
      </c>
      <c r="K20" s="242" t="e">
        <f>#REF!</f>
        <v>#REF!</v>
      </c>
      <c r="L20" s="246"/>
      <c r="M20" s="242"/>
      <c r="N20" s="242"/>
      <c r="O20" s="242"/>
      <c r="P20" s="242"/>
      <c r="S20" s="255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</row>
    <row r="21" spans="2:31" ht="22.5" customHeight="1">
      <c r="B21" s="241" t="s">
        <v>63</v>
      </c>
      <c r="C21" s="295">
        <v>34349.195</v>
      </c>
      <c r="D21" s="241">
        <v>19278.776999999998</v>
      </c>
      <c r="E21" s="242" t="e">
        <f>#REF!</f>
        <v>#REF!</v>
      </c>
      <c r="F21" s="242" t="e">
        <f>#REF!</f>
        <v>#REF!</v>
      </c>
      <c r="G21" s="242" t="e">
        <f>#REF!</f>
        <v>#REF!</v>
      </c>
      <c r="H21" s="242" t="e">
        <f>#REF!</f>
        <v>#REF!</v>
      </c>
      <c r="I21" s="242" t="e">
        <f>#REF!</f>
        <v>#REF!</v>
      </c>
      <c r="J21" s="242" t="e">
        <f>#REF!</f>
        <v>#REF!</v>
      </c>
      <c r="K21" s="242" t="e">
        <f>#REF!</f>
        <v>#REF!</v>
      </c>
      <c r="L21" s="250"/>
      <c r="M21" s="242"/>
      <c r="N21" s="242"/>
      <c r="O21" s="242"/>
      <c r="P21" s="242"/>
      <c r="S21" s="255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</row>
    <row r="22" spans="2:31" ht="22.5" customHeight="1">
      <c r="B22" s="241" t="s">
        <v>49</v>
      </c>
      <c r="C22" s="295">
        <v>24112.226999999999</v>
      </c>
      <c r="D22" s="241">
        <v>15799.207</v>
      </c>
      <c r="E22" s="242" t="e">
        <f>#REF!</f>
        <v>#REF!</v>
      </c>
      <c r="F22" s="242" t="e">
        <f>#REF!</f>
        <v>#REF!</v>
      </c>
      <c r="G22" s="242" t="e">
        <f>#REF!</f>
        <v>#REF!</v>
      </c>
      <c r="H22" s="242" t="e">
        <f>#REF!</f>
        <v>#REF!</v>
      </c>
      <c r="I22" s="242" t="e">
        <f>#REF!</f>
        <v>#REF!</v>
      </c>
      <c r="J22" s="242" t="e">
        <f>#REF!</f>
        <v>#REF!</v>
      </c>
      <c r="K22" s="242" t="e">
        <f>#REF!</f>
        <v>#REF!</v>
      </c>
      <c r="L22" s="250"/>
      <c r="M22" s="242"/>
      <c r="N22" s="242"/>
      <c r="O22" s="242"/>
      <c r="P22" s="242"/>
      <c r="S22" s="255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</row>
    <row r="23" spans="2:31" ht="54.75" customHeight="1">
      <c r="B23" s="239" t="s">
        <v>64</v>
      </c>
      <c r="C23" s="296">
        <f>SUM(C15:C21)</f>
        <v>96629.026000000013</v>
      </c>
      <c r="D23" s="242">
        <f>SUM(D15:D21)</f>
        <v>64968.828999999998</v>
      </c>
      <c r="E23" s="242" t="e">
        <f>SUM(E15:E21)</f>
        <v>#REF!</v>
      </c>
      <c r="F23" s="242" t="e">
        <f>SUM(F15:F21)</f>
        <v>#REF!</v>
      </c>
      <c r="G23" s="242" t="e">
        <f t="shared" ref="G23:P23" si="1">SUM(G15:G21)</f>
        <v>#REF!</v>
      </c>
      <c r="H23" s="242" t="e">
        <f t="shared" si="1"/>
        <v>#REF!</v>
      </c>
      <c r="I23" s="242" t="e">
        <f t="shared" si="1"/>
        <v>#REF!</v>
      </c>
      <c r="J23" s="242" t="e">
        <f t="shared" si="1"/>
        <v>#REF!</v>
      </c>
      <c r="K23" s="242" t="e">
        <f t="shared" si="1"/>
        <v>#REF!</v>
      </c>
      <c r="L23" s="242">
        <f t="shared" si="1"/>
        <v>0</v>
      </c>
      <c r="M23" s="242">
        <f t="shared" si="1"/>
        <v>0</v>
      </c>
      <c r="N23" s="242">
        <f t="shared" si="1"/>
        <v>0</v>
      </c>
      <c r="O23" s="242">
        <f t="shared" si="1"/>
        <v>0</v>
      </c>
      <c r="P23" s="242">
        <f t="shared" si="1"/>
        <v>0</v>
      </c>
      <c r="S23" s="257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</row>
    <row r="24" spans="2:31" ht="26.25" customHeight="1">
      <c r="B24" s="258"/>
      <c r="C24" s="258"/>
      <c r="D24" s="258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</row>
    <row r="25" spans="2:31" ht="26.25" customHeight="1">
      <c r="B25" s="258"/>
      <c r="C25" s="258"/>
      <c r="D25" s="258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</row>
    <row r="26" spans="2:31" ht="23.25" customHeight="1">
      <c r="B26" s="251" t="s">
        <v>66</v>
      </c>
      <c r="C26" s="293"/>
      <c r="D26" s="293"/>
    </row>
    <row r="27" spans="2:31" ht="21.75" customHeight="1">
      <c r="B27" s="260"/>
      <c r="C27" s="261">
        <v>43862</v>
      </c>
      <c r="D27" s="261">
        <v>43891</v>
      </c>
      <c r="E27" s="261">
        <v>43922</v>
      </c>
      <c r="F27" s="261">
        <v>43952</v>
      </c>
      <c r="G27" s="261">
        <v>43983</v>
      </c>
      <c r="H27" s="261">
        <v>44013</v>
      </c>
      <c r="I27" s="261">
        <v>44044</v>
      </c>
      <c r="J27" s="261">
        <v>44075</v>
      </c>
      <c r="K27" s="261">
        <v>44105</v>
      </c>
      <c r="L27" s="261">
        <v>44136</v>
      </c>
      <c r="M27" s="261">
        <v>44166</v>
      </c>
      <c r="N27" s="261">
        <v>44197</v>
      </c>
      <c r="O27" s="261">
        <v>44228</v>
      </c>
      <c r="P27" s="261">
        <v>44256</v>
      </c>
    </row>
    <row r="28" spans="2:31" ht="22.5" customHeight="1">
      <c r="B28" s="241" t="s">
        <v>61</v>
      </c>
      <c r="C28" s="295">
        <v>2230</v>
      </c>
      <c r="D28" s="295">
        <v>1300</v>
      </c>
      <c r="E28" s="242" t="e">
        <f>#REF!</f>
        <v>#REF!</v>
      </c>
      <c r="F28" s="242" t="e">
        <f>#REF!</f>
        <v>#REF!</v>
      </c>
      <c r="G28" s="242" t="e">
        <f>#REF!</f>
        <v>#REF!</v>
      </c>
      <c r="H28" s="242" t="e">
        <f>#REF!</f>
        <v>#REF!</v>
      </c>
      <c r="I28" s="242" t="e">
        <f>#REF!</f>
        <v>#REF!</v>
      </c>
      <c r="J28" s="242" t="e">
        <f>#REF!</f>
        <v>#REF!</v>
      </c>
      <c r="K28" s="242" t="e">
        <f>#REF!</f>
        <v>#REF!</v>
      </c>
      <c r="L28" s="243"/>
      <c r="M28" s="242"/>
      <c r="N28" s="242"/>
      <c r="O28" s="242"/>
      <c r="P28" s="242"/>
    </row>
    <row r="29" spans="2:31" ht="22.5" customHeight="1">
      <c r="B29" s="241" t="s">
        <v>62</v>
      </c>
      <c r="C29" s="295"/>
      <c r="D29" s="295"/>
      <c r="E29" s="242" t="e">
        <f>#REF!</f>
        <v>#REF!</v>
      </c>
      <c r="F29" s="242"/>
      <c r="G29" s="242"/>
      <c r="H29" s="242"/>
      <c r="I29" s="242"/>
      <c r="J29" s="244" t="e">
        <f>#REF!</f>
        <v>#REF!</v>
      </c>
      <c r="K29" s="242"/>
      <c r="L29" s="243"/>
      <c r="M29" s="242"/>
      <c r="N29" s="242"/>
      <c r="O29" s="242"/>
      <c r="P29" s="242"/>
    </row>
    <row r="30" spans="2:31" ht="22.5" customHeight="1">
      <c r="B30" s="241" t="s">
        <v>52</v>
      </c>
      <c r="C30" s="295">
        <v>0</v>
      </c>
      <c r="D30" s="295">
        <v>5291.5959999999995</v>
      </c>
      <c r="E30" s="242" t="e">
        <f>#REF!</f>
        <v>#REF!</v>
      </c>
      <c r="F30" s="242" t="e">
        <f>#REF!</f>
        <v>#REF!</v>
      </c>
      <c r="G30" s="242"/>
      <c r="H30" s="242" t="e">
        <f>#REF!</f>
        <v>#REF!</v>
      </c>
      <c r="I30" s="262"/>
      <c r="J30" s="242" t="e">
        <f>#REF!</f>
        <v>#REF!</v>
      </c>
      <c r="K30" s="242"/>
      <c r="L30" s="243"/>
      <c r="M30" s="242"/>
      <c r="N30" s="242"/>
      <c r="O30" s="242"/>
      <c r="P30" s="242"/>
    </row>
    <row r="31" spans="2:31" ht="22.5" customHeight="1">
      <c r="B31" s="241" t="s">
        <v>30</v>
      </c>
      <c r="C31" s="295"/>
      <c r="D31" s="295"/>
      <c r="E31" s="242"/>
      <c r="F31" s="242"/>
      <c r="G31" s="242"/>
      <c r="H31" s="242"/>
      <c r="I31" s="242"/>
      <c r="J31" s="242"/>
      <c r="K31" s="242"/>
      <c r="L31" s="245"/>
      <c r="M31" s="242"/>
      <c r="N31" s="242"/>
      <c r="O31" s="242"/>
      <c r="P31" s="242"/>
    </row>
    <row r="32" spans="2:31" ht="22.5" customHeight="1">
      <c r="B32" s="241" t="s">
        <v>39</v>
      </c>
      <c r="C32" s="295"/>
      <c r="D32" s="295"/>
      <c r="E32" s="242"/>
      <c r="F32" s="242"/>
      <c r="G32" s="242"/>
      <c r="H32" s="242"/>
      <c r="I32" s="242"/>
      <c r="J32" s="244"/>
      <c r="K32" s="244"/>
      <c r="L32" s="242"/>
      <c r="M32" s="244"/>
      <c r="N32" s="244"/>
      <c r="O32" s="242"/>
      <c r="P32" s="242"/>
    </row>
    <row r="33" spans="2:17" ht="22.5" customHeight="1">
      <c r="B33" s="241" t="s">
        <v>42</v>
      </c>
      <c r="C33" s="295">
        <v>8418.9</v>
      </c>
      <c r="D33" s="295"/>
      <c r="E33" s="242"/>
      <c r="F33" s="242" t="e">
        <f>#REF!</f>
        <v>#REF!</v>
      </c>
      <c r="G33" s="242"/>
      <c r="H33" s="242"/>
      <c r="I33" s="242"/>
      <c r="J33" s="242"/>
      <c r="K33" s="242"/>
      <c r="L33" s="246"/>
      <c r="M33" s="242"/>
      <c r="N33" s="242"/>
      <c r="O33" s="242"/>
      <c r="P33" s="242"/>
    </row>
    <row r="34" spans="2:17" ht="22.5" customHeight="1">
      <c r="B34" s="241" t="s">
        <v>63</v>
      </c>
      <c r="C34" s="295">
        <v>845.95100000000002</v>
      </c>
      <c r="D34" s="295">
        <v>271.29500000000002</v>
      </c>
      <c r="E34" s="242" t="e">
        <f>#REF!</f>
        <v>#REF!</v>
      </c>
      <c r="F34" s="242" t="e">
        <f>#REF!</f>
        <v>#REF!</v>
      </c>
      <c r="G34" s="242" t="e">
        <f>#REF!</f>
        <v>#REF!</v>
      </c>
      <c r="H34" s="242" t="e">
        <f>#REF!</f>
        <v>#REF!</v>
      </c>
      <c r="I34" s="242" t="e">
        <f>#REF!</f>
        <v>#REF!</v>
      </c>
      <c r="J34" s="242" t="e">
        <f>#REF!</f>
        <v>#REF!</v>
      </c>
      <c r="K34" s="242" t="e">
        <f>#REF!</f>
        <v>#REF!</v>
      </c>
      <c r="L34" s="250"/>
      <c r="M34" s="164"/>
      <c r="N34" s="242"/>
      <c r="O34" s="242"/>
      <c r="P34" s="242"/>
    </row>
    <row r="35" spans="2:17" ht="22.5" customHeight="1">
      <c r="B35" s="241" t="s">
        <v>49</v>
      </c>
      <c r="C35" s="295">
        <v>2426.0680000000002</v>
      </c>
      <c r="D35" s="295">
        <v>531.53099999999995</v>
      </c>
      <c r="E35" s="242" t="e">
        <f>#REF!</f>
        <v>#REF!</v>
      </c>
      <c r="F35" s="242" t="e">
        <f>#REF!</f>
        <v>#REF!</v>
      </c>
      <c r="G35" s="242" t="e">
        <f>#REF!</f>
        <v>#REF!</v>
      </c>
      <c r="H35" s="242" t="e">
        <f>#REF!</f>
        <v>#REF!</v>
      </c>
      <c r="I35" s="242" t="e">
        <f>#REF!</f>
        <v>#REF!</v>
      </c>
      <c r="J35" s="242" t="e">
        <f>#REF!</f>
        <v>#REF!</v>
      </c>
      <c r="K35" s="242" t="e">
        <f>#REF!</f>
        <v>#REF!</v>
      </c>
      <c r="L35" s="250"/>
      <c r="M35" s="242"/>
      <c r="N35" s="242"/>
      <c r="O35" s="242"/>
      <c r="P35" s="242"/>
    </row>
    <row r="36" spans="2:17" ht="54.75" customHeight="1">
      <c r="B36" s="239" t="s">
        <v>64</v>
      </c>
      <c r="C36" s="296">
        <f>SUM(C28:C34)</f>
        <v>11494.850999999999</v>
      </c>
      <c r="D36" s="296">
        <f>SUM(D28:D34)</f>
        <v>6862.8909999999996</v>
      </c>
      <c r="E36" s="242" t="e">
        <f>SUM(E28:E34)</f>
        <v>#REF!</v>
      </c>
      <c r="F36" s="242" t="e">
        <f t="shared" ref="F36:P36" si="2">SUM(F28:F34)</f>
        <v>#REF!</v>
      </c>
      <c r="G36" s="242" t="e">
        <f t="shared" si="2"/>
        <v>#REF!</v>
      </c>
      <c r="H36" s="242" t="e">
        <f t="shared" si="2"/>
        <v>#REF!</v>
      </c>
      <c r="I36" s="242" t="e">
        <f t="shared" si="2"/>
        <v>#REF!</v>
      </c>
      <c r="J36" s="242" t="e">
        <f t="shared" si="2"/>
        <v>#REF!</v>
      </c>
      <c r="K36" s="242" t="e">
        <f t="shared" si="2"/>
        <v>#REF!</v>
      </c>
      <c r="L36" s="242">
        <f t="shared" si="2"/>
        <v>0</v>
      </c>
      <c r="M36" s="242">
        <f t="shared" si="2"/>
        <v>0</v>
      </c>
      <c r="N36" s="242">
        <f t="shared" si="2"/>
        <v>0</v>
      </c>
      <c r="O36" s="242">
        <f t="shared" si="2"/>
        <v>0</v>
      </c>
      <c r="P36" s="242">
        <f t="shared" si="2"/>
        <v>0</v>
      </c>
    </row>
    <row r="37" spans="2:17" ht="18.75" customHeight="1">
      <c r="B37" s="258"/>
      <c r="C37" s="258"/>
      <c r="D37" s="258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164"/>
    </row>
    <row r="38" spans="2:17" ht="29.25" customHeight="1">
      <c r="B38" s="263" t="s">
        <v>67</v>
      </c>
      <c r="C38" s="263"/>
      <c r="D38" s="263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164"/>
    </row>
    <row r="39" spans="2:17" ht="18.75" customHeight="1">
      <c r="B39" s="239"/>
      <c r="C39" s="264">
        <v>43862</v>
      </c>
      <c r="D39" s="264">
        <v>43891</v>
      </c>
      <c r="E39" s="264">
        <v>43922</v>
      </c>
      <c r="F39" s="264">
        <v>43952</v>
      </c>
      <c r="G39" s="264">
        <v>43983</v>
      </c>
      <c r="H39" s="264">
        <v>44013</v>
      </c>
      <c r="I39" s="264">
        <v>44044</v>
      </c>
      <c r="J39" s="264">
        <v>44075</v>
      </c>
      <c r="K39" s="264">
        <v>44105</v>
      </c>
      <c r="L39" s="264">
        <v>44136</v>
      </c>
      <c r="M39" s="264">
        <v>44166</v>
      </c>
      <c r="N39" s="264">
        <v>44197</v>
      </c>
      <c r="O39" s="264">
        <v>44228</v>
      </c>
      <c r="P39" s="264">
        <v>44256</v>
      </c>
      <c r="Q39" s="164"/>
    </row>
    <row r="40" spans="2:17" ht="18.75" customHeight="1">
      <c r="B40" s="241" t="s">
        <v>63</v>
      </c>
      <c r="C40" s="241">
        <f>C21+C34</f>
        <v>35195.146000000001</v>
      </c>
      <c r="D40" s="241">
        <f>D21+D34</f>
        <v>19550.071999999996</v>
      </c>
      <c r="E40" s="242" t="e">
        <f t="shared" ref="E40:O41" si="3">E21+E34</f>
        <v>#REF!</v>
      </c>
      <c r="F40" s="242" t="e">
        <f t="shared" si="3"/>
        <v>#REF!</v>
      </c>
      <c r="G40" s="242" t="e">
        <f t="shared" si="3"/>
        <v>#REF!</v>
      </c>
      <c r="H40" s="242" t="e">
        <f t="shared" si="3"/>
        <v>#REF!</v>
      </c>
      <c r="I40" s="242" t="e">
        <f t="shared" si="3"/>
        <v>#REF!</v>
      </c>
      <c r="J40" s="242" t="e">
        <f t="shared" si="3"/>
        <v>#REF!</v>
      </c>
      <c r="K40" s="242" t="e">
        <f t="shared" si="3"/>
        <v>#REF!</v>
      </c>
      <c r="L40" s="242">
        <f t="shared" si="3"/>
        <v>0</v>
      </c>
      <c r="M40" s="242">
        <f t="shared" si="3"/>
        <v>0</v>
      </c>
      <c r="N40" s="242">
        <f t="shared" si="3"/>
        <v>0</v>
      </c>
      <c r="O40" s="242">
        <f t="shared" si="3"/>
        <v>0</v>
      </c>
      <c r="P40" s="242"/>
      <c r="Q40" s="164"/>
    </row>
    <row r="41" spans="2:17" ht="18.75" customHeight="1">
      <c r="B41" s="241" t="s">
        <v>49</v>
      </c>
      <c r="C41" s="241">
        <f>C22+C35</f>
        <v>26538.294999999998</v>
      </c>
      <c r="D41" s="241">
        <f>D22+D35</f>
        <v>16330.738000000001</v>
      </c>
      <c r="E41" s="242" t="e">
        <f t="shared" si="3"/>
        <v>#REF!</v>
      </c>
      <c r="F41" s="242" t="e">
        <f t="shared" si="3"/>
        <v>#REF!</v>
      </c>
      <c r="G41" s="242" t="e">
        <f t="shared" si="3"/>
        <v>#REF!</v>
      </c>
      <c r="H41" s="242" t="e">
        <f t="shared" si="3"/>
        <v>#REF!</v>
      </c>
      <c r="I41" s="242" t="e">
        <f t="shared" si="3"/>
        <v>#REF!</v>
      </c>
      <c r="J41" s="242" t="e">
        <f t="shared" si="3"/>
        <v>#REF!</v>
      </c>
      <c r="K41" s="242" t="e">
        <f t="shared" si="3"/>
        <v>#REF!</v>
      </c>
      <c r="L41" s="242">
        <f t="shared" si="3"/>
        <v>0</v>
      </c>
      <c r="M41" s="242">
        <f t="shared" si="3"/>
        <v>0</v>
      </c>
      <c r="N41" s="242">
        <f t="shared" si="3"/>
        <v>0</v>
      </c>
      <c r="O41" s="242">
        <f t="shared" si="3"/>
        <v>0</v>
      </c>
      <c r="P41" s="242"/>
      <c r="Q41" s="164"/>
    </row>
    <row r="42" spans="2:17" ht="18.75" customHeight="1">
      <c r="B42" s="258"/>
      <c r="C42" s="258"/>
      <c r="D42" s="258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164"/>
    </row>
    <row r="43" spans="2:17" ht="18.75" customHeight="1">
      <c r="B43" s="258"/>
      <c r="C43" s="258"/>
      <c r="D43" s="258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164"/>
    </row>
    <row r="44" spans="2:17" ht="18.75" customHeight="1">
      <c r="B44" s="258"/>
      <c r="C44" s="258"/>
      <c r="D44" s="258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164"/>
    </row>
    <row r="45" spans="2:17" ht="18.75" customHeight="1">
      <c r="B45" s="258"/>
      <c r="C45" s="258"/>
      <c r="D45" s="258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164"/>
    </row>
    <row r="46" spans="2:17" ht="18.75" customHeight="1">
      <c r="B46" s="258"/>
      <c r="C46" s="258"/>
      <c r="D46" s="258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164"/>
    </row>
    <row r="48" spans="2:17" ht="24.75" customHeight="1">
      <c r="B48" s="265" t="s">
        <v>68</v>
      </c>
      <c r="C48" s="265"/>
      <c r="D48" s="265"/>
    </row>
    <row r="49" spans="2:16" ht="23.25">
      <c r="B49" s="266"/>
      <c r="C49" s="267">
        <v>43862</v>
      </c>
      <c r="D49" s="267">
        <v>43891</v>
      </c>
      <c r="E49" s="267">
        <v>43922</v>
      </c>
      <c r="F49" s="267">
        <v>43952</v>
      </c>
      <c r="G49" s="267">
        <v>43983</v>
      </c>
      <c r="H49" s="267">
        <v>44013</v>
      </c>
      <c r="I49" s="267">
        <v>44044</v>
      </c>
      <c r="J49" s="267">
        <v>44075</v>
      </c>
      <c r="K49" s="267">
        <v>44105</v>
      </c>
      <c r="L49" s="267">
        <v>44136</v>
      </c>
      <c r="M49" s="267">
        <v>44166</v>
      </c>
      <c r="N49" s="267">
        <v>44197</v>
      </c>
      <c r="O49" s="267">
        <v>44228</v>
      </c>
      <c r="P49" s="267">
        <v>44256</v>
      </c>
    </row>
    <row r="50" spans="2:16">
      <c r="B50" t="s">
        <v>69</v>
      </c>
      <c r="C50" s="85">
        <v>97791.383000000016</v>
      </c>
      <c r="D50" s="85">
        <v>38700.606</v>
      </c>
      <c r="E50" s="25" t="e">
        <f t="shared" ref="E50" si="4">+E15+E17+E28+E30+E16+E29</f>
        <v>#REF!</v>
      </c>
      <c r="F50" s="25" t="e">
        <f>F15+F17+F28</f>
        <v>#REF!</v>
      </c>
      <c r="G50" s="25" t="e">
        <f>G15+G17+G28</f>
        <v>#REF!</v>
      </c>
      <c r="H50" s="25" t="e">
        <f>H15+H17+H28+H30</f>
        <v>#REF!</v>
      </c>
      <c r="I50" s="25" t="e">
        <f>I15+I16+I17+I28</f>
        <v>#REF!</v>
      </c>
      <c r="J50" s="25" t="e">
        <f>J15+J16+J28+J30</f>
        <v>#REF!</v>
      </c>
      <c r="K50" s="25" t="e">
        <f>K15+K16+K28+K30</f>
        <v>#REF!</v>
      </c>
      <c r="L50" s="25"/>
      <c r="M50" s="25"/>
      <c r="N50" s="25"/>
      <c r="O50" s="25"/>
      <c r="P50" s="25"/>
    </row>
    <row r="51" spans="2:16">
      <c r="B51" t="s">
        <v>70</v>
      </c>
      <c r="C51" s="85">
        <v>679.1</v>
      </c>
      <c r="D51" s="85">
        <v>228</v>
      </c>
      <c r="E51" s="164" t="e">
        <f>#REF!+#REF!</f>
        <v>#REF!</v>
      </c>
      <c r="F51" s="164" t="e">
        <f>#REF!</f>
        <v>#REF!</v>
      </c>
      <c r="G51" s="164" t="e">
        <f>#REF!</f>
        <v>#REF!</v>
      </c>
      <c r="H51" s="164" t="e">
        <f>#REF!+#REF!</f>
        <v>#REF!</v>
      </c>
      <c r="I51" s="164" t="e">
        <f>#REF!+#REF!</f>
        <v>#REF!</v>
      </c>
      <c r="J51" s="164" t="e">
        <f>#REF!+#REF!</f>
        <v>#REF!</v>
      </c>
      <c r="K51" s="164" t="e">
        <f>+#REF!</f>
        <v>#REF!</v>
      </c>
      <c r="L51" s="164"/>
      <c r="M51" s="164"/>
      <c r="N51" s="164"/>
      <c r="O51" s="164"/>
      <c r="P51" s="268"/>
    </row>
    <row r="52" spans="2:16" ht="30">
      <c r="B52" s="298" t="s">
        <v>71</v>
      </c>
      <c r="C52" s="299">
        <v>144.00144750404951</v>
      </c>
      <c r="D52" s="299">
        <v>169.73949999999999</v>
      </c>
      <c r="E52" s="311" t="e">
        <f t="shared" ref="E52:K52" si="5">+E50/E51</f>
        <v>#REF!</v>
      </c>
      <c r="F52" s="311" t="e">
        <f t="shared" si="5"/>
        <v>#REF!</v>
      </c>
      <c r="G52" s="311" t="e">
        <f t="shared" si="5"/>
        <v>#REF!</v>
      </c>
      <c r="H52" s="311" t="e">
        <f t="shared" si="5"/>
        <v>#REF!</v>
      </c>
      <c r="I52" s="311" t="e">
        <f t="shared" si="5"/>
        <v>#REF!</v>
      </c>
      <c r="J52" s="311" t="e">
        <f t="shared" si="5"/>
        <v>#REF!</v>
      </c>
      <c r="K52" s="311" t="e">
        <f t="shared" si="5"/>
        <v>#REF!</v>
      </c>
      <c r="L52" s="85"/>
      <c r="M52" s="85"/>
      <c r="N52" s="85"/>
      <c r="O52" s="85"/>
      <c r="P52" s="85"/>
    </row>
    <row r="53" spans="2:16" ht="30">
      <c r="B53" s="298" t="s">
        <v>72</v>
      </c>
      <c r="C53" s="299">
        <v>170</v>
      </c>
      <c r="D53" s="299">
        <v>170</v>
      </c>
      <c r="E53" s="312">
        <v>170</v>
      </c>
      <c r="F53" s="312">
        <v>170</v>
      </c>
      <c r="G53" s="312">
        <v>170</v>
      </c>
      <c r="H53" s="312">
        <v>170</v>
      </c>
      <c r="I53" s="312">
        <v>170</v>
      </c>
      <c r="J53" s="312">
        <v>170</v>
      </c>
      <c r="K53" s="312">
        <v>170</v>
      </c>
      <c r="L53" s="270"/>
      <c r="M53" s="270"/>
      <c r="N53" s="270"/>
      <c r="O53" s="270"/>
      <c r="P53" s="270"/>
    </row>
    <row r="54" spans="2:16">
      <c r="B54" t="s">
        <v>42</v>
      </c>
      <c r="C54" s="85">
        <v>8318.5290000000005</v>
      </c>
      <c r="D54" s="85">
        <v>28560.473999999998</v>
      </c>
      <c r="E54" s="313" t="e">
        <f t="shared" ref="E54:G54" si="6">+E20+E33</f>
        <v>#REF!</v>
      </c>
      <c r="F54" s="313" t="e">
        <f t="shared" si="6"/>
        <v>#REF!</v>
      </c>
      <c r="G54" s="313" t="e">
        <f t="shared" si="6"/>
        <v>#REF!</v>
      </c>
      <c r="H54" s="25">
        <v>0</v>
      </c>
      <c r="I54" s="25">
        <v>0</v>
      </c>
      <c r="J54" s="25" t="e">
        <f>#REF!</f>
        <v>#REF!</v>
      </c>
      <c r="K54" s="25" t="e">
        <f>K20</f>
        <v>#REF!</v>
      </c>
      <c r="L54" s="25"/>
      <c r="M54" s="25"/>
      <c r="N54" s="25"/>
      <c r="O54" s="25"/>
      <c r="P54" s="25"/>
    </row>
    <row r="55" spans="2:16">
      <c r="B55" t="s">
        <v>70</v>
      </c>
      <c r="C55" s="85">
        <v>21</v>
      </c>
      <c r="D55" s="85">
        <v>97</v>
      </c>
      <c r="E55" s="164" t="e">
        <f>#REF!</f>
        <v>#REF!</v>
      </c>
      <c r="F55" s="164" t="e">
        <f>#REF!+#REF!</f>
        <v>#REF!</v>
      </c>
      <c r="G55" s="164" t="e">
        <f>#REF!</f>
        <v>#REF!</v>
      </c>
      <c r="H55" s="25">
        <v>0</v>
      </c>
      <c r="I55" s="25">
        <v>0</v>
      </c>
      <c r="J55" s="164" t="e">
        <f>#REF!</f>
        <v>#REF!</v>
      </c>
      <c r="K55" s="164" t="e">
        <f>#REF!</f>
        <v>#REF!</v>
      </c>
      <c r="L55" s="164"/>
      <c r="M55" s="164"/>
      <c r="N55" s="164"/>
      <c r="O55" s="164"/>
      <c r="P55" s="268"/>
    </row>
    <row r="56" spans="2:16">
      <c r="B56" s="268" t="s">
        <v>73</v>
      </c>
      <c r="C56" s="85">
        <v>396.12042857142859</v>
      </c>
      <c r="D56" s="85">
        <v>294.43787628865977</v>
      </c>
      <c r="E56" s="85" t="e">
        <f>+E54/E55</f>
        <v>#REF!</v>
      </c>
      <c r="F56" s="85" t="e">
        <f>+F54/F55</f>
        <v>#REF!</v>
      </c>
      <c r="G56" s="85" t="e">
        <f>+G54/G55</f>
        <v>#REF!</v>
      </c>
      <c r="H56" s="85">
        <v>0</v>
      </c>
      <c r="I56" s="85">
        <v>0</v>
      </c>
      <c r="J56" s="85" t="e">
        <f t="shared" ref="J56" si="7">+J54/J55</f>
        <v>#REF!</v>
      </c>
      <c r="K56" s="85"/>
      <c r="L56" s="85"/>
      <c r="M56" s="85"/>
      <c r="N56" s="85"/>
      <c r="O56" s="85"/>
      <c r="P56" s="85"/>
    </row>
    <row r="57" spans="2:16">
      <c r="B57" s="268" t="s">
        <v>74</v>
      </c>
      <c r="C57" s="85">
        <v>270</v>
      </c>
      <c r="D57" s="85">
        <v>270</v>
      </c>
      <c r="E57" s="85">
        <v>270</v>
      </c>
      <c r="F57" s="85">
        <v>270</v>
      </c>
      <c r="G57" s="85">
        <v>270</v>
      </c>
      <c r="H57" s="85">
        <v>270</v>
      </c>
      <c r="I57" s="85">
        <v>270</v>
      </c>
      <c r="J57" s="85">
        <v>270</v>
      </c>
      <c r="K57" s="85">
        <v>270</v>
      </c>
      <c r="L57" s="85"/>
      <c r="M57" s="85"/>
      <c r="N57" s="85"/>
      <c r="O57" s="85"/>
      <c r="P57" s="85"/>
    </row>
    <row r="58" spans="2:16">
      <c r="B58" s="268" t="s">
        <v>8</v>
      </c>
      <c r="C58" s="268">
        <v>700.1</v>
      </c>
      <c r="D58" s="268">
        <v>325</v>
      </c>
      <c r="E58" s="271" t="e">
        <f>+E55+E51</f>
        <v>#REF!</v>
      </c>
      <c r="F58" s="268" t="e">
        <f t="shared" ref="F58:P58" si="8">+F55+F51</f>
        <v>#REF!</v>
      </c>
      <c r="G58" s="271" t="e">
        <f t="shared" si="8"/>
        <v>#REF!</v>
      </c>
      <c r="H58" s="271" t="e">
        <f t="shared" si="8"/>
        <v>#REF!</v>
      </c>
      <c r="I58" s="271" t="e">
        <f t="shared" si="8"/>
        <v>#REF!</v>
      </c>
      <c r="J58" s="268" t="e">
        <f t="shared" si="8"/>
        <v>#REF!</v>
      </c>
      <c r="K58" s="271" t="e">
        <f t="shared" si="8"/>
        <v>#REF!</v>
      </c>
      <c r="L58" s="271">
        <f t="shared" si="8"/>
        <v>0</v>
      </c>
      <c r="M58" s="268">
        <f t="shared" si="8"/>
        <v>0</v>
      </c>
      <c r="N58" s="268">
        <f t="shared" si="8"/>
        <v>0</v>
      </c>
      <c r="O58" s="268">
        <f t="shared" si="8"/>
        <v>0</v>
      </c>
      <c r="P58" s="268">
        <f t="shared" si="8"/>
        <v>0</v>
      </c>
    </row>
    <row r="59" spans="2:16">
      <c r="E59" s="164"/>
      <c r="F59" s="164"/>
      <c r="G59" s="164"/>
      <c r="H59" s="164"/>
      <c r="I59" s="164"/>
      <c r="J59" s="164"/>
      <c r="K59" s="164"/>
      <c r="L59" s="164"/>
      <c r="M59" s="164"/>
    </row>
    <row r="60" spans="2:16">
      <c r="E60" s="164"/>
      <c r="F60" s="164"/>
      <c r="G60" s="164"/>
      <c r="H60" s="164"/>
      <c r="I60" s="164"/>
      <c r="J60" s="164"/>
      <c r="K60" s="164"/>
      <c r="L60" s="164"/>
      <c r="M60" s="164"/>
    </row>
    <row r="61" spans="2:16" ht="30.75" customHeight="1">
      <c r="B61" s="272" t="s">
        <v>75</v>
      </c>
      <c r="C61" s="272"/>
      <c r="D61" s="272"/>
    </row>
    <row r="62" spans="2:16">
      <c r="B62" s="239"/>
      <c r="C62" s="264">
        <v>43862</v>
      </c>
      <c r="D62" s="264">
        <v>43891</v>
      </c>
      <c r="E62" s="264">
        <v>43922</v>
      </c>
      <c r="F62" s="264">
        <v>43952</v>
      </c>
      <c r="G62" s="264">
        <v>43983</v>
      </c>
      <c r="H62" s="264">
        <v>44013</v>
      </c>
      <c r="I62" s="264">
        <v>44044</v>
      </c>
      <c r="J62" s="264">
        <v>44075</v>
      </c>
      <c r="K62" s="264">
        <v>44105</v>
      </c>
      <c r="L62" s="264">
        <v>44136</v>
      </c>
      <c r="M62" s="264">
        <v>44166</v>
      </c>
      <c r="N62" s="264">
        <v>44197</v>
      </c>
      <c r="O62" s="264">
        <v>44228</v>
      </c>
      <c r="P62" s="264">
        <v>44256</v>
      </c>
    </row>
    <row r="63" spans="2:16">
      <c r="B63" s="273" t="s">
        <v>76</v>
      </c>
      <c r="C63" s="297">
        <v>632</v>
      </c>
      <c r="D63" s="297">
        <v>325</v>
      </c>
      <c r="E63" s="242" t="e">
        <f>#REF!+#REF!</f>
        <v>#REF!</v>
      </c>
      <c r="F63" s="242" t="e">
        <f>#REF!+#REF!</f>
        <v>#REF!</v>
      </c>
      <c r="G63" s="242" t="e">
        <f>#REF!+#REF!</f>
        <v>#REF!</v>
      </c>
      <c r="H63" s="242" t="e">
        <f>#REF!</f>
        <v>#REF!</v>
      </c>
      <c r="I63" s="242" t="e">
        <f>#REF!+#REF!+#REF!</f>
        <v>#REF!</v>
      </c>
      <c r="J63" s="242" t="e">
        <f>#REF!+#REF!</f>
        <v>#REF!</v>
      </c>
      <c r="K63" s="242" t="e">
        <f>+#REF!+#REF!</f>
        <v>#REF!</v>
      </c>
      <c r="L63" s="242"/>
      <c r="M63" s="242"/>
      <c r="N63" s="242"/>
      <c r="O63" s="242"/>
      <c r="P63" s="242"/>
    </row>
    <row r="64" spans="2:16">
      <c r="B64" s="237" t="s">
        <v>77</v>
      </c>
      <c r="C64" s="286">
        <v>68</v>
      </c>
      <c r="D64" s="286">
        <v>0</v>
      </c>
      <c r="E64" s="242" t="e">
        <f>#REF!</f>
        <v>#REF!</v>
      </c>
      <c r="F64" s="242" t="e">
        <f>#REF!</f>
        <v>#REF!</v>
      </c>
      <c r="G64" s="242">
        <v>0</v>
      </c>
      <c r="H64" s="242">
        <v>76</v>
      </c>
      <c r="I64" s="242">
        <v>0</v>
      </c>
      <c r="J64" s="242" t="e">
        <f>#REF!</f>
        <v>#REF!</v>
      </c>
      <c r="K64" s="242"/>
      <c r="L64" s="242"/>
      <c r="M64" s="242"/>
      <c r="N64" s="242"/>
      <c r="O64" s="242"/>
      <c r="P64" s="242"/>
    </row>
    <row r="65" spans="2:16">
      <c r="B65" s="274" t="s">
        <v>8</v>
      </c>
      <c r="C65" s="274">
        <v>700</v>
      </c>
      <c r="D65" s="274">
        <v>325</v>
      </c>
      <c r="E65" s="275" t="e">
        <f>+E64+E63</f>
        <v>#REF!</v>
      </c>
      <c r="F65" s="275" t="e">
        <f t="shared" ref="F65:P65" si="9">+F64+F63</f>
        <v>#REF!</v>
      </c>
      <c r="G65" s="275" t="e">
        <f t="shared" si="9"/>
        <v>#REF!</v>
      </c>
      <c r="H65" s="275" t="e">
        <f t="shared" si="9"/>
        <v>#REF!</v>
      </c>
      <c r="I65" s="275" t="e">
        <f t="shared" si="9"/>
        <v>#REF!</v>
      </c>
      <c r="J65" s="275" t="e">
        <f t="shared" si="9"/>
        <v>#REF!</v>
      </c>
      <c r="K65" s="275" t="e">
        <f t="shared" si="9"/>
        <v>#REF!</v>
      </c>
      <c r="L65" s="275">
        <f t="shared" si="9"/>
        <v>0</v>
      </c>
      <c r="M65" s="275">
        <f t="shared" si="9"/>
        <v>0</v>
      </c>
      <c r="N65" s="275">
        <f t="shared" si="9"/>
        <v>0</v>
      </c>
      <c r="O65" s="275">
        <f t="shared" si="9"/>
        <v>0</v>
      </c>
      <c r="P65" s="275">
        <f t="shared" si="9"/>
        <v>0</v>
      </c>
    </row>
  </sheetData>
  <mergeCells count="1">
    <mergeCell ref="E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3"/>
  <sheetViews>
    <sheetView topLeftCell="A7" workbookViewId="0">
      <selection activeCell="S16" sqref="S16"/>
    </sheetView>
  </sheetViews>
  <sheetFormatPr defaultRowHeight="15"/>
  <cols>
    <col min="1" max="1" width="12" customWidth="1"/>
    <col min="2" max="5" width="9.5703125" customWidth="1"/>
    <col min="6" max="6" width="12.140625" customWidth="1"/>
    <col min="7" max="7" width="10.7109375" customWidth="1"/>
    <col min="8" max="8" width="9.28515625" customWidth="1"/>
    <col min="9" max="9" width="8.5703125" customWidth="1"/>
    <col min="10" max="10" width="10" customWidth="1"/>
    <col min="11" max="11" width="7.85546875" customWidth="1"/>
    <col min="12" max="12" width="10.42578125" customWidth="1"/>
    <col min="13" max="13" width="8.85546875" customWidth="1"/>
    <col min="14" max="14" width="9.5703125" customWidth="1"/>
    <col min="15" max="15" width="9.7109375" customWidth="1"/>
    <col min="16" max="16" width="9.85546875" customWidth="1"/>
    <col min="17" max="17" width="10" customWidth="1"/>
    <col min="18" max="18" width="9.42578125" customWidth="1"/>
    <col min="19" max="19" width="7.42578125" customWidth="1"/>
    <col min="20" max="20" width="9.7109375" customWidth="1"/>
    <col min="21" max="21" width="8.42578125" customWidth="1"/>
    <col min="22" max="23" width="10.140625" customWidth="1"/>
    <col min="24" max="24" width="10" customWidth="1"/>
    <col min="25" max="25" width="9.42578125" customWidth="1"/>
    <col min="26" max="26" width="10.85546875" customWidth="1"/>
    <col min="27" max="27" width="8.42578125" customWidth="1"/>
    <col min="28" max="29" width="9.5703125" customWidth="1"/>
  </cols>
  <sheetData>
    <row r="3" spans="1:29">
      <c r="A3" s="396"/>
      <c r="B3" s="398">
        <v>43879</v>
      </c>
      <c r="C3" s="398"/>
      <c r="D3" s="398">
        <v>43908</v>
      </c>
      <c r="E3" s="398"/>
      <c r="F3" s="398">
        <v>43939</v>
      </c>
      <c r="G3" s="398"/>
      <c r="H3" s="398">
        <v>43952</v>
      </c>
      <c r="I3" s="398"/>
      <c r="J3" s="398">
        <v>43983</v>
      </c>
      <c r="K3" s="398"/>
      <c r="L3" s="398">
        <v>44013</v>
      </c>
      <c r="M3" s="398"/>
      <c r="N3" s="398">
        <v>44044</v>
      </c>
      <c r="O3" s="398"/>
      <c r="P3" s="398">
        <v>44075</v>
      </c>
      <c r="Q3" s="398"/>
      <c r="R3" s="398">
        <v>44105</v>
      </c>
      <c r="S3" s="398"/>
      <c r="T3" s="398">
        <v>44136</v>
      </c>
      <c r="U3" s="398"/>
      <c r="V3" s="398">
        <v>44166</v>
      </c>
      <c r="W3" s="398"/>
      <c r="X3" s="398">
        <v>44197</v>
      </c>
      <c r="Y3" s="398"/>
      <c r="Z3" s="398">
        <v>44228</v>
      </c>
      <c r="AA3" s="398"/>
      <c r="AB3" s="398">
        <v>44256</v>
      </c>
      <c r="AC3" s="398"/>
    </row>
    <row r="4" spans="1:29">
      <c r="A4" s="396"/>
      <c r="B4" s="287" t="s">
        <v>57</v>
      </c>
      <c r="C4" s="287" t="s">
        <v>58</v>
      </c>
      <c r="D4" s="287" t="s">
        <v>57</v>
      </c>
      <c r="E4" s="287" t="s">
        <v>58</v>
      </c>
      <c r="F4" s="238" t="s">
        <v>57</v>
      </c>
      <c r="G4" s="238" t="s">
        <v>58</v>
      </c>
      <c r="H4" s="238" t="s">
        <v>57</v>
      </c>
      <c r="I4" s="238" t="s">
        <v>58</v>
      </c>
      <c r="J4" s="238" t="s">
        <v>57</v>
      </c>
      <c r="K4" s="238" t="s">
        <v>58</v>
      </c>
      <c r="L4" s="238" t="s">
        <v>57</v>
      </c>
      <c r="M4" s="238" t="s">
        <v>58</v>
      </c>
      <c r="N4" s="238" t="s">
        <v>57</v>
      </c>
      <c r="O4" s="238" t="s">
        <v>58</v>
      </c>
      <c r="P4" s="238" t="s">
        <v>57</v>
      </c>
      <c r="Q4" s="238" t="s">
        <v>58</v>
      </c>
      <c r="R4" s="238" t="s">
        <v>57</v>
      </c>
      <c r="S4" s="238" t="s">
        <v>58</v>
      </c>
      <c r="T4" s="238" t="s">
        <v>57</v>
      </c>
      <c r="U4" s="238" t="s">
        <v>58</v>
      </c>
      <c r="V4" s="238" t="s">
        <v>57</v>
      </c>
      <c r="W4" s="238" t="s">
        <v>58</v>
      </c>
      <c r="X4" s="238" t="s">
        <v>57</v>
      </c>
      <c r="Y4" s="238" t="s">
        <v>58</v>
      </c>
      <c r="Z4" s="238" t="s">
        <v>57</v>
      </c>
      <c r="AA4" s="238" t="s">
        <v>58</v>
      </c>
      <c r="AB4" s="238" t="s">
        <v>57</v>
      </c>
      <c r="AC4" s="238" t="s">
        <v>58</v>
      </c>
    </row>
    <row r="5" spans="1:29">
      <c r="A5" s="241" t="s">
        <v>61</v>
      </c>
      <c r="B5" s="241">
        <f>'Total fee for sample (1)'!C15</f>
        <v>9463.5650000000005</v>
      </c>
      <c r="C5" s="295">
        <f>'Total fee for sample (1)'!C28</f>
        <v>2230</v>
      </c>
      <c r="D5" s="241">
        <f>'Total fee for sample (1)'!D15</f>
        <v>8341.2199999999993</v>
      </c>
      <c r="E5" s="241">
        <f>'Total fee for sample (1)'!D28</f>
        <v>1300</v>
      </c>
      <c r="F5" s="212" t="e">
        <f>'Total fee for sample (1)'!E15</f>
        <v>#REF!</v>
      </c>
      <c r="G5" s="212" t="e">
        <f>'Total fee for sample (1)'!E28</f>
        <v>#REF!</v>
      </c>
      <c r="H5" s="212" t="e">
        <f>'Total fee for sample (1)'!F15</f>
        <v>#REF!</v>
      </c>
      <c r="I5" s="212" t="e">
        <f>'Total fee for sample (1)'!F28</f>
        <v>#REF!</v>
      </c>
      <c r="J5" s="212" t="e">
        <f>'Total fee for sample (1)'!G15</f>
        <v>#REF!</v>
      </c>
      <c r="K5" s="212" t="e">
        <f>'Total fee for sample (1)'!G28</f>
        <v>#REF!</v>
      </c>
      <c r="L5" s="314" t="e">
        <f>'Total fee for sample (1)'!H15</f>
        <v>#REF!</v>
      </c>
      <c r="M5" s="314" t="e">
        <f>'Total fee for sample (1)'!H28</f>
        <v>#REF!</v>
      </c>
      <c r="N5" s="314" t="e">
        <f>'Total fee for sample (1)'!I15</f>
        <v>#REF!</v>
      </c>
      <c r="O5" s="314" t="e">
        <f>'Total fee for sample (1)'!I28</f>
        <v>#REF!</v>
      </c>
      <c r="P5" s="314" t="e">
        <f>'Total fee for sample (1)'!J15</f>
        <v>#REF!</v>
      </c>
      <c r="Q5" s="314" t="e">
        <f>'Total fee for sample (1)'!J28</f>
        <v>#REF!</v>
      </c>
      <c r="R5" s="212" t="e">
        <f>'Total fee for sample (1)'!K15</f>
        <v>#REF!</v>
      </c>
      <c r="S5" s="212" t="e">
        <f>+'Total fee for sample (1)'!K28</f>
        <v>#REF!</v>
      </c>
      <c r="T5" s="314">
        <f>'Total fee for sample (1)'!L15</f>
        <v>0</v>
      </c>
      <c r="U5" s="314">
        <f>'Total fee for sample (1)'!L28</f>
        <v>0</v>
      </c>
      <c r="V5" s="314">
        <f>'Total fee for sample (1)'!M15</f>
        <v>0</v>
      </c>
      <c r="W5" s="314">
        <f>'Total fee for sample (1)'!M28</f>
        <v>0</v>
      </c>
      <c r="X5" s="314">
        <f>'Total fee for sample (1)'!N15</f>
        <v>0</v>
      </c>
      <c r="Y5" s="314">
        <f>'Total fee for sample (1)'!N28</f>
        <v>0</v>
      </c>
      <c r="Z5" s="314">
        <f>'Total fee for sample (1)'!O15</f>
        <v>0</v>
      </c>
      <c r="AA5" s="314">
        <f>'Total fee for sample (1)'!O28</f>
        <v>0</v>
      </c>
      <c r="AB5" s="314">
        <f>'Total fee for sample (1)'!P15</f>
        <v>0</v>
      </c>
      <c r="AC5" s="314">
        <f>'Total fee for sample (1)'!P28</f>
        <v>0</v>
      </c>
    </row>
    <row r="6" spans="1:29">
      <c r="A6" s="241" t="s">
        <v>62</v>
      </c>
      <c r="B6" s="241"/>
      <c r="C6" s="295"/>
      <c r="D6" s="241"/>
      <c r="E6" s="241"/>
      <c r="F6" s="212" t="e">
        <f>'Total fee for sample (1)'!E16</f>
        <v>#REF!</v>
      </c>
      <c r="G6" s="212" t="e">
        <f>'Total fee for sample (1)'!E29</f>
        <v>#REF!</v>
      </c>
      <c r="H6" s="212">
        <f>'Total fee for sample (1)'!F16</f>
        <v>0</v>
      </c>
      <c r="I6" s="212">
        <f>'Total fee for sample (1)'!F29</f>
        <v>0</v>
      </c>
      <c r="J6" s="212">
        <f>'Total fee for sample (1)'!G16</f>
        <v>0</v>
      </c>
      <c r="K6" s="212">
        <f>'Total fee for sample (1)'!G29</f>
        <v>0</v>
      </c>
      <c r="L6" s="314">
        <f>'Total fee for sample (1)'!H16</f>
        <v>0</v>
      </c>
      <c r="M6" s="314">
        <f>'Total fee for sample (1)'!H29</f>
        <v>0</v>
      </c>
      <c r="N6" s="314" t="e">
        <f>'Total fee for sample (1)'!I16</f>
        <v>#REF!</v>
      </c>
      <c r="O6" s="314">
        <f>'Total fee for sample (1)'!I29</f>
        <v>0</v>
      </c>
      <c r="P6" s="314" t="e">
        <f>'Total fee for sample (1)'!J16</f>
        <v>#REF!</v>
      </c>
      <c r="Q6" s="314" t="e">
        <f>'Total fee for sample (1)'!J29</f>
        <v>#REF!</v>
      </c>
      <c r="R6" s="212" t="e">
        <f>'Total fee for sample (1)'!K16</f>
        <v>#REF!</v>
      </c>
      <c r="S6" s="212">
        <f>+'Total fee for sample (1)'!K29</f>
        <v>0</v>
      </c>
      <c r="T6" s="314">
        <f>'Total fee for sample (1)'!L16</f>
        <v>0</v>
      </c>
      <c r="U6" s="314">
        <f>'Total fee for sample (1)'!L29</f>
        <v>0</v>
      </c>
      <c r="V6" s="314">
        <f>'Total fee for sample (1)'!M16</f>
        <v>0</v>
      </c>
      <c r="W6" s="314">
        <f>'Total fee for sample (1)'!M29</f>
        <v>0</v>
      </c>
      <c r="X6" s="314">
        <f>'Total fee for sample (1)'!N16</f>
        <v>0</v>
      </c>
      <c r="Y6" s="314">
        <f>'Total fee for sample (1)'!N29</f>
        <v>0</v>
      </c>
      <c r="Z6" s="314">
        <f>'Total fee for sample (1)'!O16</f>
        <v>0</v>
      </c>
      <c r="AA6" s="314">
        <f>'Total fee for sample (1)'!O29</f>
        <v>0</v>
      </c>
      <c r="AB6" s="314">
        <f>'Total fee for sample (1)'!P16</f>
        <v>0</v>
      </c>
      <c r="AC6" s="314">
        <f>'Total fee for sample (1)'!P29</f>
        <v>0</v>
      </c>
    </row>
    <row r="7" spans="1:29">
      <c r="A7" s="241" t="s">
        <v>52</v>
      </c>
      <c r="B7" s="241">
        <f>'Total fee for sample (1)'!C17</f>
        <v>52816.266000000003</v>
      </c>
      <c r="C7" s="295">
        <f>'Total fee for sample (1)'!C30</f>
        <v>0</v>
      </c>
      <c r="D7" s="241">
        <f>'Total fee for sample (1)'!D17</f>
        <v>31831.041000000001</v>
      </c>
      <c r="E7" s="241">
        <f>'Total fee for sample (1)'!D30</f>
        <v>5291.5959999999995</v>
      </c>
      <c r="F7" s="212" t="e">
        <f>'Total fee for sample (1)'!E17</f>
        <v>#REF!</v>
      </c>
      <c r="G7" s="212" t="e">
        <f>'Total fee for sample (1)'!E30</f>
        <v>#REF!</v>
      </c>
      <c r="H7" s="212" t="e">
        <f>'Total fee for sample (1)'!F17</f>
        <v>#REF!</v>
      </c>
      <c r="I7" s="212" t="e">
        <f>'Total fee for sample (1)'!F30</f>
        <v>#REF!</v>
      </c>
      <c r="J7" s="212" t="e">
        <f>'Total fee for sample (1)'!G17</f>
        <v>#REF!</v>
      </c>
      <c r="K7" s="212">
        <f>'Total fee for sample (1)'!G30</f>
        <v>0</v>
      </c>
      <c r="L7" s="314" t="e">
        <f>'Total fee for sample (1)'!H17</f>
        <v>#REF!</v>
      </c>
      <c r="M7" s="314" t="e">
        <f>'Total fee for sample (1)'!H30</f>
        <v>#REF!</v>
      </c>
      <c r="N7" s="314" t="e">
        <f>'Total fee for sample (1)'!I17</f>
        <v>#REF!</v>
      </c>
      <c r="O7" s="314">
        <f>'Total fee for sample (1)'!I30</f>
        <v>0</v>
      </c>
      <c r="P7" s="314" t="e">
        <f>'Total fee for sample (1)'!J17</f>
        <v>#REF!</v>
      </c>
      <c r="Q7" s="314" t="e">
        <f>'Total fee for sample (1)'!J30</f>
        <v>#REF!</v>
      </c>
      <c r="R7" s="212">
        <f>'Total fee for sample (1)'!K17</f>
        <v>0</v>
      </c>
      <c r="S7" s="212">
        <f>+'Total fee for sample (1)'!K30</f>
        <v>0</v>
      </c>
      <c r="T7" s="314">
        <f>'Total fee for sample (1)'!L17</f>
        <v>0</v>
      </c>
      <c r="U7" s="314">
        <f>'Total fee for sample (1)'!L30</f>
        <v>0</v>
      </c>
      <c r="V7" s="314">
        <f>'Total fee for sample (1)'!M17</f>
        <v>0</v>
      </c>
      <c r="W7" s="314">
        <f>'Total fee for sample (1)'!M30</f>
        <v>0</v>
      </c>
      <c r="X7" s="314">
        <f>'Total fee for sample (1)'!N17</f>
        <v>0</v>
      </c>
      <c r="Y7" s="314">
        <f>'Total fee for sample (1)'!N30</f>
        <v>0</v>
      </c>
      <c r="Z7" s="314">
        <f>'Total fee for sample (1)'!O17</f>
        <v>0</v>
      </c>
      <c r="AA7" s="314">
        <f>'Total fee for sample (1)'!O30</f>
        <v>0</v>
      </c>
      <c r="AB7" s="314">
        <f>'Total fee for sample (1)'!P17</f>
        <v>0</v>
      </c>
      <c r="AC7" s="314">
        <f>'Total fee for sample (1)'!P30</f>
        <v>0</v>
      </c>
    </row>
    <row r="8" spans="1:29">
      <c r="A8" s="241" t="s">
        <v>30</v>
      </c>
      <c r="B8" s="241"/>
      <c r="C8" s="295"/>
      <c r="D8" s="241"/>
      <c r="E8" s="241"/>
      <c r="F8" s="212">
        <f>'Total fee for sample (1)'!E18</f>
        <v>0</v>
      </c>
      <c r="G8" s="212">
        <f>'Total fee for sample (1)'!E31</f>
        <v>0</v>
      </c>
      <c r="H8" s="212">
        <f>'Total fee for sample (1)'!F18</f>
        <v>0</v>
      </c>
      <c r="I8" s="212">
        <f>'Total fee for sample (1)'!F31</f>
        <v>0</v>
      </c>
      <c r="J8" s="212">
        <f>'Total fee for sample (1)'!G18</f>
        <v>0</v>
      </c>
      <c r="K8" s="212">
        <f>'Total fee for sample (1)'!G31</f>
        <v>0</v>
      </c>
      <c r="L8" s="314">
        <f>'Total fee for sample (1)'!H18</f>
        <v>0</v>
      </c>
      <c r="M8" s="314">
        <f>'Total fee for sample (1)'!H31</f>
        <v>0</v>
      </c>
      <c r="N8" s="314">
        <f>'Total fee for sample (1)'!I18</f>
        <v>0</v>
      </c>
      <c r="O8" s="314">
        <f>'Total fee for sample (1)'!I31</f>
        <v>0</v>
      </c>
      <c r="P8" s="314">
        <f>'Total fee for sample (1)'!J18</f>
        <v>0</v>
      </c>
      <c r="Q8" s="314">
        <f>'Total fee for sample (1)'!J31</f>
        <v>0</v>
      </c>
      <c r="R8" s="212">
        <f>'Total fee for sample (1)'!K18</f>
        <v>0</v>
      </c>
      <c r="S8" s="212">
        <f>+'Total fee for sample (1)'!K31</f>
        <v>0</v>
      </c>
      <c r="T8" s="314">
        <f>'Total fee for sample (1)'!L18</f>
        <v>0</v>
      </c>
      <c r="U8" s="314">
        <f>'Total fee for sample (1)'!L31</f>
        <v>0</v>
      </c>
      <c r="V8" s="314">
        <f>'Total fee for sample (1)'!M18</f>
        <v>0</v>
      </c>
      <c r="W8" s="314">
        <f>'Total fee for sample (1)'!M31</f>
        <v>0</v>
      </c>
      <c r="X8" s="314">
        <f>'Total fee for sample (1)'!N18</f>
        <v>0</v>
      </c>
      <c r="Y8" s="314">
        <f>'Total fee for sample (1)'!N31</f>
        <v>0</v>
      </c>
      <c r="Z8" s="314">
        <f>'Total fee for sample (1)'!O18</f>
        <v>0</v>
      </c>
      <c r="AA8" s="314">
        <f>'Total fee for sample (1)'!O31</f>
        <v>0</v>
      </c>
      <c r="AB8" s="314">
        <f>'Total fee for sample (1)'!P18</f>
        <v>0</v>
      </c>
      <c r="AC8" s="314">
        <f>'Total fee for sample (1)'!P31</f>
        <v>0</v>
      </c>
    </row>
    <row r="9" spans="1:29">
      <c r="A9" s="241" t="s">
        <v>39</v>
      </c>
      <c r="B9" s="241"/>
      <c r="C9" s="295"/>
      <c r="D9" s="241"/>
      <c r="E9" s="241"/>
      <c r="F9" s="212">
        <f>'Total fee for sample (1)'!E19</f>
        <v>0</v>
      </c>
      <c r="G9" s="212">
        <f>'Total fee for sample (1)'!E32</f>
        <v>0</v>
      </c>
      <c r="H9" s="212">
        <f>'Total fee for sample (1)'!F19</f>
        <v>0</v>
      </c>
      <c r="I9" s="212">
        <f>'Total fee for sample (1)'!F32</f>
        <v>0</v>
      </c>
      <c r="J9" s="212">
        <f>'Total fee for sample (1)'!G19</f>
        <v>0</v>
      </c>
      <c r="K9" s="212">
        <f>'Total fee for sample (1)'!G32</f>
        <v>0</v>
      </c>
      <c r="L9" s="314">
        <f>'Total fee for sample (1)'!H19</f>
        <v>0</v>
      </c>
      <c r="M9" s="314">
        <f>'Total fee for sample (1)'!H32</f>
        <v>0</v>
      </c>
      <c r="N9" s="314">
        <f>'Total fee for sample (1)'!I19</f>
        <v>0</v>
      </c>
      <c r="O9" s="314">
        <f>'Total fee for sample (1)'!I32</f>
        <v>0</v>
      </c>
      <c r="P9" s="314">
        <f>'Total fee for sample (1)'!J19</f>
        <v>0</v>
      </c>
      <c r="Q9" s="314">
        <f>'Total fee for sample (1)'!J32</f>
        <v>0</v>
      </c>
      <c r="R9" s="212">
        <f>'Total fee for sample (1)'!K19</f>
        <v>0</v>
      </c>
      <c r="S9" s="212">
        <f>+'Total fee for sample (1)'!K32</f>
        <v>0</v>
      </c>
      <c r="T9" s="314">
        <f>'Total fee for sample (1)'!L19</f>
        <v>0</v>
      </c>
      <c r="U9" s="314">
        <f>'Total fee for sample (1)'!L32</f>
        <v>0</v>
      </c>
      <c r="V9" s="314">
        <f>'Total fee for sample (1)'!M19</f>
        <v>0</v>
      </c>
      <c r="W9" s="314">
        <f>'Total fee for sample (1)'!M32</f>
        <v>0</v>
      </c>
      <c r="X9" s="314">
        <f>'Total fee for sample (1)'!N19</f>
        <v>0</v>
      </c>
      <c r="Y9" s="314">
        <f>'Total fee for sample (1)'!N32</f>
        <v>0</v>
      </c>
      <c r="Z9" s="314">
        <f>'Total fee for sample (1)'!O19</f>
        <v>0</v>
      </c>
      <c r="AA9" s="314">
        <f>'Total fee for sample (1)'!O32</f>
        <v>0</v>
      </c>
      <c r="AB9" s="314">
        <f>'Total fee for sample (1)'!P19</f>
        <v>0</v>
      </c>
      <c r="AC9" s="314">
        <f>'Total fee for sample (1)'!P32</f>
        <v>0</v>
      </c>
    </row>
    <row r="10" spans="1:29">
      <c r="A10" s="241" t="s">
        <v>42</v>
      </c>
      <c r="B10" s="241">
        <f>'Total fee for sample (1)'!C20</f>
        <v>0</v>
      </c>
      <c r="C10" s="295">
        <f>'Total fee for sample (1)'!C33</f>
        <v>8418.9</v>
      </c>
      <c r="D10" s="241">
        <f>'Total fee for sample (1)'!D20</f>
        <v>5517.7910000000002</v>
      </c>
      <c r="E10" s="241">
        <f>'Total fee for sample (1)'!D33</f>
        <v>0</v>
      </c>
      <c r="F10" s="212" t="e">
        <f>'Total fee for sample (1)'!E20</f>
        <v>#REF!</v>
      </c>
      <c r="G10" s="212">
        <f>'Total fee for sample (1)'!E33</f>
        <v>0</v>
      </c>
      <c r="H10" s="212" t="e">
        <f>'Total fee for sample (1)'!F20</f>
        <v>#REF!</v>
      </c>
      <c r="I10" s="212" t="e">
        <f>'Total fee for sample (1)'!F33</f>
        <v>#REF!</v>
      </c>
      <c r="J10" s="212" t="e">
        <f>'Total fee for sample (1)'!G20</f>
        <v>#REF!</v>
      </c>
      <c r="K10" s="212">
        <f>'Total fee for sample (1)'!G33</f>
        <v>0</v>
      </c>
      <c r="L10" s="314">
        <f>'Total fee for sample (1)'!H20</f>
        <v>0</v>
      </c>
      <c r="M10" s="314">
        <f>'Total fee for sample (1)'!H33</f>
        <v>0</v>
      </c>
      <c r="N10" s="314">
        <f>'Total fee for sample (1)'!I20</f>
        <v>0</v>
      </c>
      <c r="O10" s="314">
        <f>'Total fee for sample (1)'!I33</f>
        <v>0</v>
      </c>
      <c r="P10" s="314" t="e">
        <f>'Total fee for sample (1)'!J20</f>
        <v>#REF!</v>
      </c>
      <c r="Q10" s="314">
        <f>'Total fee for sample (1)'!J33</f>
        <v>0</v>
      </c>
      <c r="R10" s="212" t="e">
        <f>'Total fee for sample (1)'!K20</f>
        <v>#REF!</v>
      </c>
      <c r="S10" s="212">
        <f>+'Total fee for sample (1)'!K33</f>
        <v>0</v>
      </c>
      <c r="T10" s="314">
        <f>'Total fee for sample (1)'!L20</f>
        <v>0</v>
      </c>
      <c r="U10" s="314">
        <f>'Total fee for sample (1)'!L33</f>
        <v>0</v>
      </c>
      <c r="V10" s="314">
        <f>'Total fee for sample (1)'!M20</f>
        <v>0</v>
      </c>
      <c r="W10" s="314">
        <f>'Total fee for sample (1)'!M33</f>
        <v>0</v>
      </c>
      <c r="X10" s="314">
        <f>'Total fee for sample (1)'!N20</f>
        <v>0</v>
      </c>
      <c r="Y10" s="314">
        <f>'Total fee for sample (1)'!N33</f>
        <v>0</v>
      </c>
      <c r="Z10" s="314">
        <f>'Total fee for sample (1)'!O20</f>
        <v>0</v>
      </c>
      <c r="AA10" s="314">
        <f>'Total fee for sample (1)'!O33</f>
        <v>0</v>
      </c>
      <c r="AB10" s="314">
        <f>'Total fee for sample (1)'!P20</f>
        <v>0</v>
      </c>
      <c r="AC10" s="314">
        <f>'Total fee for sample (1)'!P33</f>
        <v>0</v>
      </c>
    </row>
    <row r="11" spans="1:29" ht="30">
      <c r="A11" s="241" t="s">
        <v>63</v>
      </c>
      <c r="B11" s="241">
        <f>'Total fee for sample (1)'!C21</f>
        <v>34349.195</v>
      </c>
      <c r="C11" s="295">
        <f>'Total fee for sample (1)'!C34</f>
        <v>845.95100000000002</v>
      </c>
      <c r="D11" s="241">
        <f>'Total fee for sample (1)'!D21</f>
        <v>19278.776999999998</v>
      </c>
      <c r="E11" s="241">
        <f>'Total fee for sample (1)'!D34</f>
        <v>271.29500000000002</v>
      </c>
      <c r="F11" s="212" t="e">
        <f>'Total fee for sample (1)'!E21</f>
        <v>#REF!</v>
      </c>
      <c r="G11" s="212" t="e">
        <f>'Total fee for sample (1)'!E34</f>
        <v>#REF!</v>
      </c>
      <c r="H11" s="212" t="e">
        <f>'Total fee for sample (1)'!F21</f>
        <v>#REF!</v>
      </c>
      <c r="I11" s="212" t="e">
        <f>'Total fee for sample (1)'!F34</f>
        <v>#REF!</v>
      </c>
      <c r="J11" s="212" t="e">
        <f>'Total fee for sample (1)'!G21</f>
        <v>#REF!</v>
      </c>
      <c r="K11" s="212" t="e">
        <f>'Total fee for sample (1)'!G34</f>
        <v>#REF!</v>
      </c>
      <c r="L11" s="314" t="e">
        <f>'Total fee for sample (1)'!H21</f>
        <v>#REF!</v>
      </c>
      <c r="M11" s="314" t="e">
        <f>'Total fee for sample (1)'!H34</f>
        <v>#REF!</v>
      </c>
      <c r="N11" s="314" t="e">
        <f>'Total fee for sample (1)'!I21</f>
        <v>#REF!</v>
      </c>
      <c r="O11" s="314" t="e">
        <f>'Total fee for sample (1)'!I34</f>
        <v>#REF!</v>
      </c>
      <c r="P11" s="314" t="e">
        <f>'Total fee for sample (1)'!J21</f>
        <v>#REF!</v>
      </c>
      <c r="Q11" s="314" t="e">
        <f>'Total fee for sample (1)'!J34</f>
        <v>#REF!</v>
      </c>
      <c r="R11" s="212" t="e">
        <f>'Total fee for sample (1)'!K21</f>
        <v>#REF!</v>
      </c>
      <c r="S11" s="212" t="e">
        <f>+'Total fee for sample (1)'!K34</f>
        <v>#REF!</v>
      </c>
      <c r="T11" s="314">
        <f>'Total fee for sample (1)'!L21</f>
        <v>0</v>
      </c>
      <c r="U11" s="314">
        <f>'Total fee for sample (1)'!L34</f>
        <v>0</v>
      </c>
      <c r="V11" s="314">
        <f>'Total fee for sample (1)'!M21</f>
        <v>0</v>
      </c>
      <c r="W11" s="314">
        <f>'Total fee for sample (1)'!M34</f>
        <v>0</v>
      </c>
      <c r="X11" s="314">
        <f>'Total fee for sample (1)'!N21</f>
        <v>0</v>
      </c>
      <c r="Y11" s="314">
        <f>'Total fee for sample (1)'!N34</f>
        <v>0</v>
      </c>
      <c r="Z11" s="314">
        <f>'Total fee for sample (1)'!O21</f>
        <v>0</v>
      </c>
      <c r="AA11" s="314">
        <f>'Total fee for sample (1)'!O34</f>
        <v>0</v>
      </c>
      <c r="AB11" s="314">
        <f>'Total fee for sample (1)'!P21</f>
        <v>0</v>
      </c>
      <c r="AC11" s="314">
        <f>'Total fee for sample (1)'!P34</f>
        <v>0</v>
      </c>
    </row>
    <row r="12" spans="1:29">
      <c r="A12" s="241" t="s">
        <v>49</v>
      </c>
      <c r="B12" s="241">
        <f>'Total fee for sample (1)'!C22</f>
        <v>24112.226999999999</v>
      </c>
      <c r="C12" s="295">
        <f>'Total fee for sample (1)'!C35</f>
        <v>2426.0680000000002</v>
      </c>
      <c r="D12" s="241">
        <f>'Total fee for sample (1)'!D22</f>
        <v>15799.207</v>
      </c>
      <c r="E12" s="241">
        <f>'Total fee for sample (1)'!D35</f>
        <v>531.53099999999995</v>
      </c>
      <c r="F12" s="212" t="e">
        <f>'Total fee for sample (1)'!E22</f>
        <v>#REF!</v>
      </c>
      <c r="G12" s="212" t="e">
        <f>'Total fee for sample (1)'!E35</f>
        <v>#REF!</v>
      </c>
      <c r="H12" s="212" t="e">
        <f>'Total fee for sample (1)'!F22</f>
        <v>#REF!</v>
      </c>
      <c r="I12" s="212" t="e">
        <f>'Total fee for sample (1)'!F35</f>
        <v>#REF!</v>
      </c>
      <c r="J12" s="212" t="e">
        <f>'Total fee for sample (1)'!G22</f>
        <v>#REF!</v>
      </c>
      <c r="K12" s="212" t="e">
        <f>'Total fee for sample (1)'!G35</f>
        <v>#REF!</v>
      </c>
      <c r="L12" s="314" t="e">
        <f>'Total fee for sample (1)'!H22</f>
        <v>#REF!</v>
      </c>
      <c r="M12" s="314" t="e">
        <f>'Total fee for sample (1)'!H35</f>
        <v>#REF!</v>
      </c>
      <c r="N12" s="314" t="e">
        <f>'Total fee for sample (1)'!I22</f>
        <v>#REF!</v>
      </c>
      <c r="O12" s="314" t="e">
        <f>'Total fee for sample (1)'!I35</f>
        <v>#REF!</v>
      </c>
      <c r="P12" s="314" t="e">
        <f>'Total fee for sample (1)'!J22</f>
        <v>#REF!</v>
      </c>
      <c r="Q12" s="314" t="e">
        <f>'Total fee for sample (1)'!J35</f>
        <v>#REF!</v>
      </c>
      <c r="R12" s="314" t="e">
        <f>'Total fee for sample (1)'!K22</f>
        <v>#REF!</v>
      </c>
      <c r="S12" s="314" t="e">
        <f>+'Total fee for sample (1)'!K35</f>
        <v>#REF!</v>
      </c>
      <c r="T12" s="314">
        <f>'Total fee for sample (1)'!L22</f>
        <v>0</v>
      </c>
      <c r="U12" s="314">
        <f>'Total fee for sample (1)'!L35</f>
        <v>0</v>
      </c>
      <c r="V12" s="314">
        <f>'Total fee for sample (1)'!M22</f>
        <v>0</v>
      </c>
      <c r="W12" s="314">
        <f>'Total fee for sample (1)'!M35</f>
        <v>0</v>
      </c>
      <c r="X12" s="314">
        <f>'Total fee for sample (1)'!N22</f>
        <v>0</v>
      </c>
      <c r="Y12" s="314">
        <f>'Total fee for sample (1)'!N35</f>
        <v>0</v>
      </c>
      <c r="Z12" s="314">
        <f>'Total fee for sample (1)'!O22</f>
        <v>0</v>
      </c>
      <c r="AA12" s="314">
        <f>'Total fee for sample (1)'!O35</f>
        <v>0</v>
      </c>
      <c r="AB12" s="314">
        <f>'Total fee for sample (1)'!P22</f>
        <v>0</v>
      </c>
      <c r="AC12" s="314">
        <f>'Total fee for sample (1)'!P35</f>
        <v>0</v>
      </c>
    </row>
    <row r="13" spans="1:29">
      <c r="B13" s="85">
        <f>SUM(B5:B11)</f>
        <v>96629.026000000013</v>
      </c>
      <c r="C13" s="85">
        <f>SUM(C5:C11)</f>
        <v>11494.850999999999</v>
      </c>
      <c r="D13" s="85">
        <f>SUM(D5:D11)</f>
        <v>64968.828999999998</v>
      </c>
      <c r="E13" s="85">
        <f>SUM(E5:E11)</f>
        <v>6862.8909999999996</v>
      </c>
      <c r="F13" s="85" t="e">
        <f>+SUM(F5:F11)</f>
        <v>#REF!</v>
      </c>
      <c r="G13" s="85" t="e">
        <f>+SUM(G5:G11)</f>
        <v>#REF!</v>
      </c>
      <c r="H13" s="85" t="e">
        <f t="shared" ref="H13" si="0">+SUM(H5:H11)</f>
        <v>#REF!</v>
      </c>
      <c r="I13" s="85" t="e">
        <f>+SUM(I5:I11)</f>
        <v>#REF!</v>
      </c>
      <c r="J13" s="85" t="e">
        <f t="shared" ref="J13:AC13" si="1">+SUM(J5:J11)</f>
        <v>#REF!</v>
      </c>
      <c r="K13" s="85" t="e">
        <f t="shared" si="1"/>
        <v>#REF!</v>
      </c>
      <c r="L13" s="85" t="e">
        <f t="shared" si="1"/>
        <v>#REF!</v>
      </c>
      <c r="M13" s="85" t="e">
        <f t="shared" si="1"/>
        <v>#REF!</v>
      </c>
      <c r="N13" s="85" t="e">
        <f t="shared" si="1"/>
        <v>#REF!</v>
      </c>
      <c r="O13" s="85" t="e">
        <f t="shared" si="1"/>
        <v>#REF!</v>
      </c>
      <c r="P13" s="85" t="e">
        <f>+SUM(P5:P11)</f>
        <v>#REF!</v>
      </c>
      <c r="Q13" s="85" t="e">
        <f t="shared" si="1"/>
        <v>#REF!</v>
      </c>
      <c r="R13" s="85" t="e">
        <f t="shared" si="1"/>
        <v>#REF!</v>
      </c>
      <c r="S13" s="85" t="e">
        <f t="shared" si="1"/>
        <v>#REF!</v>
      </c>
      <c r="T13" s="85">
        <f t="shared" si="1"/>
        <v>0</v>
      </c>
      <c r="U13" s="85">
        <f t="shared" si="1"/>
        <v>0</v>
      </c>
      <c r="V13" s="85">
        <f t="shared" si="1"/>
        <v>0</v>
      </c>
      <c r="W13" s="85">
        <f t="shared" si="1"/>
        <v>0</v>
      </c>
      <c r="X13" s="85">
        <f t="shared" si="1"/>
        <v>0</v>
      </c>
      <c r="Y13" s="85">
        <f t="shared" si="1"/>
        <v>0</v>
      </c>
      <c r="Z13" s="85">
        <f t="shared" si="1"/>
        <v>0</v>
      </c>
      <c r="AA13" s="85">
        <f t="shared" si="1"/>
        <v>0</v>
      </c>
      <c r="AB13" s="85">
        <f t="shared" si="1"/>
        <v>0</v>
      </c>
      <c r="AC13" s="85">
        <f t="shared" si="1"/>
        <v>0</v>
      </c>
    </row>
  </sheetData>
  <mergeCells count="15">
    <mergeCell ref="N3:O3"/>
    <mergeCell ref="A3:A4"/>
    <mergeCell ref="F3:G3"/>
    <mergeCell ref="H3:I3"/>
    <mergeCell ref="J3:K3"/>
    <mergeCell ref="L3:M3"/>
    <mergeCell ref="B3:C3"/>
    <mergeCell ref="D3:E3"/>
    <mergeCell ref="AB3:AC3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5"/>
  <sheetViews>
    <sheetView zoomScale="77" zoomScaleNormal="77" workbookViewId="0">
      <pane xSplit="2" ySplit="4" topLeftCell="Q28" activePane="bottomRight" state="frozen"/>
      <selection pane="topRight" activeCell="D1" sqref="D1"/>
      <selection pane="bottomLeft" activeCell="A5" sqref="A5"/>
      <selection pane="bottomRight" activeCell="M72" sqref="M72"/>
    </sheetView>
  </sheetViews>
  <sheetFormatPr defaultRowHeight="15"/>
  <cols>
    <col min="1" max="1" width="6" customWidth="1"/>
    <col min="2" max="2" width="29.28515625" customWidth="1"/>
    <col min="3" max="4" width="14.5703125" customWidth="1"/>
    <col min="5" max="5" width="11" customWidth="1"/>
    <col min="6" max="6" width="9.7109375" customWidth="1"/>
    <col min="7" max="7" width="10.140625" customWidth="1"/>
    <col min="8" max="8" width="9.42578125" customWidth="1"/>
    <col min="9" max="9" width="9.85546875" customWidth="1"/>
    <col min="10" max="10" width="12.28515625" customWidth="1"/>
    <col min="11" max="11" width="9.140625" customWidth="1"/>
    <col min="12" max="12" width="10.140625" customWidth="1"/>
    <col min="13" max="13" width="10.85546875" customWidth="1"/>
    <col min="14" max="14" width="11.42578125" customWidth="1"/>
    <col min="15" max="15" width="10.28515625" customWidth="1"/>
    <col min="16" max="16" width="9.5703125" customWidth="1"/>
    <col min="19" max="19" width="16.28515625" customWidth="1"/>
  </cols>
  <sheetData>
    <row r="1" spans="2:31" ht="25.5" customHeight="1">
      <c r="E1" s="397" t="s">
        <v>59</v>
      </c>
      <c r="F1" s="397"/>
      <c r="G1" s="397"/>
      <c r="H1" s="397"/>
      <c r="I1" s="397"/>
      <c r="J1" s="397"/>
      <c r="K1" s="397"/>
      <c r="L1" s="397"/>
      <c r="M1" s="397"/>
      <c r="N1" s="397"/>
      <c r="O1" s="397"/>
    </row>
    <row r="3" spans="2:31" ht="21.75" hidden="1" customHeight="1">
      <c r="B3" s="240" t="s">
        <v>60</v>
      </c>
      <c r="C3" s="240"/>
      <c r="D3" s="240"/>
      <c r="E3" s="240">
        <v>43191</v>
      </c>
      <c r="F3" s="240">
        <v>43221</v>
      </c>
      <c r="G3" s="240">
        <v>43252</v>
      </c>
      <c r="H3" s="240">
        <v>43282</v>
      </c>
      <c r="I3" s="240">
        <v>43313</v>
      </c>
      <c r="J3" s="240">
        <v>43344</v>
      </c>
      <c r="K3" s="240">
        <v>43374</v>
      </c>
      <c r="L3" s="240">
        <v>43405</v>
      </c>
      <c r="M3" s="240">
        <v>43435</v>
      </c>
      <c r="N3" s="240">
        <v>43466</v>
      </c>
      <c r="O3" s="240">
        <v>43497</v>
      </c>
      <c r="P3" s="240">
        <v>43525</v>
      </c>
    </row>
    <row r="4" spans="2:31" ht="22.5" hidden="1" customHeight="1">
      <c r="B4" s="241" t="s">
        <v>61</v>
      </c>
      <c r="C4" s="241"/>
      <c r="D4" s="241"/>
      <c r="E4" s="242">
        <f>'[1]Import fee'!H4</f>
        <v>22344.785</v>
      </c>
      <c r="F4" s="242">
        <f>'[1]Import fee'!H10</f>
        <v>22993.603999999999</v>
      </c>
      <c r="G4" s="242">
        <f>'[1]Import fee'!H16-17110</f>
        <v>32494.947</v>
      </c>
      <c r="H4" s="242">
        <f>'[1]Import fee'!H23</f>
        <v>52053.45</v>
      </c>
      <c r="I4" s="242">
        <v>34105.304000000004</v>
      </c>
      <c r="J4" s="242">
        <v>154924.65</v>
      </c>
      <c r="K4" s="242">
        <v>20575.364999999998</v>
      </c>
      <c r="L4" s="243">
        <v>17218.41</v>
      </c>
      <c r="M4" s="242">
        <v>22349.776000000002</v>
      </c>
      <c r="N4" s="242">
        <v>25771.756000000001</v>
      </c>
      <c r="O4" s="242"/>
      <c r="P4" s="242"/>
    </row>
    <row r="5" spans="2:31" ht="22.5" hidden="1" customHeight="1">
      <c r="B5" s="241" t="s">
        <v>62</v>
      </c>
      <c r="C5" s="241"/>
      <c r="D5" s="241"/>
      <c r="E5" s="242">
        <f>'[1]Import fee'!H5</f>
        <v>0</v>
      </c>
      <c r="F5" s="242">
        <f>'[1]Import fee'!H11</f>
        <v>0</v>
      </c>
      <c r="G5" s="242">
        <f>'[1]Import fee'!H17</f>
        <v>9248.357</v>
      </c>
      <c r="H5" s="242">
        <f>'[1]Import fee'!H24</f>
        <v>39547.196000000004</v>
      </c>
      <c r="I5" s="242">
        <v>466.20000000000073</v>
      </c>
      <c r="J5" s="244"/>
      <c r="K5" s="242">
        <v>8635.5619999999999</v>
      </c>
      <c r="L5" s="243">
        <v>10026.816999999999</v>
      </c>
      <c r="M5" s="242">
        <v>15806.440999999999</v>
      </c>
      <c r="N5" s="242">
        <v>31789.166000000001</v>
      </c>
      <c r="O5" s="242"/>
      <c r="P5" s="242"/>
    </row>
    <row r="6" spans="2:31" ht="22.5" hidden="1" customHeight="1">
      <c r="B6" s="241" t="s">
        <v>52</v>
      </c>
      <c r="C6" s="241"/>
      <c r="D6" s="241"/>
      <c r="E6" s="242">
        <f>'[1]Import fee'!H6</f>
        <v>142487.96399999998</v>
      </c>
      <c r="F6" s="242">
        <f>'[1]Import fee'!H12</f>
        <v>79219.148000000001</v>
      </c>
      <c r="G6" s="242">
        <f>'[1]Import fee'!H18</f>
        <v>204990.42300000001</v>
      </c>
      <c r="H6" s="242">
        <f>'[1]Import fee'!H25</f>
        <v>181879.18</v>
      </c>
      <c r="I6" s="242">
        <v>133693.40400000001</v>
      </c>
      <c r="J6" s="242">
        <v>19583.595000000001</v>
      </c>
      <c r="K6" s="242">
        <v>94807.956999999995</v>
      </c>
      <c r="L6" s="243">
        <v>78987.620999999999</v>
      </c>
      <c r="M6" s="242">
        <v>63205.262000000002</v>
      </c>
      <c r="N6" s="242">
        <v>111108.823</v>
      </c>
      <c r="O6" s="242"/>
      <c r="P6" s="242"/>
    </row>
    <row r="7" spans="2:31" ht="22.5" hidden="1" customHeight="1">
      <c r="B7" s="241" t="s">
        <v>30</v>
      </c>
      <c r="C7" s="241"/>
      <c r="D7" s="241"/>
      <c r="E7" s="242"/>
      <c r="F7" s="242"/>
      <c r="G7" s="242"/>
      <c r="H7" s="242"/>
      <c r="I7" s="242"/>
      <c r="J7" s="242"/>
      <c r="K7" s="242"/>
      <c r="L7" s="245">
        <v>250</v>
      </c>
      <c r="M7" s="244"/>
      <c r="N7" s="242">
        <v>250</v>
      </c>
      <c r="O7" s="242"/>
      <c r="P7" s="242"/>
    </row>
    <row r="8" spans="2:31" ht="22.5" hidden="1" customHeight="1">
      <c r="B8" s="241" t="s">
        <v>39</v>
      </c>
      <c r="C8" s="241"/>
      <c r="D8" s="241"/>
      <c r="E8" s="242"/>
      <c r="F8" s="242"/>
      <c r="G8" s="242"/>
      <c r="H8" s="242">
        <f>'[1]Import fee'!H26</f>
        <v>11401</v>
      </c>
      <c r="I8" s="242"/>
      <c r="J8" s="244"/>
      <c r="K8" s="244"/>
      <c r="L8" s="242"/>
      <c r="M8" s="244"/>
      <c r="N8" s="244"/>
      <c r="O8" s="242"/>
      <c r="P8" s="242"/>
    </row>
    <row r="9" spans="2:31" ht="22.5" hidden="1" customHeight="1">
      <c r="B9" s="241" t="s">
        <v>42</v>
      </c>
      <c r="C9" s="241"/>
      <c r="D9" s="241"/>
      <c r="E9" s="242"/>
      <c r="F9" s="242"/>
      <c r="G9" s="242"/>
      <c r="H9" s="242"/>
      <c r="I9" s="242"/>
      <c r="J9" s="242">
        <v>15148.168</v>
      </c>
      <c r="K9" s="242">
        <v>68970.823000000004</v>
      </c>
      <c r="L9" s="246">
        <v>6592.4779999999992</v>
      </c>
      <c r="M9" s="242">
        <v>18303.607</v>
      </c>
      <c r="N9" s="242">
        <v>4785.5079999999998</v>
      </c>
      <c r="O9" s="242"/>
      <c r="P9" s="242"/>
    </row>
    <row r="10" spans="2:31" ht="22.5" hidden="1" customHeight="1">
      <c r="B10" s="247" t="s">
        <v>63</v>
      </c>
      <c r="C10" s="247"/>
      <c r="D10" s="247"/>
      <c r="E10" s="248"/>
      <c r="F10" s="248"/>
      <c r="G10" s="248">
        <f>17110-G11</f>
        <v>6941.1229999999996</v>
      </c>
      <c r="H10" s="248">
        <f>77201.782-H11</f>
        <v>24491.848000000005</v>
      </c>
      <c r="I10" s="248">
        <f>47283.601-I11</f>
        <v>12993.701000000001</v>
      </c>
      <c r="J10" s="248">
        <f>23058.132-J11</f>
        <v>12169.257000000001</v>
      </c>
      <c r="K10" s="248">
        <f>73643.452-K11</f>
        <v>17540.409000000007</v>
      </c>
      <c r="L10" s="249">
        <f>42060.956-L11</f>
        <v>21441.26</v>
      </c>
      <c r="M10" s="248">
        <f>113579.147-M11</f>
        <v>15742.328999999998</v>
      </c>
      <c r="N10" s="248">
        <v>30594.802</v>
      </c>
      <c r="O10" s="248"/>
      <c r="P10" s="248"/>
    </row>
    <row r="11" spans="2:31" ht="22.5" hidden="1" customHeight="1">
      <c r="B11" s="241" t="s">
        <v>49</v>
      </c>
      <c r="C11" s="241"/>
      <c r="D11" s="241"/>
      <c r="E11" s="242"/>
      <c r="F11" s="242"/>
      <c r="G11" s="242">
        <v>10168.877</v>
      </c>
      <c r="H11" s="242">
        <v>52709.934000000001</v>
      </c>
      <c r="I11" s="242">
        <v>34289.9</v>
      </c>
      <c r="J11" s="242">
        <v>10888.875</v>
      </c>
      <c r="K11" s="242">
        <v>56103.042999999998</v>
      </c>
      <c r="L11" s="250">
        <v>20619.696</v>
      </c>
      <c r="M11" s="242">
        <v>97836.817999999999</v>
      </c>
      <c r="N11" s="242">
        <v>28515.898000000001</v>
      </c>
      <c r="O11" s="242"/>
      <c r="P11" s="242"/>
    </row>
    <row r="12" spans="2:31" ht="54.75" hidden="1" customHeight="1">
      <c r="B12" s="239" t="s">
        <v>64</v>
      </c>
      <c r="C12" s="302"/>
      <c r="D12" s="302"/>
      <c r="E12" s="242">
        <f>'[1]Import fee'!H7</f>
        <v>164832.74899999998</v>
      </c>
      <c r="F12" s="242">
        <f>'[1]Import fee'!H13</f>
        <v>102212.75200000001</v>
      </c>
      <c r="G12" s="242">
        <f>SUM(G4:G11)</f>
        <v>263843.72700000001</v>
      </c>
      <c r="H12" s="242">
        <f t="shared" ref="H12:P12" si="0">SUM(H4:H11)</f>
        <v>362082.60800000001</v>
      </c>
      <c r="I12" s="242">
        <f t="shared" si="0"/>
        <v>215548.50899999999</v>
      </c>
      <c r="J12" s="242">
        <f t="shared" si="0"/>
        <v>212714.54500000001</v>
      </c>
      <c r="K12" s="242">
        <f t="shared" si="0"/>
        <v>266633.15899999999</v>
      </c>
      <c r="L12" s="242">
        <f t="shared" si="0"/>
        <v>155136.28200000001</v>
      </c>
      <c r="M12" s="242">
        <f t="shared" si="0"/>
        <v>233244.23300000001</v>
      </c>
      <c r="N12" s="242">
        <f>SUM(N4:N11)</f>
        <v>232815.95299999998</v>
      </c>
      <c r="O12" s="242">
        <f t="shared" si="0"/>
        <v>0</v>
      </c>
      <c r="P12" s="242">
        <f t="shared" si="0"/>
        <v>0</v>
      </c>
    </row>
    <row r="13" spans="2:31" ht="15.75">
      <c r="B13" s="251" t="s">
        <v>65</v>
      </c>
      <c r="C13" s="293"/>
      <c r="D13" s="293"/>
    </row>
    <row r="14" spans="2:31" ht="21.75" customHeight="1">
      <c r="B14" s="252"/>
      <c r="C14" s="304">
        <v>43862</v>
      </c>
      <c r="D14" s="304">
        <v>43891</v>
      </c>
      <c r="E14" s="253">
        <v>43922</v>
      </c>
      <c r="F14" s="253">
        <v>43952</v>
      </c>
      <c r="G14" s="253">
        <v>43983</v>
      </c>
      <c r="H14" s="253">
        <v>44013</v>
      </c>
      <c r="I14" s="253">
        <v>44044</v>
      </c>
      <c r="J14" s="253">
        <v>44075</v>
      </c>
      <c r="K14" s="253">
        <v>44105</v>
      </c>
      <c r="L14" s="253">
        <v>44136</v>
      </c>
      <c r="M14" s="253">
        <v>44166</v>
      </c>
      <c r="N14" s="253">
        <v>44197</v>
      </c>
      <c r="O14" s="253">
        <v>44228</v>
      </c>
      <c r="P14" s="253">
        <v>44256</v>
      </c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</row>
    <row r="15" spans="2:31" ht="22.5" customHeight="1">
      <c r="B15" s="241" t="s">
        <v>61</v>
      </c>
      <c r="C15" s="292">
        <v>1226.5</v>
      </c>
      <c r="D15" s="292">
        <v>0</v>
      </c>
      <c r="E15" s="208">
        <v>0</v>
      </c>
      <c r="F15" s="242" t="e">
        <f>#REF!</f>
        <v>#REF!</v>
      </c>
      <c r="G15" s="242" t="e">
        <f>#REF!</f>
        <v>#REF!</v>
      </c>
      <c r="H15" s="242" t="e">
        <f>#REF!</f>
        <v>#REF!</v>
      </c>
      <c r="I15" s="242" t="e">
        <f>#REF!</f>
        <v>#REF!</v>
      </c>
      <c r="J15" s="242" t="e">
        <f>#REF!</f>
        <v>#REF!</v>
      </c>
      <c r="K15" s="242"/>
      <c r="L15" s="243"/>
      <c r="M15" s="242"/>
      <c r="N15" s="242"/>
      <c r="O15" s="242"/>
      <c r="P15" s="242"/>
      <c r="S15" s="255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2:31" ht="22.5" customHeight="1">
      <c r="B16" s="241" t="s">
        <v>62</v>
      </c>
      <c r="C16" s="241"/>
      <c r="D16" s="241"/>
      <c r="E16" s="242">
        <v>0</v>
      </c>
      <c r="F16" s="242">
        <v>0</v>
      </c>
      <c r="G16" s="242"/>
      <c r="H16" s="242"/>
      <c r="I16" s="242"/>
      <c r="J16" s="244" t="e">
        <f>#REF!</f>
        <v>#REF!</v>
      </c>
      <c r="K16" s="242"/>
      <c r="L16" s="243"/>
      <c r="M16" s="242"/>
      <c r="N16" s="256"/>
      <c r="O16" s="242"/>
      <c r="P16" s="242"/>
      <c r="S16" s="255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</row>
    <row r="17" spans="2:31" ht="22.5" customHeight="1">
      <c r="B17" s="241" t="s">
        <v>52</v>
      </c>
      <c r="C17" s="241">
        <v>6771.0360000000001</v>
      </c>
      <c r="D17" s="241">
        <v>0</v>
      </c>
      <c r="E17" s="242"/>
      <c r="F17" s="242">
        <v>0</v>
      </c>
      <c r="G17" s="242" t="e">
        <f>#REF!</f>
        <v>#REF!</v>
      </c>
      <c r="H17" s="242" t="e">
        <f>#REF!</f>
        <v>#REF!</v>
      </c>
      <c r="I17" s="242" t="e">
        <f>#REF!</f>
        <v>#REF!</v>
      </c>
      <c r="J17" s="242" t="e">
        <f>#REF!</f>
        <v>#REF!</v>
      </c>
      <c r="K17" s="242"/>
      <c r="L17" s="243"/>
      <c r="M17" s="242"/>
      <c r="N17" s="242"/>
      <c r="O17" s="242"/>
      <c r="P17" s="242"/>
      <c r="S17" s="255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</row>
    <row r="18" spans="2:31" ht="22.5" customHeight="1">
      <c r="B18" s="241" t="s">
        <v>30</v>
      </c>
      <c r="C18" s="241"/>
      <c r="D18" s="241"/>
      <c r="E18" s="242"/>
      <c r="F18" s="242"/>
      <c r="G18" s="242"/>
      <c r="H18" s="242"/>
      <c r="I18" s="242"/>
      <c r="J18" s="242"/>
      <c r="K18" s="242"/>
      <c r="L18" s="245"/>
      <c r="M18" s="244"/>
      <c r="N18" s="242"/>
      <c r="O18" s="242"/>
      <c r="P18" s="242"/>
      <c r="S18" s="255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</row>
    <row r="19" spans="2:31" ht="22.5" customHeight="1">
      <c r="B19" s="241" t="s">
        <v>39</v>
      </c>
      <c r="C19" s="241"/>
      <c r="D19" s="241"/>
      <c r="E19" s="242"/>
      <c r="F19" s="242"/>
      <c r="G19" s="242" t="e">
        <f>#REF!</f>
        <v>#REF!</v>
      </c>
      <c r="H19" s="242"/>
      <c r="I19" s="242"/>
      <c r="J19" s="244"/>
      <c r="K19" s="244"/>
      <c r="L19" s="242"/>
      <c r="M19" s="244"/>
      <c r="N19" s="244"/>
      <c r="O19" s="242"/>
      <c r="P19" s="242"/>
      <c r="S19" s="255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</row>
    <row r="20" spans="2:31" ht="22.5" customHeight="1">
      <c r="B20" s="241" t="s">
        <v>42</v>
      </c>
      <c r="C20" s="241"/>
      <c r="D20" s="241"/>
      <c r="E20" s="242"/>
      <c r="F20" s="242"/>
      <c r="G20" s="242"/>
      <c r="H20" s="242"/>
      <c r="I20" s="242"/>
      <c r="J20" s="242" t="e">
        <f>#REF!</f>
        <v>#REF!</v>
      </c>
      <c r="K20" s="242"/>
      <c r="L20" s="246"/>
      <c r="M20" s="242"/>
      <c r="N20" s="242"/>
      <c r="O20" s="242"/>
      <c r="P20" s="242"/>
      <c r="S20" s="255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</row>
    <row r="21" spans="2:31" ht="22.5" customHeight="1">
      <c r="B21" s="241" t="s">
        <v>63</v>
      </c>
      <c r="C21" s="241">
        <v>1025.884</v>
      </c>
      <c r="D21" s="241">
        <v>0</v>
      </c>
      <c r="E21" s="242"/>
      <c r="F21" s="242"/>
      <c r="G21" s="242" t="e">
        <f>#REF!</f>
        <v>#REF!</v>
      </c>
      <c r="H21" s="242" t="e">
        <f>#REF!</f>
        <v>#REF!</v>
      </c>
      <c r="I21" s="242" t="e">
        <f>#REF!</f>
        <v>#REF!</v>
      </c>
      <c r="J21" s="242" t="e">
        <f>#REF!</f>
        <v>#REF!</v>
      </c>
      <c r="K21" s="242"/>
      <c r="L21" s="250"/>
      <c r="M21" s="242"/>
      <c r="N21" s="242"/>
      <c r="O21" s="242"/>
      <c r="P21" s="242"/>
      <c r="S21" s="255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</row>
    <row r="22" spans="2:31" ht="22.5" customHeight="1">
      <c r="B22" s="241" t="s">
        <v>49</v>
      </c>
      <c r="C22" s="241">
        <v>957.49199999999996</v>
      </c>
      <c r="D22" s="241">
        <v>0</v>
      </c>
      <c r="E22" s="242"/>
      <c r="F22" s="242"/>
      <c r="G22" s="242" t="e">
        <f>#REF!</f>
        <v>#REF!</v>
      </c>
      <c r="H22" s="242" t="e">
        <f>#REF!</f>
        <v>#REF!</v>
      </c>
      <c r="I22" s="242" t="e">
        <f>#REF!</f>
        <v>#REF!</v>
      </c>
      <c r="J22" s="242" t="e">
        <f>#REF!</f>
        <v>#REF!</v>
      </c>
      <c r="K22" s="242"/>
      <c r="L22" s="250"/>
      <c r="M22" s="242"/>
      <c r="N22" s="242"/>
      <c r="O22" s="242"/>
      <c r="P22" s="242"/>
      <c r="S22" s="255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</row>
    <row r="23" spans="2:31" ht="54.75" customHeight="1">
      <c r="B23" s="239" t="s">
        <v>64</v>
      </c>
      <c r="C23" s="317">
        <f>SUM(C15:C21)</f>
        <v>9023.42</v>
      </c>
      <c r="D23" s="317">
        <v>0</v>
      </c>
      <c r="E23" s="242"/>
      <c r="F23" s="242" t="e">
        <f t="shared" ref="F23:M23" si="1">SUM(F15:F22)</f>
        <v>#REF!</v>
      </c>
      <c r="G23" s="242" t="e">
        <f>SUM(G15:G21)</f>
        <v>#REF!</v>
      </c>
      <c r="H23" s="242" t="e">
        <f t="shared" si="1"/>
        <v>#REF!</v>
      </c>
      <c r="I23" s="242" t="e">
        <f t="shared" si="1"/>
        <v>#REF!</v>
      </c>
      <c r="J23" s="242" t="e">
        <f t="shared" si="1"/>
        <v>#REF!</v>
      </c>
      <c r="K23" s="242">
        <f t="shared" si="1"/>
        <v>0</v>
      </c>
      <c r="L23" s="242">
        <f t="shared" si="1"/>
        <v>0</v>
      </c>
      <c r="M23" s="242">
        <f t="shared" si="1"/>
        <v>0</v>
      </c>
      <c r="N23" s="242">
        <f>SUM(N15:N22)</f>
        <v>0</v>
      </c>
      <c r="O23" s="242">
        <f t="shared" ref="O23:P23" si="2">SUM(O15:O22)</f>
        <v>0</v>
      </c>
      <c r="P23" s="242">
        <f t="shared" si="2"/>
        <v>0</v>
      </c>
      <c r="S23" s="257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</row>
    <row r="24" spans="2:31" ht="26.25" customHeight="1">
      <c r="B24" s="258"/>
      <c r="C24" s="258"/>
      <c r="D24" s="258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</row>
    <row r="25" spans="2:31" ht="26.25" customHeight="1">
      <c r="B25" s="258"/>
      <c r="C25" s="258"/>
      <c r="D25" s="258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</row>
    <row r="26" spans="2:31" ht="23.25" customHeight="1">
      <c r="B26" s="251" t="s">
        <v>66</v>
      </c>
      <c r="C26" s="303"/>
      <c r="D26" s="303"/>
    </row>
    <row r="27" spans="2:31" ht="21.75" customHeight="1">
      <c r="B27" s="260"/>
      <c r="C27" s="305">
        <v>43862</v>
      </c>
      <c r="D27" s="305">
        <v>43891</v>
      </c>
      <c r="E27" s="261">
        <v>43922</v>
      </c>
      <c r="F27" s="261">
        <v>43952</v>
      </c>
      <c r="G27" s="261">
        <v>43983</v>
      </c>
      <c r="H27" s="261">
        <v>44013</v>
      </c>
      <c r="I27" s="261">
        <v>44044</v>
      </c>
      <c r="J27" s="261">
        <v>44075</v>
      </c>
      <c r="K27" s="261">
        <v>44105</v>
      </c>
      <c r="L27" s="261">
        <v>44136</v>
      </c>
      <c r="M27" s="261">
        <v>44166</v>
      </c>
      <c r="N27" s="261">
        <v>44197</v>
      </c>
      <c r="O27" s="261">
        <v>44228</v>
      </c>
      <c r="P27" s="261">
        <v>44256</v>
      </c>
    </row>
    <row r="28" spans="2:31" ht="22.5" customHeight="1">
      <c r="B28" s="241" t="s">
        <v>61</v>
      </c>
      <c r="C28" s="241">
        <v>1959.84</v>
      </c>
      <c r="D28" s="241">
        <v>2998.88</v>
      </c>
      <c r="E28" s="242" t="e">
        <f>#REF!</f>
        <v>#REF!</v>
      </c>
      <c r="F28" s="242" t="e">
        <f>#REF!</f>
        <v>#REF!</v>
      </c>
      <c r="G28" s="242" t="e">
        <f>#REF!</f>
        <v>#REF!</v>
      </c>
      <c r="H28" s="242" t="e">
        <f>#REF!</f>
        <v>#REF!</v>
      </c>
      <c r="I28" s="242" t="e">
        <f>#REF!+#REF!</f>
        <v>#REF!</v>
      </c>
      <c r="J28" s="242" t="e">
        <f>#REF!</f>
        <v>#REF!</v>
      </c>
      <c r="K28" s="242" t="e">
        <f>#REF!</f>
        <v>#REF!</v>
      </c>
      <c r="L28" s="243"/>
      <c r="M28" s="242"/>
      <c r="N28" s="242"/>
      <c r="O28" s="242"/>
      <c r="P28" s="242"/>
    </row>
    <row r="29" spans="2:31" ht="22.5" customHeight="1">
      <c r="B29" s="241" t="s">
        <v>62</v>
      </c>
      <c r="C29" s="241"/>
      <c r="D29" s="241"/>
      <c r="E29" s="242" t="e">
        <f>#REF!</f>
        <v>#REF!</v>
      </c>
      <c r="F29" s="242"/>
      <c r="G29" s="242"/>
      <c r="H29" s="242"/>
      <c r="I29" s="242"/>
      <c r="J29" s="244" t="e">
        <f>#REF!</f>
        <v>#REF!</v>
      </c>
      <c r="K29" s="242" t="e">
        <f>#REF!</f>
        <v>#REF!</v>
      </c>
      <c r="L29" s="243"/>
      <c r="M29" s="242"/>
      <c r="N29" s="242"/>
      <c r="O29" s="242"/>
      <c r="P29" s="242"/>
    </row>
    <row r="30" spans="2:31" ht="22.5" customHeight="1">
      <c r="B30" s="241" t="s">
        <v>52</v>
      </c>
      <c r="C30" s="241">
        <v>6362.09</v>
      </c>
      <c r="D30" s="241">
        <v>17475.745999999999</v>
      </c>
      <c r="E30" s="242" t="e">
        <f>#REF!</f>
        <v>#REF!</v>
      </c>
      <c r="F30" s="242" t="e">
        <f>#REF!</f>
        <v>#REF!</v>
      </c>
      <c r="G30" s="242" t="e">
        <f>#REF!</f>
        <v>#REF!</v>
      </c>
      <c r="H30" s="242" t="e">
        <f>#REF!</f>
        <v>#REF!</v>
      </c>
      <c r="I30" s="262" t="e">
        <f>#REF!</f>
        <v>#REF!</v>
      </c>
      <c r="J30" s="242" t="e">
        <f>#REF!</f>
        <v>#REF!</v>
      </c>
      <c r="K30" s="242" t="e">
        <f>#REF!</f>
        <v>#REF!</v>
      </c>
      <c r="L30" s="243"/>
      <c r="M30" s="242"/>
      <c r="N30" s="242"/>
      <c r="O30" s="242"/>
      <c r="P30" s="242"/>
    </row>
    <row r="31" spans="2:31" ht="22.5" customHeight="1">
      <c r="B31" s="241" t="s">
        <v>30</v>
      </c>
      <c r="C31" s="241"/>
      <c r="D31" s="241"/>
      <c r="E31" s="242"/>
      <c r="G31" s="242"/>
      <c r="H31" s="242"/>
      <c r="I31" s="242"/>
      <c r="J31" s="242"/>
      <c r="K31" s="242"/>
      <c r="L31" s="245"/>
      <c r="M31" s="242"/>
      <c r="N31" s="242"/>
      <c r="O31" s="242"/>
      <c r="P31" s="242"/>
    </row>
    <row r="32" spans="2:31" ht="22.5" customHeight="1">
      <c r="B32" s="241" t="s">
        <v>39</v>
      </c>
      <c r="C32" s="241"/>
      <c r="D32" s="241"/>
      <c r="F32" s="242"/>
      <c r="G32" s="242"/>
      <c r="H32" s="242"/>
      <c r="I32" s="242"/>
      <c r="J32" s="244"/>
      <c r="K32" s="242" t="e">
        <f>#REF!</f>
        <v>#REF!</v>
      </c>
      <c r="L32" s="242"/>
      <c r="M32" s="242"/>
      <c r="N32" s="244"/>
      <c r="O32" s="242"/>
      <c r="P32" s="242"/>
    </row>
    <row r="33" spans="2:17" ht="22.5" customHeight="1">
      <c r="B33" s="241" t="s">
        <v>42</v>
      </c>
      <c r="C33" s="241"/>
      <c r="D33" s="241"/>
      <c r="F33" s="242"/>
      <c r="G33" s="242"/>
      <c r="H33" s="242"/>
      <c r="I33" s="242"/>
      <c r="J33" s="242"/>
      <c r="K33" s="242"/>
      <c r="L33" s="246"/>
      <c r="M33" s="242"/>
      <c r="N33" s="242"/>
      <c r="O33" s="242"/>
      <c r="P33" s="242"/>
    </row>
    <row r="34" spans="2:17" ht="22.5" customHeight="1">
      <c r="B34" s="241" t="s">
        <v>63</v>
      </c>
      <c r="C34" s="241">
        <v>546.14800000000002</v>
      </c>
      <c r="D34" s="241">
        <v>2005.1769999999999</v>
      </c>
      <c r="E34" s="242" t="e">
        <f>#REF!</f>
        <v>#REF!</v>
      </c>
      <c r="F34" s="242" t="e">
        <f>#REF!</f>
        <v>#REF!</v>
      </c>
      <c r="G34" s="242" t="e">
        <f>#REF!</f>
        <v>#REF!</v>
      </c>
      <c r="H34" s="242" t="e">
        <f>#REF!</f>
        <v>#REF!</v>
      </c>
      <c r="I34" s="242" t="e">
        <f>#REF!</f>
        <v>#REF!</v>
      </c>
      <c r="J34" s="242">
        <v>0</v>
      </c>
      <c r="K34" s="242" t="e">
        <f>#REF!</f>
        <v>#REF!</v>
      </c>
      <c r="L34" s="250"/>
      <c r="M34" s="311"/>
      <c r="N34" s="242"/>
      <c r="O34" s="242"/>
      <c r="P34" s="242"/>
    </row>
    <row r="35" spans="2:17" ht="22.5" customHeight="1">
      <c r="B35" s="241" t="s">
        <v>49</v>
      </c>
      <c r="C35" s="241">
        <v>1146.9100000000001</v>
      </c>
      <c r="D35" s="241">
        <v>7973.4939999999997</v>
      </c>
      <c r="E35" s="242" t="e">
        <f>#REF!</f>
        <v>#REF!</v>
      </c>
      <c r="F35" s="242" t="e">
        <f>#REF!</f>
        <v>#REF!</v>
      </c>
      <c r="G35" s="242" t="e">
        <f>#REF!</f>
        <v>#REF!</v>
      </c>
      <c r="H35" s="242" t="e">
        <f>#REF!</f>
        <v>#REF!</v>
      </c>
      <c r="I35" s="242" t="e">
        <f>#REF!</f>
        <v>#REF!</v>
      </c>
      <c r="J35" s="242">
        <v>0</v>
      </c>
      <c r="K35" s="242" t="e">
        <f>#REF!</f>
        <v>#REF!</v>
      </c>
      <c r="L35" s="250"/>
      <c r="M35" s="242"/>
      <c r="N35" s="242"/>
      <c r="O35" s="242"/>
      <c r="P35" s="242"/>
    </row>
    <row r="36" spans="2:17" ht="54.75" customHeight="1">
      <c r="B36" s="239" t="s">
        <v>64</v>
      </c>
      <c r="C36" s="317">
        <f>SUM(C28:C34)</f>
        <v>8868.0779999999995</v>
      </c>
      <c r="D36" s="317">
        <f>SUM(D28:D34)</f>
        <v>22479.803</v>
      </c>
      <c r="E36" s="242" t="e">
        <f>SUM(E28:E34)</f>
        <v>#REF!</v>
      </c>
      <c r="F36" s="242" t="e">
        <f>SUM(F28:F34)</f>
        <v>#REF!</v>
      </c>
      <c r="G36" s="242" t="e">
        <f t="shared" ref="G36:P36" si="3">SUM(G28:G34)</f>
        <v>#REF!</v>
      </c>
      <c r="H36" s="242" t="e">
        <f t="shared" si="3"/>
        <v>#REF!</v>
      </c>
      <c r="I36" s="242" t="e">
        <f t="shared" si="3"/>
        <v>#REF!</v>
      </c>
      <c r="J36" s="242" t="e">
        <f t="shared" si="3"/>
        <v>#REF!</v>
      </c>
      <c r="K36" s="242" t="e">
        <f t="shared" si="3"/>
        <v>#REF!</v>
      </c>
      <c r="L36" s="242">
        <f t="shared" si="3"/>
        <v>0</v>
      </c>
      <c r="M36" s="242">
        <f t="shared" si="3"/>
        <v>0</v>
      </c>
      <c r="N36" s="242">
        <f t="shared" si="3"/>
        <v>0</v>
      </c>
      <c r="O36" s="242">
        <f t="shared" si="3"/>
        <v>0</v>
      </c>
      <c r="P36" s="242">
        <f t="shared" si="3"/>
        <v>0</v>
      </c>
    </row>
    <row r="37" spans="2:17" ht="18.75" customHeight="1">
      <c r="B37" s="258"/>
      <c r="C37" s="258"/>
      <c r="D37" s="258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164"/>
    </row>
    <row r="38" spans="2:17" ht="29.25" customHeight="1">
      <c r="B38" s="263" t="s">
        <v>67</v>
      </c>
      <c r="C38" s="263"/>
      <c r="D38" s="263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164"/>
    </row>
    <row r="39" spans="2:17" ht="18.75" customHeight="1">
      <c r="B39" s="239"/>
      <c r="C39" s="264">
        <v>43497</v>
      </c>
      <c r="D39" s="264">
        <v>43525</v>
      </c>
      <c r="E39" s="264">
        <v>43556</v>
      </c>
      <c r="F39" s="264">
        <v>43586</v>
      </c>
      <c r="G39" s="264">
        <v>43617</v>
      </c>
      <c r="H39" s="264">
        <v>43647</v>
      </c>
      <c r="I39" s="264">
        <v>43678</v>
      </c>
      <c r="J39" s="264">
        <v>43709</v>
      </c>
      <c r="K39" s="264">
        <v>43739</v>
      </c>
      <c r="L39" s="264">
        <v>43770</v>
      </c>
      <c r="M39" s="264">
        <v>43800</v>
      </c>
      <c r="N39" s="264">
        <v>43831</v>
      </c>
      <c r="O39" s="264">
        <v>43862</v>
      </c>
      <c r="P39" s="264">
        <v>43891</v>
      </c>
      <c r="Q39" s="164"/>
    </row>
    <row r="40" spans="2:17" ht="18.75" customHeight="1">
      <c r="B40" s="241" t="s">
        <v>63</v>
      </c>
      <c r="C40" s="241">
        <f>C34+C21</f>
        <v>1572.0320000000002</v>
      </c>
      <c r="D40" s="241">
        <f>D34+D21</f>
        <v>2005.1769999999999</v>
      </c>
      <c r="E40" s="242" t="e">
        <f>E21+E34</f>
        <v>#REF!</v>
      </c>
      <c r="F40" s="242" t="e">
        <f t="shared" ref="E40:P41" si="4">F21+F34</f>
        <v>#REF!</v>
      </c>
      <c r="G40" s="242" t="e">
        <f t="shared" si="4"/>
        <v>#REF!</v>
      </c>
      <c r="H40" s="242" t="e">
        <f t="shared" si="4"/>
        <v>#REF!</v>
      </c>
      <c r="I40" s="242" t="e">
        <f t="shared" si="4"/>
        <v>#REF!</v>
      </c>
      <c r="J40" s="242" t="e">
        <f t="shared" si="4"/>
        <v>#REF!</v>
      </c>
      <c r="K40" s="242" t="e">
        <f t="shared" si="4"/>
        <v>#REF!</v>
      </c>
      <c r="L40" s="242">
        <f t="shared" si="4"/>
        <v>0</v>
      </c>
      <c r="M40" s="242">
        <f t="shared" si="4"/>
        <v>0</v>
      </c>
      <c r="N40" s="242">
        <f t="shared" si="4"/>
        <v>0</v>
      </c>
      <c r="O40" s="242">
        <f t="shared" si="4"/>
        <v>0</v>
      </c>
      <c r="P40" s="242">
        <f t="shared" si="4"/>
        <v>0</v>
      </c>
      <c r="Q40" s="164"/>
    </row>
    <row r="41" spans="2:17" ht="18.75" customHeight="1">
      <c r="B41" s="241" t="s">
        <v>49</v>
      </c>
      <c r="C41" s="241">
        <f>C35+C22</f>
        <v>2104.402</v>
      </c>
      <c r="D41" s="241">
        <f>D35+D22</f>
        <v>7973.4939999999997</v>
      </c>
      <c r="E41" s="242" t="e">
        <f t="shared" si="4"/>
        <v>#REF!</v>
      </c>
      <c r="F41" s="242" t="e">
        <f t="shared" si="4"/>
        <v>#REF!</v>
      </c>
      <c r="G41" s="242" t="e">
        <f t="shared" si="4"/>
        <v>#REF!</v>
      </c>
      <c r="H41" s="242" t="e">
        <f t="shared" si="4"/>
        <v>#REF!</v>
      </c>
      <c r="I41" s="242" t="e">
        <f t="shared" si="4"/>
        <v>#REF!</v>
      </c>
      <c r="J41" s="242" t="e">
        <f t="shared" si="4"/>
        <v>#REF!</v>
      </c>
      <c r="K41" s="242" t="e">
        <f t="shared" si="4"/>
        <v>#REF!</v>
      </c>
      <c r="L41" s="242">
        <f t="shared" si="4"/>
        <v>0</v>
      </c>
      <c r="M41" s="242">
        <f t="shared" si="4"/>
        <v>0</v>
      </c>
      <c r="N41" s="242">
        <f t="shared" si="4"/>
        <v>0</v>
      </c>
      <c r="O41" s="242">
        <f t="shared" si="4"/>
        <v>0</v>
      </c>
      <c r="P41" s="242">
        <f t="shared" si="4"/>
        <v>0</v>
      </c>
      <c r="Q41" s="164"/>
    </row>
    <row r="42" spans="2:17" ht="18.75" customHeight="1">
      <c r="B42" s="258"/>
      <c r="C42" s="258"/>
      <c r="D42" s="258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164"/>
    </row>
    <row r="43" spans="2:17" ht="18.75" customHeight="1">
      <c r="B43" s="258"/>
      <c r="C43" s="258"/>
      <c r="D43" s="258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164"/>
    </row>
    <row r="44" spans="2:17" ht="18.75" customHeight="1">
      <c r="B44" s="258"/>
      <c r="C44" s="258"/>
      <c r="D44" s="258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164"/>
    </row>
    <row r="45" spans="2:17" ht="18.75" customHeight="1">
      <c r="B45" s="258"/>
      <c r="C45" s="258"/>
      <c r="D45" s="258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164"/>
    </row>
    <row r="46" spans="2:17" ht="18.75" customHeight="1">
      <c r="B46" s="258"/>
      <c r="C46" s="258"/>
      <c r="D46" s="258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164"/>
    </row>
    <row r="48" spans="2:17" ht="24.75" customHeight="1">
      <c r="B48" s="265" t="s">
        <v>68</v>
      </c>
      <c r="C48" s="265"/>
      <c r="D48" s="265"/>
    </row>
    <row r="49" spans="2:16" ht="23.25">
      <c r="B49" s="266"/>
      <c r="C49" s="264">
        <v>43862</v>
      </c>
      <c r="D49" s="264">
        <v>43891</v>
      </c>
      <c r="E49" s="264">
        <v>43922</v>
      </c>
      <c r="F49" s="264">
        <v>43952</v>
      </c>
      <c r="G49" s="264">
        <v>43983</v>
      </c>
      <c r="H49" s="264">
        <v>44013</v>
      </c>
      <c r="I49" s="264">
        <v>44044</v>
      </c>
      <c r="J49" s="264">
        <v>44075</v>
      </c>
      <c r="K49" s="264">
        <v>44105</v>
      </c>
      <c r="L49" s="264">
        <v>44136</v>
      </c>
      <c r="M49" s="264">
        <v>44166</v>
      </c>
      <c r="N49" s="264">
        <v>44197</v>
      </c>
      <c r="O49" s="264">
        <v>44228</v>
      </c>
      <c r="P49" s="264">
        <v>44256</v>
      </c>
    </row>
    <row r="50" spans="2:16">
      <c r="B50" t="s">
        <v>87</v>
      </c>
      <c r="C50">
        <v>16319.466</v>
      </c>
      <c r="D50">
        <v>20474.626</v>
      </c>
      <c r="E50" s="25" t="e">
        <f t="shared" ref="E50:P50" si="5">+E15+E17+E28+E30+E16+E29</f>
        <v>#REF!</v>
      </c>
      <c r="F50" s="25" t="e">
        <f t="shared" si="5"/>
        <v>#REF!</v>
      </c>
      <c r="G50" s="25" t="e">
        <f t="shared" si="5"/>
        <v>#REF!</v>
      </c>
      <c r="H50" s="25" t="e">
        <f t="shared" si="5"/>
        <v>#REF!</v>
      </c>
      <c r="I50" s="25" t="e">
        <f t="shared" si="5"/>
        <v>#REF!</v>
      </c>
      <c r="J50" s="25" t="e">
        <f t="shared" si="5"/>
        <v>#REF!</v>
      </c>
      <c r="K50" s="25" t="e">
        <f t="shared" si="5"/>
        <v>#REF!</v>
      </c>
      <c r="L50" s="25">
        <f t="shared" si="5"/>
        <v>0</v>
      </c>
      <c r="M50" s="25">
        <f>+M15+M17+M28+M30+M16+M29+M19+M32</f>
        <v>0</v>
      </c>
      <c r="N50" s="25">
        <f t="shared" si="5"/>
        <v>0</v>
      </c>
      <c r="O50" s="25">
        <f t="shared" si="5"/>
        <v>0</v>
      </c>
      <c r="P50" s="25">
        <f t="shared" si="5"/>
        <v>0</v>
      </c>
    </row>
    <row r="51" spans="2:16">
      <c r="B51" t="s">
        <v>70</v>
      </c>
      <c r="C51">
        <v>90</v>
      </c>
      <c r="D51">
        <v>85.5</v>
      </c>
      <c r="E51" s="164" t="e">
        <f>#REF!</f>
        <v>#REF!</v>
      </c>
      <c r="F51" s="164" t="e">
        <f>#REF!</f>
        <v>#REF!</v>
      </c>
      <c r="G51" s="164" t="e">
        <f>#REF!+#REF!</f>
        <v>#REF!</v>
      </c>
      <c r="H51" s="164" t="e">
        <f>#REF!+#REF!</f>
        <v>#REF!</v>
      </c>
      <c r="I51" s="164"/>
      <c r="J51" s="164"/>
      <c r="K51" s="311"/>
      <c r="L51" s="164"/>
      <c r="M51" s="164"/>
      <c r="N51" s="164"/>
      <c r="O51" s="164"/>
      <c r="P51" s="268"/>
    </row>
    <row r="52" spans="2:16" ht="30">
      <c r="B52" s="269" t="s">
        <v>71</v>
      </c>
      <c r="C52" s="269">
        <v>181.32740000000001</v>
      </c>
      <c r="D52" s="269">
        <v>239.46930994152046</v>
      </c>
      <c r="E52" s="311" t="e">
        <f>+E50/E51</f>
        <v>#REF!</v>
      </c>
      <c r="F52" s="311" t="e">
        <f>+F50/F51</f>
        <v>#REF!</v>
      </c>
      <c r="G52" s="311" t="e">
        <f>+G50/G51</f>
        <v>#REF!</v>
      </c>
      <c r="H52" s="311" t="e">
        <f>+H50/H51</f>
        <v>#REF!</v>
      </c>
      <c r="I52" s="85"/>
      <c r="J52" s="85"/>
      <c r="K52" s="85"/>
      <c r="L52" s="85"/>
      <c r="M52" s="85"/>
      <c r="N52" s="85"/>
      <c r="O52" s="85"/>
      <c r="P52" s="85"/>
    </row>
    <row r="53" spans="2:16" ht="30">
      <c r="B53" s="269" t="s">
        <v>72</v>
      </c>
      <c r="C53" s="269">
        <v>170</v>
      </c>
      <c r="D53" s="269">
        <v>170</v>
      </c>
      <c r="E53" s="312">
        <v>170</v>
      </c>
      <c r="F53" s="312">
        <v>170</v>
      </c>
      <c r="G53" s="312">
        <v>170</v>
      </c>
      <c r="H53" s="270">
        <v>170</v>
      </c>
      <c r="I53" s="270">
        <v>170</v>
      </c>
      <c r="J53" s="270">
        <v>170</v>
      </c>
      <c r="K53" s="270">
        <v>170</v>
      </c>
      <c r="L53" s="270">
        <v>170</v>
      </c>
      <c r="M53" s="270">
        <v>170</v>
      </c>
      <c r="N53" s="270">
        <v>170</v>
      </c>
      <c r="O53" s="270">
        <v>170</v>
      </c>
      <c r="P53" s="270">
        <v>170</v>
      </c>
    </row>
    <row r="54" spans="2:16">
      <c r="B54" t="s">
        <v>42</v>
      </c>
      <c r="C54">
        <v>0</v>
      </c>
      <c r="D54">
        <v>0</v>
      </c>
      <c r="E54" s="313">
        <f>+E20+F33</f>
        <v>0</v>
      </c>
      <c r="F54" s="313" t="e">
        <f>+F20+#REF!</f>
        <v>#REF!</v>
      </c>
      <c r="G54" s="313">
        <f t="shared" ref="G54:P54" si="6">+G20+G33</f>
        <v>0</v>
      </c>
      <c r="H54" s="25">
        <f t="shared" si="6"/>
        <v>0</v>
      </c>
      <c r="I54" s="25">
        <f t="shared" si="6"/>
        <v>0</v>
      </c>
      <c r="J54" s="25" t="e">
        <f t="shared" si="6"/>
        <v>#REF!</v>
      </c>
      <c r="K54" s="25">
        <f t="shared" si="6"/>
        <v>0</v>
      </c>
      <c r="L54" s="25">
        <f t="shared" si="6"/>
        <v>0</v>
      </c>
      <c r="M54" s="25">
        <f t="shared" si="6"/>
        <v>0</v>
      </c>
      <c r="N54" s="25"/>
      <c r="O54" s="25">
        <f t="shared" si="6"/>
        <v>0</v>
      </c>
      <c r="P54" s="25">
        <f t="shared" si="6"/>
        <v>0</v>
      </c>
    </row>
    <row r="55" spans="2:16">
      <c r="B55" t="s">
        <v>70</v>
      </c>
      <c r="E55" s="164" t="e">
        <f>#REF!</f>
        <v>#REF!</v>
      </c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268"/>
    </row>
    <row r="56" spans="2:16">
      <c r="B56" t="s">
        <v>73</v>
      </c>
      <c r="C56" t="e">
        <v>#DIV/0!</v>
      </c>
      <c r="D56" t="e">
        <v>#DIV/0!</v>
      </c>
      <c r="E56" s="85" t="e">
        <f>+E54/E55</f>
        <v>#REF!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</row>
    <row r="57" spans="2:16">
      <c r="B57" t="s">
        <v>74</v>
      </c>
      <c r="C57">
        <v>270</v>
      </c>
      <c r="D57">
        <v>270</v>
      </c>
      <c r="E57" s="85">
        <v>270</v>
      </c>
      <c r="F57" s="85">
        <v>270</v>
      </c>
      <c r="G57" s="85">
        <v>270</v>
      </c>
      <c r="H57" s="85">
        <v>270</v>
      </c>
      <c r="I57" s="85">
        <v>270</v>
      </c>
      <c r="J57" s="85">
        <v>270</v>
      </c>
      <c r="K57" s="85">
        <v>270</v>
      </c>
      <c r="L57" s="85">
        <v>270</v>
      </c>
      <c r="M57" s="85">
        <v>270</v>
      </c>
      <c r="N57" s="85">
        <v>270</v>
      </c>
      <c r="O57" s="85">
        <v>270</v>
      </c>
      <c r="P57" s="85">
        <v>270</v>
      </c>
    </row>
    <row r="58" spans="2:16">
      <c r="B58" s="268" t="s">
        <v>8</v>
      </c>
      <c r="C58" s="268"/>
      <c r="D58" s="268"/>
      <c r="E58" s="271" t="e">
        <f>+E55+E51</f>
        <v>#REF!</v>
      </c>
      <c r="F58" s="268" t="e">
        <f t="shared" ref="F58:P58" si="7">+F55+F51</f>
        <v>#REF!</v>
      </c>
      <c r="G58" s="271" t="e">
        <f t="shared" si="7"/>
        <v>#REF!</v>
      </c>
      <c r="H58" s="271" t="e">
        <f t="shared" si="7"/>
        <v>#REF!</v>
      </c>
      <c r="I58" s="271">
        <f t="shared" si="7"/>
        <v>0</v>
      </c>
      <c r="J58" s="268">
        <f t="shared" si="7"/>
        <v>0</v>
      </c>
      <c r="K58" s="271">
        <f t="shared" si="7"/>
        <v>0</v>
      </c>
      <c r="L58" s="271">
        <f t="shared" si="7"/>
        <v>0</v>
      </c>
      <c r="M58" s="268">
        <f t="shared" si="7"/>
        <v>0</v>
      </c>
      <c r="N58" s="268">
        <f t="shared" si="7"/>
        <v>0</v>
      </c>
      <c r="O58" s="268">
        <f t="shared" si="7"/>
        <v>0</v>
      </c>
      <c r="P58" s="268">
        <f t="shared" si="7"/>
        <v>0</v>
      </c>
    </row>
    <row r="59" spans="2:16">
      <c r="E59" s="164"/>
      <c r="F59" s="164"/>
      <c r="G59" s="164"/>
      <c r="H59" s="164"/>
      <c r="I59" s="164"/>
      <c r="J59" s="164"/>
      <c r="K59" s="164"/>
      <c r="L59" s="164"/>
      <c r="M59" s="164"/>
    </row>
    <row r="60" spans="2:16">
      <c r="E60" s="164"/>
      <c r="F60" s="164"/>
      <c r="G60" s="164"/>
      <c r="H60" s="164"/>
      <c r="I60" s="164"/>
      <c r="J60" s="164"/>
      <c r="K60" s="164"/>
      <c r="L60" s="164"/>
      <c r="M60" s="164"/>
    </row>
    <row r="61" spans="2:16" ht="30.75" customHeight="1">
      <c r="B61" s="272" t="s">
        <v>75</v>
      </c>
      <c r="C61" s="272"/>
      <c r="D61" s="272"/>
    </row>
    <row r="62" spans="2:16">
      <c r="B62" s="239"/>
      <c r="C62" s="264">
        <v>43862</v>
      </c>
      <c r="D62" s="264">
        <v>43891</v>
      </c>
      <c r="E62" s="264">
        <v>43922</v>
      </c>
      <c r="F62" s="264">
        <v>43952</v>
      </c>
      <c r="G62" s="264">
        <v>43983</v>
      </c>
      <c r="H62" s="264">
        <v>44013</v>
      </c>
      <c r="I62" s="264">
        <v>44044</v>
      </c>
      <c r="J62" s="264">
        <v>44075</v>
      </c>
      <c r="K62" s="264">
        <v>44105</v>
      </c>
      <c r="L62" s="264">
        <v>44136</v>
      </c>
      <c r="M62" s="264">
        <v>44166</v>
      </c>
      <c r="N62" s="264">
        <v>44197</v>
      </c>
      <c r="O62" s="264">
        <v>44228</v>
      </c>
      <c r="P62" s="264">
        <v>44256</v>
      </c>
    </row>
    <row r="63" spans="2:16">
      <c r="B63" s="273" t="s">
        <v>76</v>
      </c>
      <c r="C63" s="273">
        <v>27.6</v>
      </c>
      <c r="D63" s="273">
        <v>148</v>
      </c>
      <c r="E63" s="242">
        <v>0</v>
      </c>
      <c r="F63" s="242">
        <v>0</v>
      </c>
      <c r="G63" s="242" t="e">
        <f>#REF!+#REF!</f>
        <v>#REF!</v>
      </c>
      <c r="H63" s="242" t="e">
        <f>#REF!+#REF!</f>
        <v>#REF!</v>
      </c>
      <c r="I63" s="242" t="e">
        <f>#REF!</f>
        <v>#REF!</v>
      </c>
      <c r="J63" s="242" t="e">
        <f>#REF!</f>
        <v>#REF!</v>
      </c>
      <c r="K63" s="242"/>
      <c r="L63" s="242"/>
      <c r="M63" s="242"/>
      <c r="N63" s="242"/>
      <c r="O63" s="242"/>
      <c r="P63" s="242"/>
    </row>
    <row r="64" spans="2:16">
      <c r="B64" s="237" t="s">
        <v>77</v>
      </c>
      <c r="C64" s="300">
        <v>68</v>
      </c>
      <c r="D64" s="300">
        <v>230</v>
      </c>
      <c r="E64" s="318" t="e">
        <f>#REF!</f>
        <v>#REF!</v>
      </c>
      <c r="F64" s="242" t="e">
        <f>#REF!</f>
        <v>#REF!</v>
      </c>
      <c r="G64" s="242">
        <v>0</v>
      </c>
      <c r="H64" s="242">
        <v>0</v>
      </c>
      <c r="I64" s="242" t="e">
        <f>#REF!+#REF!</f>
        <v>#REF!</v>
      </c>
      <c r="J64" s="242">
        <v>0</v>
      </c>
      <c r="K64" s="242" t="e">
        <f>#REF!+#REF!+#REF!</f>
        <v>#REF!</v>
      </c>
      <c r="L64" s="242"/>
      <c r="M64" s="242"/>
      <c r="N64" s="242"/>
      <c r="O64" s="242"/>
      <c r="P64" s="242"/>
    </row>
    <row r="65" spans="2:16">
      <c r="B65" s="274" t="s">
        <v>8</v>
      </c>
      <c r="C65" s="274">
        <v>95.6</v>
      </c>
      <c r="D65" s="274">
        <v>378</v>
      </c>
      <c r="E65" s="319" t="e">
        <f>+E64+E63</f>
        <v>#REF!</v>
      </c>
      <c r="F65" s="275" t="e">
        <f t="shared" ref="F65:P65" si="8">+F64+F63</f>
        <v>#REF!</v>
      </c>
      <c r="G65" s="275" t="e">
        <f t="shared" si="8"/>
        <v>#REF!</v>
      </c>
      <c r="H65" s="275" t="e">
        <f t="shared" si="8"/>
        <v>#REF!</v>
      </c>
      <c r="I65" s="275" t="e">
        <f t="shared" si="8"/>
        <v>#REF!</v>
      </c>
      <c r="J65" s="275" t="e">
        <f t="shared" si="8"/>
        <v>#REF!</v>
      </c>
      <c r="K65" s="275" t="e">
        <f t="shared" si="8"/>
        <v>#REF!</v>
      </c>
      <c r="L65" s="275">
        <f t="shared" si="8"/>
        <v>0</v>
      </c>
      <c r="M65" s="275">
        <f t="shared" si="8"/>
        <v>0</v>
      </c>
      <c r="N65" s="275">
        <f t="shared" si="8"/>
        <v>0</v>
      </c>
      <c r="O65" s="275">
        <f t="shared" si="8"/>
        <v>0</v>
      </c>
      <c r="P65" s="275">
        <f t="shared" si="8"/>
        <v>0</v>
      </c>
    </row>
  </sheetData>
  <mergeCells count="1">
    <mergeCell ref="E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3"/>
  <sheetViews>
    <sheetView topLeftCell="D1" workbookViewId="0">
      <selection activeCell="W18" sqref="W18"/>
    </sheetView>
  </sheetViews>
  <sheetFormatPr defaultRowHeight="15"/>
  <cols>
    <col min="1" max="1" width="12" customWidth="1"/>
    <col min="2" max="5" width="9.28515625" customWidth="1"/>
    <col min="6" max="6" width="8.140625" customWidth="1"/>
    <col min="7" max="7" width="12.42578125" customWidth="1"/>
    <col min="8" max="8" width="9.85546875" customWidth="1"/>
    <col min="9" max="9" width="8.5703125" customWidth="1"/>
    <col min="10" max="10" width="8.7109375" customWidth="1"/>
    <col min="11" max="11" width="8.85546875" customWidth="1"/>
    <col min="12" max="12" width="8.5703125" customWidth="1"/>
    <col min="13" max="13" width="8.140625" customWidth="1"/>
    <col min="14" max="14" width="9.28515625" customWidth="1"/>
    <col min="15" max="15" width="9.7109375" customWidth="1"/>
    <col min="16" max="16" width="9.42578125" customWidth="1"/>
    <col min="17" max="17" width="9.85546875" customWidth="1"/>
    <col min="18" max="18" width="6.140625" customWidth="1"/>
    <col min="19" max="19" width="8.7109375" customWidth="1"/>
    <col min="20" max="20" width="8.140625" customWidth="1"/>
    <col min="21" max="21" width="8.5703125" customWidth="1"/>
    <col min="22" max="22" width="6.140625" customWidth="1"/>
    <col min="23" max="23" width="8.85546875" customWidth="1"/>
    <col min="24" max="24" width="9.28515625" customWidth="1"/>
    <col min="25" max="25" width="10.42578125" customWidth="1"/>
    <col min="26" max="26" width="8.5703125" customWidth="1"/>
    <col min="27" max="27" width="9.7109375" customWidth="1"/>
    <col min="28" max="28" width="6.140625" customWidth="1"/>
    <col min="29" max="29" width="9.28515625" customWidth="1"/>
  </cols>
  <sheetData>
    <row r="3" spans="1:29">
      <c r="A3" s="396"/>
      <c r="B3" s="399">
        <v>43862</v>
      </c>
      <c r="C3" s="400"/>
      <c r="D3" s="399">
        <v>43891</v>
      </c>
      <c r="E3" s="400"/>
      <c r="F3" s="398">
        <v>43939</v>
      </c>
      <c r="G3" s="398"/>
      <c r="H3" s="398">
        <v>43952</v>
      </c>
      <c r="I3" s="398"/>
      <c r="J3" s="398">
        <v>43983</v>
      </c>
      <c r="K3" s="398"/>
      <c r="L3" s="398">
        <v>44013</v>
      </c>
      <c r="M3" s="398"/>
      <c r="N3" s="398">
        <v>44044</v>
      </c>
      <c r="O3" s="398"/>
      <c r="P3" s="398">
        <v>44075</v>
      </c>
      <c r="Q3" s="398"/>
      <c r="R3" s="398">
        <v>44105</v>
      </c>
      <c r="S3" s="398"/>
      <c r="T3" s="398">
        <v>44136</v>
      </c>
      <c r="U3" s="398"/>
      <c r="V3" s="398">
        <v>44166</v>
      </c>
      <c r="W3" s="398"/>
      <c r="X3" s="398">
        <v>44197</v>
      </c>
      <c r="Y3" s="398"/>
      <c r="Z3" s="398">
        <v>44228</v>
      </c>
      <c r="AA3" s="398"/>
      <c r="AB3" s="398">
        <v>44256</v>
      </c>
      <c r="AC3" s="398"/>
    </row>
    <row r="4" spans="1:29">
      <c r="A4" s="396"/>
      <c r="B4" s="301" t="s">
        <v>57</v>
      </c>
      <c r="C4" s="301" t="s">
        <v>58</v>
      </c>
      <c r="D4" s="301" t="s">
        <v>57</v>
      </c>
      <c r="E4" s="301" t="s">
        <v>58</v>
      </c>
      <c r="F4" s="238" t="s">
        <v>57</v>
      </c>
      <c r="G4" s="238" t="s">
        <v>58</v>
      </c>
      <c r="H4" s="238" t="s">
        <v>57</v>
      </c>
      <c r="I4" s="238" t="s">
        <v>58</v>
      </c>
      <c r="J4" s="238" t="s">
        <v>57</v>
      </c>
      <c r="K4" s="238" t="s">
        <v>58</v>
      </c>
      <c r="L4" s="238" t="s">
        <v>57</v>
      </c>
      <c r="M4" s="238" t="s">
        <v>58</v>
      </c>
      <c r="N4" s="238" t="s">
        <v>57</v>
      </c>
      <c r="O4" s="238" t="s">
        <v>58</v>
      </c>
      <c r="P4" s="238" t="s">
        <v>57</v>
      </c>
      <c r="Q4" s="238" t="s">
        <v>58</v>
      </c>
      <c r="R4" s="238" t="s">
        <v>57</v>
      </c>
      <c r="S4" s="238" t="s">
        <v>58</v>
      </c>
      <c r="T4" s="238" t="s">
        <v>57</v>
      </c>
      <c r="U4" s="238" t="s">
        <v>58</v>
      </c>
      <c r="V4" s="238" t="s">
        <v>57</v>
      </c>
      <c r="W4" s="238" t="s">
        <v>58</v>
      </c>
      <c r="X4" s="238" t="s">
        <v>57</v>
      </c>
      <c r="Y4" s="238" t="s">
        <v>58</v>
      </c>
      <c r="Z4" s="238" t="s">
        <v>57</v>
      </c>
      <c r="AA4" s="238" t="s">
        <v>58</v>
      </c>
      <c r="AB4" s="238" t="s">
        <v>57</v>
      </c>
      <c r="AC4" s="238" t="s">
        <v>58</v>
      </c>
    </row>
    <row r="5" spans="1:29">
      <c r="A5" s="241" t="s">
        <v>61</v>
      </c>
      <c r="B5" s="241">
        <f>'Total fee for Commercial (1)'!C15</f>
        <v>1226.5</v>
      </c>
      <c r="C5" s="241">
        <f>'Total fee for Commercial (1)'!C28</f>
        <v>1959.84</v>
      </c>
      <c r="D5" s="241">
        <f>'Total fee for Commercial (1)'!D15</f>
        <v>0</v>
      </c>
      <c r="E5" s="241">
        <f>'Total fee for Commercial (1)'!D28</f>
        <v>2998.88</v>
      </c>
      <c r="F5" s="212">
        <f>'Total fee for Commercial (1)'!E15</f>
        <v>0</v>
      </c>
      <c r="G5" s="212" t="e">
        <f>'Total fee for Commercial (1)'!E28</f>
        <v>#REF!</v>
      </c>
      <c r="H5" s="212" t="e">
        <f>'Total fee for Commercial (1)'!F15</f>
        <v>#REF!</v>
      </c>
      <c r="I5" s="212" t="e">
        <f>'Total fee for Commercial (1)'!F28</f>
        <v>#REF!</v>
      </c>
      <c r="J5" s="212" t="e">
        <f>'Total fee for Commercial (1)'!G15</f>
        <v>#REF!</v>
      </c>
      <c r="K5" s="11" t="e">
        <f>'Total fee for Commercial (1)'!G28</f>
        <v>#REF!</v>
      </c>
      <c r="L5" s="212" t="e">
        <f>'Total fee for Commercial (1)'!H15</f>
        <v>#REF!</v>
      </c>
      <c r="M5" s="212" t="e">
        <f>'Total fee for Commercial (1)'!H28</f>
        <v>#REF!</v>
      </c>
      <c r="N5" s="314" t="e">
        <f>'Total fee for Commercial (1)'!I15</f>
        <v>#REF!</v>
      </c>
      <c r="O5" s="314" t="e">
        <f>'Total fee for Commercial (1)'!I28</f>
        <v>#REF!</v>
      </c>
      <c r="P5" s="314" t="e">
        <f>'Total fee for Commercial (1)'!J15</f>
        <v>#REF!</v>
      </c>
      <c r="Q5" s="314" t="e">
        <f>'Total fee for Commercial (1)'!J28</f>
        <v>#REF!</v>
      </c>
      <c r="R5" s="314">
        <f>'Total fee for Commercial (1)'!K15</f>
        <v>0</v>
      </c>
      <c r="S5" s="212" t="e">
        <f>'Total fee for Commercial (1)'!K28</f>
        <v>#REF!</v>
      </c>
      <c r="T5" s="212">
        <f>'Total fee for Commercial (1)'!L15</f>
        <v>0</v>
      </c>
      <c r="U5" s="212">
        <f>'Total fee for Commercial (1)'!L28</f>
        <v>0</v>
      </c>
      <c r="V5" s="314">
        <f>'Total fee for Commercial (1)'!M15</f>
        <v>0</v>
      </c>
      <c r="W5" s="314">
        <f>'Total fee for Commercial (1)'!M28</f>
        <v>0</v>
      </c>
      <c r="X5" s="314">
        <f>'Total fee for Commercial (1)'!N15</f>
        <v>0</v>
      </c>
      <c r="Y5" s="314">
        <f>'Total fee for Commercial (1)'!N28</f>
        <v>0</v>
      </c>
      <c r="Z5" s="314">
        <f>'Total fee for Commercial (1)'!O15</f>
        <v>0</v>
      </c>
      <c r="AA5" s="314">
        <f>'Total fee for Commercial (1)'!O28</f>
        <v>0</v>
      </c>
      <c r="AB5" s="314">
        <f>'Total fee for Commercial (1)'!P15</f>
        <v>0</v>
      </c>
      <c r="AC5" s="314">
        <f>'Total fee for Commercial (1)'!P28</f>
        <v>0</v>
      </c>
    </row>
    <row r="6" spans="1:29">
      <c r="A6" s="241" t="s">
        <v>62</v>
      </c>
      <c r="B6" s="241"/>
      <c r="C6" s="241"/>
      <c r="D6" s="241"/>
      <c r="E6" s="241"/>
      <c r="F6" s="212">
        <f>'Total fee for Commercial (1)'!E16</f>
        <v>0</v>
      </c>
      <c r="G6" s="212" t="e">
        <f>'Total fee for Commercial (1)'!E29</f>
        <v>#REF!</v>
      </c>
      <c r="H6" s="212">
        <f>'Total fee for Commercial (1)'!F16</f>
        <v>0</v>
      </c>
      <c r="I6" s="212">
        <f>'Total fee for Commercial (1)'!F29</f>
        <v>0</v>
      </c>
      <c r="J6" s="212">
        <f>'Total fee for Commercial (1)'!G16</f>
        <v>0</v>
      </c>
      <c r="K6" s="314">
        <f>'Total fee for Commercial (1)'!G29</f>
        <v>0</v>
      </c>
      <c r="L6" s="212">
        <f>'Total fee for Commercial (1)'!H16</f>
        <v>0</v>
      </c>
      <c r="M6" s="212">
        <f>'Total fee for Commercial (1)'!H29</f>
        <v>0</v>
      </c>
      <c r="N6" s="314">
        <f>'Total fee for Commercial (1)'!I16</f>
        <v>0</v>
      </c>
      <c r="O6" s="314">
        <f>'Total fee for Commercial (1)'!I29</f>
        <v>0</v>
      </c>
      <c r="P6" s="314" t="e">
        <f>'Total fee for Commercial (1)'!J16</f>
        <v>#REF!</v>
      </c>
      <c r="Q6" s="314" t="e">
        <f>'Total fee for Commercial (1)'!J29</f>
        <v>#REF!</v>
      </c>
      <c r="R6" s="314">
        <f>'Total fee for Commercial (1)'!K16</f>
        <v>0</v>
      </c>
      <c r="S6" s="212" t="e">
        <f>'Total fee for Commercial (1)'!K29</f>
        <v>#REF!</v>
      </c>
      <c r="T6" s="212">
        <f>'Total fee for Commercial (1)'!L16</f>
        <v>0</v>
      </c>
      <c r="U6" s="212">
        <f>'Total fee for Commercial (1)'!L29</f>
        <v>0</v>
      </c>
      <c r="V6" s="314">
        <f>'Total fee for Commercial (1)'!M16</f>
        <v>0</v>
      </c>
      <c r="W6" s="314">
        <f>'Total fee for Commercial (1)'!M29</f>
        <v>0</v>
      </c>
      <c r="X6" s="314">
        <f>'Total fee for Commercial (1)'!N16</f>
        <v>0</v>
      </c>
      <c r="Y6" s="314">
        <f>'Total fee for Commercial (1)'!N29</f>
        <v>0</v>
      </c>
      <c r="Z6" s="314">
        <f>'Total fee for Commercial (1)'!O16</f>
        <v>0</v>
      </c>
      <c r="AA6" s="314">
        <f>'Total fee for Commercial (1)'!O29</f>
        <v>0</v>
      </c>
      <c r="AB6" s="314">
        <f>'Total fee for Commercial (1)'!P16</f>
        <v>0</v>
      </c>
      <c r="AC6" s="314">
        <f>'Total fee for Commercial (1)'!P29</f>
        <v>0</v>
      </c>
    </row>
    <row r="7" spans="1:29">
      <c r="A7" s="241" t="s">
        <v>52</v>
      </c>
      <c r="B7" s="241">
        <f>'Total fee for Commercial (1)'!C17</f>
        <v>6771.0360000000001</v>
      </c>
      <c r="C7" s="241">
        <f>'Total fee for Commercial (1)'!C30</f>
        <v>6362.09</v>
      </c>
      <c r="D7" s="241">
        <f>'Total fee for Commercial (1)'!D17</f>
        <v>0</v>
      </c>
      <c r="E7" s="241">
        <f>'Total fee for Commercial (1)'!D30</f>
        <v>17475.745999999999</v>
      </c>
      <c r="F7" s="212">
        <f>'Total fee for Commercial (1)'!E17</f>
        <v>0</v>
      </c>
      <c r="G7" s="212" t="e">
        <f>'Total fee for Commercial (1)'!E30</f>
        <v>#REF!</v>
      </c>
      <c r="H7" s="212">
        <f>'Total fee for Commercial (1)'!F17</f>
        <v>0</v>
      </c>
      <c r="I7" s="212" t="e">
        <f>'Total fee for Commercial (1)'!F30</f>
        <v>#REF!</v>
      </c>
      <c r="J7" s="212" t="e">
        <f>'Total fee for Commercial (1)'!G17</f>
        <v>#REF!</v>
      </c>
      <c r="K7" s="314" t="e">
        <f>'Total fee for Commercial (1)'!G30</f>
        <v>#REF!</v>
      </c>
      <c r="L7" s="212" t="e">
        <f>'Total fee for Commercial (1)'!H17</f>
        <v>#REF!</v>
      </c>
      <c r="M7" s="212" t="e">
        <f>'Total fee for Commercial (1)'!H30</f>
        <v>#REF!</v>
      </c>
      <c r="N7" s="314" t="e">
        <f>'Total fee for Commercial (1)'!I17</f>
        <v>#REF!</v>
      </c>
      <c r="O7" s="314" t="e">
        <f>'Total fee for Commercial (1)'!I30</f>
        <v>#REF!</v>
      </c>
      <c r="P7" s="314" t="e">
        <f>'Total fee for Commercial (1)'!J17</f>
        <v>#REF!</v>
      </c>
      <c r="Q7" s="314" t="e">
        <f>'Total fee for Commercial (1)'!J30</f>
        <v>#REF!</v>
      </c>
      <c r="R7" s="314">
        <f>'Total fee for Commercial (1)'!K17</f>
        <v>0</v>
      </c>
      <c r="S7" s="212" t="e">
        <f>'Total fee for Commercial (1)'!K30</f>
        <v>#REF!</v>
      </c>
      <c r="T7" s="212">
        <f>'Total fee for Commercial (1)'!L17</f>
        <v>0</v>
      </c>
      <c r="U7" s="212">
        <f>'Total fee for Commercial (1)'!L30</f>
        <v>0</v>
      </c>
      <c r="V7" s="314">
        <f>'Total fee for Commercial (1)'!M17</f>
        <v>0</v>
      </c>
      <c r="W7" s="314">
        <f>'Total fee for Commercial (1)'!M30</f>
        <v>0</v>
      </c>
      <c r="X7" s="314">
        <f>'Total fee for Commercial (1)'!N17</f>
        <v>0</v>
      </c>
      <c r="Y7" s="314">
        <f>'Total fee for Commercial (1)'!N30</f>
        <v>0</v>
      </c>
      <c r="Z7" s="314">
        <f>'Total fee for Commercial (1)'!O17</f>
        <v>0</v>
      </c>
      <c r="AA7" s="314">
        <f>'Total fee for Commercial (1)'!O30</f>
        <v>0</v>
      </c>
      <c r="AB7" s="314">
        <f>'Total fee for Commercial (1)'!P17</f>
        <v>0</v>
      </c>
      <c r="AC7" s="314">
        <f>'Total fee for Commercial (1)'!P30</f>
        <v>0</v>
      </c>
    </row>
    <row r="8" spans="1:29">
      <c r="A8" s="241" t="s">
        <v>30</v>
      </c>
      <c r="B8" s="241"/>
      <c r="C8" s="241"/>
      <c r="D8" s="241"/>
      <c r="E8" s="241"/>
      <c r="F8" s="212">
        <f>'Total fee for Commercial (1)'!E18</f>
        <v>0</v>
      </c>
      <c r="G8" s="212">
        <f>'Total fee for Commercial (1)'!E31</f>
        <v>0</v>
      </c>
      <c r="H8" s="212">
        <f>'Total fee for Commercial (1)'!F18</f>
        <v>0</v>
      </c>
      <c r="I8" s="212"/>
      <c r="J8" s="212">
        <f>'Total fee for Commercial (1)'!G18</f>
        <v>0</v>
      </c>
      <c r="K8" s="314">
        <f>'Total fee for Commercial (1)'!G31</f>
        <v>0</v>
      </c>
      <c r="L8" s="212">
        <f>'Total fee for Commercial (1)'!H18</f>
        <v>0</v>
      </c>
      <c r="M8" s="212">
        <f>'Total fee for Commercial (1)'!H31</f>
        <v>0</v>
      </c>
      <c r="N8" s="314">
        <f>'Total fee for Commercial (1)'!I18</f>
        <v>0</v>
      </c>
      <c r="O8" s="314">
        <f>'Total fee for Commercial (1)'!I31</f>
        <v>0</v>
      </c>
      <c r="P8" s="314">
        <f>'Total fee for Commercial (1)'!J18</f>
        <v>0</v>
      </c>
      <c r="Q8" s="314">
        <f>'Total fee for Commercial (1)'!J31</f>
        <v>0</v>
      </c>
      <c r="R8" s="314">
        <f>'Total fee for Commercial (1)'!K18</f>
        <v>0</v>
      </c>
      <c r="S8" s="212">
        <f>'Total fee for Commercial (1)'!K31</f>
        <v>0</v>
      </c>
      <c r="T8" s="212">
        <f>'Total fee for Commercial (1)'!L18</f>
        <v>0</v>
      </c>
      <c r="U8" s="212">
        <f>'Total fee for Commercial (1)'!L31</f>
        <v>0</v>
      </c>
      <c r="V8" s="314">
        <f>'Total fee for Commercial (1)'!M18</f>
        <v>0</v>
      </c>
      <c r="W8" s="314">
        <f>'Total fee for Commercial (1)'!M31</f>
        <v>0</v>
      </c>
      <c r="X8" s="314">
        <f>'Total fee for Commercial (1)'!N18</f>
        <v>0</v>
      </c>
      <c r="Y8" s="314">
        <f>'Total fee for Commercial (1)'!N31</f>
        <v>0</v>
      </c>
      <c r="Z8" s="314">
        <f>'Total fee for Commercial (1)'!O18</f>
        <v>0</v>
      </c>
      <c r="AA8" s="314">
        <f>'Total fee for Commercial (1)'!O31</f>
        <v>0</v>
      </c>
      <c r="AB8" s="314">
        <f>'Total fee for Commercial (1)'!P18</f>
        <v>0</v>
      </c>
      <c r="AC8" s="314">
        <f>'Total fee for Commercial (1)'!P31</f>
        <v>0</v>
      </c>
    </row>
    <row r="9" spans="1:29">
      <c r="A9" s="241" t="s">
        <v>39</v>
      </c>
      <c r="B9" s="241"/>
      <c r="C9" s="241"/>
      <c r="D9" s="241"/>
      <c r="E9" s="241"/>
      <c r="F9" s="212">
        <f>'Total fee for Commercial (1)'!E19</f>
        <v>0</v>
      </c>
      <c r="G9" s="212">
        <f>'Total fee for Commercial (1)'!F32</f>
        <v>0</v>
      </c>
      <c r="H9" s="212">
        <f>'Total fee for Commercial (1)'!F19</f>
        <v>0</v>
      </c>
      <c r="I9" s="212"/>
      <c r="J9" s="212" t="e">
        <f>'Total fee for Commercial (1)'!G19</f>
        <v>#REF!</v>
      </c>
      <c r="K9" s="314">
        <f>'Total fee for Commercial (1)'!G32</f>
        <v>0</v>
      </c>
      <c r="L9" s="212">
        <f>'Total fee for Commercial (1)'!H19</f>
        <v>0</v>
      </c>
      <c r="M9" s="212">
        <f>'Total fee for Commercial (1)'!H32</f>
        <v>0</v>
      </c>
      <c r="N9" s="314">
        <f>'Total fee for Commercial (1)'!I19</f>
        <v>0</v>
      </c>
      <c r="O9" s="314">
        <f>'Total fee for Commercial (1)'!I32</f>
        <v>0</v>
      </c>
      <c r="P9" s="314">
        <f>'Total fee for Commercial (1)'!J19</f>
        <v>0</v>
      </c>
      <c r="Q9" s="314">
        <f>'Total fee for Commercial (1)'!J32</f>
        <v>0</v>
      </c>
      <c r="R9" s="314">
        <f>'Total fee for Commercial (1)'!K19</f>
        <v>0</v>
      </c>
      <c r="S9" s="212" t="e">
        <f>'Total fee for Commercial (1)'!K32</f>
        <v>#REF!</v>
      </c>
      <c r="T9" s="212">
        <f>'Total fee for Commercial (1)'!L19</f>
        <v>0</v>
      </c>
      <c r="U9" s="212">
        <f>'Total fee for Commercial (1)'!L32</f>
        <v>0</v>
      </c>
      <c r="V9" s="314">
        <f>'Total fee for Commercial (1)'!M19</f>
        <v>0</v>
      </c>
      <c r="W9" s="314">
        <f>'Total fee for Commercial (1)'!M32</f>
        <v>0</v>
      </c>
      <c r="X9" s="314">
        <f>'Total fee for Commercial (1)'!N19</f>
        <v>0</v>
      </c>
      <c r="Y9" s="314">
        <f>'Total fee for Commercial (1)'!N32</f>
        <v>0</v>
      </c>
      <c r="Z9" s="314">
        <f>'Total fee for Commercial (1)'!O19</f>
        <v>0</v>
      </c>
      <c r="AA9" s="314">
        <f>'Total fee for Commercial (1)'!O32</f>
        <v>0</v>
      </c>
      <c r="AB9" s="314">
        <f>'Total fee for Commercial (1)'!P19</f>
        <v>0</v>
      </c>
      <c r="AC9" s="314">
        <f>'Total fee for Commercial (1)'!P32</f>
        <v>0</v>
      </c>
    </row>
    <row r="10" spans="1:29">
      <c r="A10" s="241" t="s">
        <v>42</v>
      </c>
      <c r="B10" s="241"/>
      <c r="C10" s="241"/>
      <c r="D10" s="241"/>
      <c r="E10" s="241"/>
      <c r="F10" s="212">
        <f>'Total fee for Commercial (1)'!E20</f>
        <v>0</v>
      </c>
      <c r="G10" s="212">
        <f>'Total fee for Commercial (1)'!F33</f>
        <v>0</v>
      </c>
      <c r="H10" s="212">
        <f>'Total fee for Commercial (1)'!F20</f>
        <v>0</v>
      </c>
      <c r="I10" s="212"/>
      <c r="J10" s="212">
        <f>'Total fee for Commercial (1)'!G20</f>
        <v>0</v>
      </c>
      <c r="K10" s="314">
        <f>'Total fee for Commercial (1)'!G33</f>
        <v>0</v>
      </c>
      <c r="L10" s="212">
        <f>'Total fee for Commercial (1)'!H20</f>
        <v>0</v>
      </c>
      <c r="M10" s="212">
        <f>'Total fee for Commercial (1)'!H33</f>
        <v>0</v>
      </c>
      <c r="N10" s="314">
        <f>'Total fee for Commercial (1)'!I20</f>
        <v>0</v>
      </c>
      <c r="O10" s="314">
        <f>'Total fee for Commercial (1)'!I33</f>
        <v>0</v>
      </c>
      <c r="P10" s="314" t="e">
        <f>'Total fee for Commercial (1)'!J20</f>
        <v>#REF!</v>
      </c>
      <c r="Q10" s="314">
        <f>'Total fee for Commercial (1)'!J33</f>
        <v>0</v>
      </c>
      <c r="R10" s="314">
        <f>'Total fee for Commercial (1)'!K20</f>
        <v>0</v>
      </c>
      <c r="S10" s="212">
        <f>'Total fee for Commercial (1)'!K33</f>
        <v>0</v>
      </c>
      <c r="T10" s="212">
        <f>'Total fee for Commercial (1)'!L20</f>
        <v>0</v>
      </c>
      <c r="U10" s="212">
        <f>'Total fee for Commercial (1)'!L33</f>
        <v>0</v>
      </c>
      <c r="V10" s="314">
        <f>'Total fee for Commercial (1)'!M20</f>
        <v>0</v>
      </c>
      <c r="W10" s="314">
        <f>'Total fee for Commercial (1)'!M33</f>
        <v>0</v>
      </c>
      <c r="X10" s="314">
        <f>'Total fee for Commercial (1)'!N20</f>
        <v>0</v>
      </c>
      <c r="Y10" s="314">
        <f>'Total fee for Commercial (1)'!N33</f>
        <v>0</v>
      </c>
      <c r="Z10" s="314">
        <f>'Total fee for Commercial (1)'!O20</f>
        <v>0</v>
      </c>
      <c r="AA10" s="314">
        <f>'Total fee for Commercial (1)'!O33</f>
        <v>0</v>
      </c>
      <c r="AB10" s="314">
        <f>'Total fee for Commercial (1)'!P20</f>
        <v>0</v>
      </c>
      <c r="AC10" s="314">
        <f>'Total fee for Commercial (1)'!P33</f>
        <v>0</v>
      </c>
    </row>
    <row r="11" spans="1:29" ht="30">
      <c r="A11" s="241" t="s">
        <v>63</v>
      </c>
      <c r="B11" s="241">
        <f>'Total fee for Commercial (1)'!C21</f>
        <v>1025.884</v>
      </c>
      <c r="C11" s="241">
        <f>'Total fee for Commercial (1)'!C34</f>
        <v>546.14800000000002</v>
      </c>
      <c r="D11" s="241">
        <f>'Total fee for Commercial (1)'!D21</f>
        <v>0</v>
      </c>
      <c r="E11" s="241">
        <f>'Total fee for Commercial (1)'!D34</f>
        <v>2005.1769999999999</v>
      </c>
      <c r="F11" s="212">
        <f>'Total fee for Commercial (1)'!E21</f>
        <v>0</v>
      </c>
      <c r="G11" s="212" t="e">
        <f>'Total fee for Commercial (1)'!E34</f>
        <v>#REF!</v>
      </c>
      <c r="H11" s="212">
        <f>'Total fee for Commercial (1)'!F21</f>
        <v>0</v>
      </c>
      <c r="I11" s="212" t="e">
        <f>'Total fee for Commercial (1)'!F34</f>
        <v>#REF!</v>
      </c>
      <c r="J11" s="212" t="e">
        <f>'Total fee for Commercial (1)'!G21</f>
        <v>#REF!</v>
      </c>
      <c r="K11" s="314" t="e">
        <f>'Total fee for Commercial (1)'!G34</f>
        <v>#REF!</v>
      </c>
      <c r="L11" s="212" t="e">
        <f>'Total fee for Commercial (1)'!H21</f>
        <v>#REF!</v>
      </c>
      <c r="M11" s="212" t="e">
        <f>'Total fee for Commercial (1)'!H34</f>
        <v>#REF!</v>
      </c>
      <c r="N11" s="314" t="e">
        <f>'Total fee for Commercial (1)'!I21</f>
        <v>#REF!</v>
      </c>
      <c r="O11" s="314" t="e">
        <f>'Total fee for Commercial (1)'!I34</f>
        <v>#REF!</v>
      </c>
      <c r="P11" s="314" t="e">
        <f>'Total fee for Commercial (1)'!J21</f>
        <v>#REF!</v>
      </c>
      <c r="Q11" s="314">
        <f>'Total fee for Commercial (1)'!J34</f>
        <v>0</v>
      </c>
      <c r="R11" s="314">
        <f>'Total fee for Commercial (1)'!K21</f>
        <v>0</v>
      </c>
      <c r="S11" s="212" t="e">
        <f>'Total fee for Commercial (1)'!K34</f>
        <v>#REF!</v>
      </c>
      <c r="T11" s="212">
        <f>'Total fee for Commercial (1)'!L21</f>
        <v>0</v>
      </c>
      <c r="U11" s="212">
        <f>'Total fee for Commercial (1)'!L34</f>
        <v>0</v>
      </c>
      <c r="V11" s="314">
        <f>'Total fee for Commercial (1)'!M21</f>
        <v>0</v>
      </c>
      <c r="W11" s="314">
        <f>'Total fee for Commercial (1)'!M34</f>
        <v>0</v>
      </c>
      <c r="X11" s="314">
        <f>'Total fee for Commercial (1)'!N21</f>
        <v>0</v>
      </c>
      <c r="Y11" s="314">
        <f>'Total fee for Commercial (1)'!N34</f>
        <v>0</v>
      </c>
      <c r="Z11" s="314">
        <f>'Total fee for Commercial (1)'!O21</f>
        <v>0</v>
      </c>
      <c r="AA11" s="314">
        <f>'Total fee for Commercial (1)'!O34</f>
        <v>0</v>
      </c>
      <c r="AB11" s="314">
        <f>'Total fee for Commercial (1)'!P21</f>
        <v>0</v>
      </c>
      <c r="AC11" s="314">
        <f>'Total fee for Commercial (1)'!P34</f>
        <v>0</v>
      </c>
    </row>
    <row r="12" spans="1:29">
      <c r="A12" s="241" t="s">
        <v>49</v>
      </c>
      <c r="B12" s="241">
        <f>'Total fee for Commercial (1)'!C22</f>
        <v>957.49199999999996</v>
      </c>
      <c r="C12" s="241">
        <f>'Total fee for Commercial (1)'!C35</f>
        <v>1146.9100000000001</v>
      </c>
      <c r="D12" s="241">
        <f>'Total fee for Commercial (1)'!D22</f>
        <v>0</v>
      </c>
      <c r="E12" s="241">
        <f>'Total fee for Commercial (1)'!D35</f>
        <v>7973.4939999999997</v>
      </c>
      <c r="F12" s="212">
        <f>'Total fee for Commercial (1)'!E22</f>
        <v>0</v>
      </c>
      <c r="G12" s="212" t="e">
        <f>'Total fee for Commercial (1)'!E35</f>
        <v>#REF!</v>
      </c>
      <c r="H12" s="212">
        <f>'Total fee for Commercial (1)'!F22</f>
        <v>0</v>
      </c>
      <c r="I12" s="212" t="e">
        <f>'Total fee for Commercial (1)'!F35</f>
        <v>#REF!</v>
      </c>
      <c r="J12" s="212" t="e">
        <f>'Total fee for Commercial (1)'!G22</f>
        <v>#REF!</v>
      </c>
      <c r="K12" s="314" t="e">
        <f>'Total fee for Commercial (1)'!G35</f>
        <v>#REF!</v>
      </c>
      <c r="L12" s="212" t="e">
        <f>'Total fee for Commercial (1)'!H22</f>
        <v>#REF!</v>
      </c>
      <c r="M12" s="212" t="e">
        <f>'Total fee for Commercial (1)'!H35</f>
        <v>#REF!</v>
      </c>
      <c r="N12" s="314" t="e">
        <f>'Total fee for Commercial (1)'!I22</f>
        <v>#REF!</v>
      </c>
      <c r="O12" s="314" t="e">
        <f>'Total fee for Commercial (1)'!I35</f>
        <v>#REF!</v>
      </c>
      <c r="P12" s="314" t="e">
        <f>'Total fee for Commercial (1)'!J22</f>
        <v>#REF!</v>
      </c>
      <c r="Q12" s="314">
        <f>'Total fee for Commercial (1)'!J35</f>
        <v>0</v>
      </c>
      <c r="R12" s="314">
        <f>'Total fee for Commercial (1)'!K22</f>
        <v>0</v>
      </c>
      <c r="S12" s="212" t="e">
        <f>'Total fee for Commercial (1)'!K35</f>
        <v>#REF!</v>
      </c>
      <c r="T12" s="212">
        <f>'Total fee for Commercial (1)'!L22</f>
        <v>0</v>
      </c>
      <c r="U12" s="212">
        <f>'Total fee for Commercial (1)'!L35</f>
        <v>0</v>
      </c>
      <c r="V12" s="314">
        <f>'Total fee for Commercial (1)'!M22</f>
        <v>0</v>
      </c>
      <c r="W12" s="314">
        <f>'Total fee for Commercial (1)'!M35</f>
        <v>0</v>
      </c>
      <c r="X12" s="314">
        <f>'Total fee for Commercial (1)'!N22</f>
        <v>0</v>
      </c>
      <c r="Y12" s="314">
        <f>'Total fee for Commercial (1)'!N35</f>
        <v>0</v>
      </c>
      <c r="Z12" s="314">
        <f>'Total fee for Commercial (1)'!O22</f>
        <v>0</v>
      </c>
      <c r="AA12" s="314">
        <f>'Total fee for Commercial (1)'!O35</f>
        <v>0</v>
      </c>
      <c r="AB12" s="314">
        <f>'Total fee for Commercial (1)'!P22</f>
        <v>0</v>
      </c>
      <c r="AC12" s="314">
        <f>'Total fee for Commercial (1)'!P35</f>
        <v>0</v>
      </c>
    </row>
    <row r="13" spans="1:29">
      <c r="B13" s="320">
        <f>SUM(B5:B11)</f>
        <v>9023.42</v>
      </c>
      <c r="C13" s="320">
        <f>SUM(C5:C11)</f>
        <v>8868.0779999999995</v>
      </c>
      <c r="D13" s="320">
        <f>SUM(D5:D11)</f>
        <v>0</v>
      </c>
      <c r="E13" s="320">
        <f>SUM(E5:E11)</f>
        <v>22479.803</v>
      </c>
      <c r="G13" s="276" t="e">
        <f>SUM(G5:G11)</f>
        <v>#REF!</v>
      </c>
      <c r="H13" s="85" t="e">
        <f t="shared" ref="H13:AC13" si="0">SUM(H5:H11)</f>
        <v>#REF!</v>
      </c>
      <c r="I13" s="85" t="e">
        <f t="shared" si="0"/>
        <v>#REF!</v>
      </c>
      <c r="J13" s="85" t="e">
        <f t="shared" si="0"/>
        <v>#REF!</v>
      </c>
      <c r="K13" s="85" t="e">
        <f t="shared" si="0"/>
        <v>#REF!</v>
      </c>
      <c r="L13" s="85" t="e">
        <f t="shared" si="0"/>
        <v>#REF!</v>
      </c>
      <c r="M13" s="85" t="e">
        <f t="shared" si="0"/>
        <v>#REF!</v>
      </c>
      <c r="N13" s="85" t="e">
        <f t="shared" si="0"/>
        <v>#REF!</v>
      </c>
      <c r="O13" s="85" t="e">
        <f t="shared" si="0"/>
        <v>#REF!</v>
      </c>
      <c r="P13" s="85" t="e">
        <f t="shared" si="0"/>
        <v>#REF!</v>
      </c>
      <c r="Q13" s="85" t="e">
        <f t="shared" si="0"/>
        <v>#REF!</v>
      </c>
      <c r="R13" s="85">
        <f t="shared" si="0"/>
        <v>0</v>
      </c>
      <c r="S13" s="85" t="e">
        <f t="shared" si="0"/>
        <v>#REF!</v>
      </c>
      <c r="T13" s="85">
        <f t="shared" si="0"/>
        <v>0</v>
      </c>
      <c r="U13" s="85">
        <f t="shared" si="0"/>
        <v>0</v>
      </c>
      <c r="V13" s="85">
        <f t="shared" si="0"/>
        <v>0</v>
      </c>
      <c r="W13" s="85">
        <f t="shared" si="0"/>
        <v>0</v>
      </c>
      <c r="X13" s="85">
        <f t="shared" si="0"/>
        <v>0</v>
      </c>
      <c r="Y13" s="85">
        <f t="shared" si="0"/>
        <v>0</v>
      </c>
      <c r="Z13" s="85">
        <f t="shared" si="0"/>
        <v>0</v>
      </c>
      <c r="AA13" s="85">
        <f t="shared" si="0"/>
        <v>0</v>
      </c>
      <c r="AB13" s="85">
        <f t="shared" si="0"/>
        <v>0</v>
      </c>
      <c r="AC13" s="85">
        <f t="shared" si="0"/>
        <v>0</v>
      </c>
    </row>
  </sheetData>
  <mergeCells count="15">
    <mergeCell ref="N3:O3"/>
    <mergeCell ref="A3:A4"/>
    <mergeCell ref="F3:G3"/>
    <mergeCell ref="H3:I3"/>
    <mergeCell ref="J3:K3"/>
    <mergeCell ref="L3:M3"/>
    <mergeCell ref="B3:C3"/>
    <mergeCell ref="D3:E3"/>
    <mergeCell ref="AB3:AC3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8"/>
  <sheetViews>
    <sheetView topLeftCell="M1" zoomScale="89" zoomScaleNormal="89" workbookViewId="0">
      <selection activeCell="W16" sqref="W16"/>
    </sheetView>
  </sheetViews>
  <sheetFormatPr defaultColWidth="9.140625" defaultRowHeight="15"/>
  <cols>
    <col min="1" max="1" width="23.140625" style="277" customWidth="1"/>
    <col min="2" max="5" width="10.28515625" style="277" customWidth="1"/>
    <col min="6" max="6" width="9.5703125" style="277" customWidth="1"/>
    <col min="7" max="9" width="8.140625" style="277" customWidth="1"/>
    <col min="10" max="10" width="9.28515625" style="277" customWidth="1"/>
    <col min="11" max="11" width="9.5703125" style="277" customWidth="1"/>
    <col min="12" max="12" width="8.85546875" style="277" customWidth="1"/>
    <col min="13" max="13" width="9" style="277" customWidth="1"/>
    <col min="14" max="19" width="8.140625" style="277" customWidth="1"/>
    <col min="20" max="20" width="9.7109375" style="277" customWidth="1"/>
    <col min="21" max="21" width="8.140625" style="277" customWidth="1"/>
    <col min="22" max="22" width="9" style="277" customWidth="1"/>
    <col min="23" max="23" width="9.28515625" style="277" customWidth="1"/>
    <col min="24" max="24" width="9.5703125" style="277" customWidth="1"/>
    <col min="25" max="25" width="9.140625" style="277" customWidth="1"/>
    <col min="26" max="26" width="10.140625" style="277" customWidth="1"/>
    <col min="27" max="29" width="8.140625" style="277" customWidth="1"/>
    <col min="30" max="16384" width="9.140625" style="277"/>
  </cols>
  <sheetData>
    <row r="3" spans="1:29">
      <c r="A3" s="402"/>
      <c r="B3" s="401">
        <v>43862</v>
      </c>
      <c r="C3" s="401"/>
      <c r="D3" s="401">
        <v>43891</v>
      </c>
      <c r="E3" s="401"/>
      <c r="F3" s="401">
        <v>43922</v>
      </c>
      <c r="G3" s="401"/>
      <c r="H3" s="401">
        <v>43952</v>
      </c>
      <c r="I3" s="401"/>
      <c r="J3" s="401">
        <v>43983</v>
      </c>
      <c r="K3" s="401"/>
      <c r="L3" s="401">
        <v>44013</v>
      </c>
      <c r="M3" s="401"/>
      <c r="N3" s="401">
        <v>44044</v>
      </c>
      <c r="O3" s="401"/>
      <c r="P3" s="401">
        <v>44075</v>
      </c>
      <c r="Q3" s="401"/>
      <c r="R3" s="401">
        <v>44105</v>
      </c>
      <c r="S3" s="401"/>
      <c r="T3" s="401">
        <v>44136</v>
      </c>
      <c r="U3" s="401"/>
      <c r="V3" s="401">
        <v>44166</v>
      </c>
      <c r="W3" s="401"/>
      <c r="X3" s="401">
        <v>44197</v>
      </c>
      <c r="Y3" s="401"/>
      <c r="Z3" s="401">
        <v>44228</v>
      </c>
      <c r="AA3" s="401"/>
      <c r="AB3" s="401">
        <v>44256</v>
      </c>
      <c r="AC3" s="401"/>
    </row>
    <row r="4" spans="1:29">
      <c r="A4" s="402"/>
      <c r="B4" s="278" t="s">
        <v>57</v>
      </c>
      <c r="C4" s="278" t="s">
        <v>58</v>
      </c>
      <c r="D4" s="278" t="s">
        <v>57</v>
      </c>
      <c r="E4" s="278" t="s">
        <v>58</v>
      </c>
      <c r="F4" s="278" t="s">
        <v>57</v>
      </c>
      <c r="G4" s="278" t="s">
        <v>58</v>
      </c>
      <c r="H4" s="278" t="s">
        <v>57</v>
      </c>
      <c r="I4" s="278" t="s">
        <v>58</v>
      </c>
      <c r="J4" s="278" t="s">
        <v>57</v>
      </c>
      <c r="K4" s="278" t="s">
        <v>58</v>
      </c>
      <c r="L4" s="278" t="s">
        <v>57</v>
      </c>
      <c r="M4" s="278" t="s">
        <v>58</v>
      </c>
      <c r="N4" s="278" t="s">
        <v>57</v>
      </c>
      <c r="O4" s="278" t="s">
        <v>58</v>
      </c>
      <c r="P4" s="278" t="s">
        <v>57</v>
      </c>
      <c r="Q4" s="278" t="s">
        <v>58</v>
      </c>
      <c r="R4" s="278" t="s">
        <v>57</v>
      </c>
      <c r="S4" s="278" t="s">
        <v>58</v>
      </c>
      <c r="T4" s="278" t="s">
        <v>57</v>
      </c>
      <c r="U4" s="278" t="s">
        <v>58</v>
      </c>
      <c r="V4" s="278" t="s">
        <v>57</v>
      </c>
      <c r="W4" s="278" t="s">
        <v>58</v>
      </c>
      <c r="X4" s="278" t="s">
        <v>57</v>
      </c>
      <c r="Y4" s="278" t="s">
        <v>58</v>
      </c>
      <c r="Z4" s="278" t="s">
        <v>57</v>
      </c>
      <c r="AA4" s="278" t="s">
        <v>58</v>
      </c>
      <c r="AB4" s="278" t="s">
        <v>57</v>
      </c>
      <c r="AC4" s="278" t="s">
        <v>58</v>
      </c>
    </row>
    <row r="5" spans="1:29">
      <c r="A5" s="279" t="s">
        <v>61</v>
      </c>
      <c r="B5" s="279"/>
      <c r="C5" s="279"/>
      <c r="D5" s="279"/>
      <c r="E5" s="279"/>
      <c r="F5" s="212"/>
      <c r="G5" s="212"/>
      <c r="H5" s="212"/>
      <c r="I5" s="212"/>
      <c r="J5" s="212"/>
      <c r="K5" s="212"/>
      <c r="L5" s="212" t="e">
        <f>#REF!</f>
        <v>#REF!</v>
      </c>
      <c r="M5" s="212" t="e">
        <f>#REF!</f>
        <v>#REF!</v>
      </c>
      <c r="N5" s="212">
        <v>0</v>
      </c>
      <c r="O5" s="212">
        <v>0</v>
      </c>
      <c r="P5" s="212" t="e">
        <f>#REF!</f>
        <v>#REF!</v>
      </c>
      <c r="Q5" s="212" t="e">
        <f>#REF!</f>
        <v>#REF!</v>
      </c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>
      <c r="A6" s="279" t="s">
        <v>52</v>
      </c>
      <c r="B6" s="279"/>
      <c r="C6" s="279"/>
      <c r="D6" s="279"/>
      <c r="E6" s="279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>
      <c r="A7" s="279" t="s">
        <v>62</v>
      </c>
      <c r="B7" s="279"/>
      <c r="C7" s="279"/>
      <c r="D7" s="279"/>
      <c r="E7" s="279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>
      <c r="A8" s="279" t="s">
        <v>7</v>
      </c>
      <c r="B8" s="279"/>
      <c r="C8" s="279"/>
      <c r="D8" s="279"/>
      <c r="E8" s="279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>
      <c r="A9" s="279" t="s">
        <v>39</v>
      </c>
      <c r="B9" s="279">
        <v>24480.8613</v>
      </c>
      <c r="C9" s="279">
        <v>18435.879000000001</v>
      </c>
      <c r="D9" s="279">
        <v>95595.154200000004</v>
      </c>
      <c r="E9" s="279">
        <v>15399.111000000001</v>
      </c>
      <c r="F9" s="212" t="e">
        <f>#REF!</f>
        <v>#REF!</v>
      </c>
      <c r="G9" s="212" t="e">
        <f>#REF!</f>
        <v>#REF!</v>
      </c>
      <c r="H9" s="212" t="e">
        <f>#REF!</f>
        <v>#REF!</v>
      </c>
      <c r="I9" s="212" t="e">
        <f>#REF!</f>
        <v>#REF!</v>
      </c>
      <c r="J9" s="212" t="e">
        <f>#REF!</f>
        <v>#REF!</v>
      </c>
      <c r="K9" s="212" t="e">
        <f>#REF!</f>
        <v>#REF!</v>
      </c>
      <c r="L9" s="212" t="e">
        <f>#REF!</f>
        <v>#REF!</v>
      </c>
      <c r="M9" s="212" t="e">
        <f>#REF!</f>
        <v>#REF!</v>
      </c>
      <c r="N9" s="212" t="e">
        <f>#REF!</f>
        <v>#REF!</v>
      </c>
      <c r="O9" s="212" t="e">
        <f>#REF!</f>
        <v>#REF!</v>
      </c>
      <c r="P9" s="212" t="e">
        <f>#REF!</f>
        <v>#REF!</v>
      </c>
      <c r="Q9" s="212" t="e">
        <f>#REF!</f>
        <v>#REF!</v>
      </c>
      <c r="R9" s="212" t="e">
        <f>#REF!</f>
        <v>#REF!</v>
      </c>
      <c r="S9" s="212" t="e">
        <f>#REF!</f>
        <v>#REF!</v>
      </c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>
      <c r="A10" s="279" t="s">
        <v>42</v>
      </c>
      <c r="B10" s="279"/>
      <c r="C10" s="279"/>
      <c r="D10" s="279"/>
      <c r="E10" s="279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s="282" customFormat="1">
      <c r="A11" s="280" t="s">
        <v>79</v>
      </c>
      <c r="B11" s="280">
        <v>131.96</v>
      </c>
      <c r="C11" s="280">
        <v>79.77</v>
      </c>
      <c r="D11" s="280">
        <v>508.53</v>
      </c>
      <c r="E11" s="280">
        <v>68.599999999999994</v>
      </c>
      <c r="F11" s="281" t="e">
        <f>#REF!</f>
        <v>#REF!</v>
      </c>
      <c r="G11" s="281" t="e">
        <f>#REF!</f>
        <v>#REF!</v>
      </c>
      <c r="H11" s="281"/>
      <c r="I11" s="281"/>
      <c r="J11" s="281" t="e">
        <f>#REF!</f>
        <v>#REF!</v>
      </c>
      <c r="K11" s="281" t="e">
        <f>#REF!</f>
        <v>#REF!</v>
      </c>
      <c r="L11" s="281" t="e">
        <f>#REF!</f>
        <v>#REF!</v>
      </c>
      <c r="M11" s="281" t="e">
        <f>#REF!</f>
        <v>#REF!</v>
      </c>
      <c r="N11" s="281" t="e">
        <f>#REF!</f>
        <v>#REF!</v>
      </c>
      <c r="O11" s="281" t="e">
        <f>#REF!</f>
        <v>#REF!</v>
      </c>
      <c r="P11" s="281" t="e">
        <f>#REF!</f>
        <v>#REF!</v>
      </c>
      <c r="Q11" s="281" t="e">
        <f>#REF!</f>
        <v>#REF!</v>
      </c>
      <c r="R11" s="281" t="e">
        <f>#REF!</f>
        <v>#REF!</v>
      </c>
      <c r="S11" s="281" t="e">
        <f>#REF!</f>
        <v>#REF!</v>
      </c>
      <c r="T11" s="281"/>
      <c r="U11" s="281"/>
      <c r="V11" s="281"/>
      <c r="W11" s="281"/>
      <c r="X11" s="281"/>
      <c r="Y11" s="281"/>
      <c r="Z11" s="281"/>
      <c r="AA11" s="281"/>
      <c r="AB11" s="281"/>
      <c r="AC11" s="281"/>
    </row>
    <row r="12" spans="1:29">
      <c r="A12" s="283" t="s">
        <v>80</v>
      </c>
      <c r="B12" s="283"/>
      <c r="C12" s="283"/>
      <c r="D12" s="283"/>
      <c r="E12" s="283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>
      <c r="A13" s="284" t="s">
        <v>81</v>
      </c>
      <c r="B13" s="306"/>
      <c r="C13" s="306"/>
      <c r="D13" s="306"/>
      <c r="E13" s="306"/>
      <c r="F13" s="285" t="e">
        <f t="shared" ref="F13:AC13" si="0">+SUM(F5:F10)</f>
        <v>#REF!</v>
      </c>
      <c r="G13" s="285" t="e">
        <f t="shared" si="0"/>
        <v>#REF!</v>
      </c>
      <c r="H13" s="285" t="e">
        <f t="shared" si="0"/>
        <v>#REF!</v>
      </c>
      <c r="I13" s="285" t="e">
        <f t="shared" si="0"/>
        <v>#REF!</v>
      </c>
      <c r="J13" s="285" t="e">
        <f t="shared" si="0"/>
        <v>#REF!</v>
      </c>
      <c r="K13" s="285" t="e">
        <f t="shared" si="0"/>
        <v>#REF!</v>
      </c>
      <c r="L13" s="285" t="e">
        <f t="shared" si="0"/>
        <v>#REF!</v>
      </c>
      <c r="M13" s="285" t="e">
        <f t="shared" si="0"/>
        <v>#REF!</v>
      </c>
      <c r="N13" s="285" t="e">
        <f t="shared" si="0"/>
        <v>#REF!</v>
      </c>
      <c r="O13" s="285" t="e">
        <f t="shared" si="0"/>
        <v>#REF!</v>
      </c>
      <c r="P13" s="285" t="e">
        <f t="shared" si="0"/>
        <v>#REF!</v>
      </c>
      <c r="Q13" s="285" t="e">
        <f t="shared" si="0"/>
        <v>#REF!</v>
      </c>
      <c r="R13" s="285" t="e">
        <f t="shared" si="0"/>
        <v>#REF!</v>
      </c>
      <c r="S13" s="285" t="e">
        <f t="shared" si="0"/>
        <v>#REF!</v>
      </c>
      <c r="T13" s="285">
        <f t="shared" si="0"/>
        <v>0</v>
      </c>
      <c r="U13" s="285">
        <f t="shared" si="0"/>
        <v>0</v>
      </c>
      <c r="V13" s="285">
        <f t="shared" si="0"/>
        <v>0</v>
      </c>
      <c r="W13" s="285">
        <f t="shared" si="0"/>
        <v>0</v>
      </c>
      <c r="X13" s="285">
        <f t="shared" si="0"/>
        <v>0</v>
      </c>
      <c r="Y13" s="285">
        <f t="shared" si="0"/>
        <v>0</v>
      </c>
      <c r="Z13" s="285">
        <f t="shared" si="0"/>
        <v>0</v>
      </c>
      <c r="AA13" s="285">
        <f t="shared" si="0"/>
        <v>0</v>
      </c>
      <c r="AB13" s="285">
        <f t="shared" si="0"/>
        <v>0</v>
      </c>
      <c r="AC13" s="285">
        <f t="shared" si="0"/>
        <v>0</v>
      </c>
    </row>
    <row r="16" spans="1:29">
      <c r="A16" s="307"/>
      <c r="B16" s="315">
        <v>43497</v>
      </c>
      <c r="C16" s="315">
        <v>43525</v>
      </c>
      <c r="D16" s="315">
        <v>43556</v>
      </c>
      <c r="E16" s="315">
        <v>43586</v>
      </c>
      <c r="F16" s="315">
        <v>43617</v>
      </c>
      <c r="G16" s="315">
        <v>43647</v>
      </c>
      <c r="H16" s="315">
        <v>43678</v>
      </c>
      <c r="I16" s="315">
        <v>43709</v>
      </c>
      <c r="J16" s="315">
        <v>43739</v>
      </c>
      <c r="K16" s="315">
        <v>43770</v>
      </c>
      <c r="L16" s="315">
        <v>43800</v>
      </c>
      <c r="M16" s="315">
        <v>43831</v>
      </c>
      <c r="N16" s="315">
        <v>43862</v>
      </c>
      <c r="O16" s="315">
        <v>43891</v>
      </c>
    </row>
    <row r="17" spans="1:15">
      <c r="A17" s="308" t="s">
        <v>57</v>
      </c>
      <c r="B17" s="310">
        <f>B11</f>
        <v>131.96</v>
      </c>
      <c r="C17" s="310">
        <f>D11</f>
        <v>508.53</v>
      </c>
      <c r="D17" s="309" t="e">
        <f>F11</f>
        <v>#REF!</v>
      </c>
      <c r="E17" s="309" t="e">
        <f>#REF!</f>
        <v>#REF!</v>
      </c>
      <c r="F17" s="309" t="e">
        <f>J11</f>
        <v>#REF!</v>
      </c>
      <c r="G17" s="309" t="e">
        <f>L11</f>
        <v>#REF!</v>
      </c>
      <c r="H17" s="309" t="e">
        <f>N11</f>
        <v>#REF!</v>
      </c>
      <c r="I17" s="309" t="e">
        <f>#REF!</f>
        <v>#REF!</v>
      </c>
      <c r="J17" s="309" t="e">
        <f>R11</f>
        <v>#REF!</v>
      </c>
      <c r="K17" s="309"/>
      <c r="L17" s="309"/>
      <c r="M17" s="309">
        <f>X11</f>
        <v>0</v>
      </c>
      <c r="N17" s="309">
        <f>Z11</f>
        <v>0</v>
      </c>
      <c r="O17" s="309">
        <f>AB11</f>
        <v>0</v>
      </c>
    </row>
    <row r="18" spans="1:15">
      <c r="A18" s="308" t="s">
        <v>58</v>
      </c>
      <c r="B18" s="310">
        <f>C11</f>
        <v>79.77</v>
      </c>
      <c r="C18" s="310">
        <f>E11</f>
        <v>68.599999999999994</v>
      </c>
      <c r="D18" s="309" t="e">
        <f>G11</f>
        <v>#REF!</v>
      </c>
      <c r="E18" s="309" t="e">
        <f>#REF!</f>
        <v>#REF!</v>
      </c>
      <c r="F18" s="309" t="e">
        <f>K11</f>
        <v>#REF!</v>
      </c>
      <c r="G18" s="309" t="e">
        <f>M11</f>
        <v>#REF!</v>
      </c>
      <c r="H18" s="309" t="e">
        <f>O11</f>
        <v>#REF!</v>
      </c>
      <c r="I18" s="309" t="e">
        <f>#REF!</f>
        <v>#REF!</v>
      </c>
      <c r="J18" s="309" t="e">
        <f>S11</f>
        <v>#REF!</v>
      </c>
      <c r="K18" s="309"/>
      <c r="L18" s="309"/>
      <c r="M18" s="309">
        <f>Y11</f>
        <v>0</v>
      </c>
      <c r="N18" s="309">
        <f>AA11</f>
        <v>0</v>
      </c>
      <c r="O18" s="309">
        <f>AC11</f>
        <v>0</v>
      </c>
    </row>
  </sheetData>
  <mergeCells count="15">
    <mergeCell ref="AB3:AC3"/>
    <mergeCell ref="P3:Q3"/>
    <mergeCell ref="R3:S3"/>
    <mergeCell ref="T3:U3"/>
    <mergeCell ref="V3:W3"/>
    <mergeCell ref="X3:Y3"/>
    <mergeCell ref="Z3:AA3"/>
    <mergeCell ref="N3:O3"/>
    <mergeCell ref="A3:A4"/>
    <mergeCell ref="F3:G3"/>
    <mergeCell ref="H3:I3"/>
    <mergeCell ref="J3:K3"/>
    <mergeCell ref="L3:M3"/>
    <mergeCell ref="B3:C3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Oct (2)</vt:lpstr>
      <vt:lpstr>Tổng</vt:lpstr>
      <vt:lpstr>Nov-20</vt:lpstr>
      <vt:lpstr>Tổng chi phí</vt:lpstr>
      <vt:lpstr>Total fee for sample (1)</vt:lpstr>
      <vt:lpstr>Total fee for sample (2)</vt:lpstr>
      <vt:lpstr>Total fee for Commercial (1)</vt:lpstr>
      <vt:lpstr>Total fee for Commercial(2)</vt:lpstr>
      <vt:lpstr>Total fee for exporting</vt:lpstr>
      <vt:lpstr>'Nov-20'!Print_Area</vt:lpstr>
      <vt:lpstr>'Oct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Manh Cuong</dc:creator>
  <cp:lastModifiedBy>Vu Manh Cuong</cp:lastModifiedBy>
  <cp:lastPrinted>2017-09-06T09:16:48Z</cp:lastPrinted>
  <dcterms:created xsi:type="dcterms:W3CDTF">2017-08-10T06:08:50Z</dcterms:created>
  <dcterms:modified xsi:type="dcterms:W3CDTF">2020-12-23T07:41:20Z</dcterms:modified>
</cp:coreProperties>
</file>