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ocuments/GitHub/Gavi_vax_proj/docs/"/>
    </mc:Choice>
  </mc:AlternateContent>
  <xr:revisionPtr revIDLastSave="0" documentId="8_{B9D2E8BC-0535-EB4A-9380-C29C798EC15E}" xr6:coauthVersionLast="47" xr6:coauthVersionMax="47" xr10:uidLastSave="{00000000-0000-0000-0000-000000000000}"/>
  <bookViews>
    <workbookView xWindow="720" yWindow="500" windowWidth="29820" windowHeight="18760" xr2:uid="{1472D916-4413-4B6D-B370-E72069897345}"/>
  </bookViews>
  <sheets>
    <sheet name="Core Data Sheet" sheetId="1" r:id="rId1"/>
    <sheet name="Srini.. Vax Access " sheetId="2" r:id="rId2"/>
    <sheet name="Phase I" sheetId="3" r:id="rId3"/>
    <sheet name="Phase II" sheetId="4" r:id="rId4"/>
    <sheet name="Phase III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5" l="1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O18" i="3"/>
  <c r="N18" i="3"/>
  <c r="M18" i="3"/>
  <c r="L18" i="3"/>
  <c r="K18" i="3"/>
  <c r="G18" i="3"/>
  <c r="F18" i="3"/>
  <c r="E18" i="3"/>
  <c r="D18" i="3"/>
  <c r="U16" i="3"/>
  <c r="H16" i="3"/>
  <c r="I16" i="3" s="1"/>
  <c r="J16" i="3" s="1"/>
  <c r="U15" i="3"/>
  <c r="I15" i="3"/>
  <c r="J15" i="3" s="1"/>
  <c r="H15" i="3"/>
  <c r="U14" i="3"/>
  <c r="R14" i="3"/>
  <c r="Q14" i="3"/>
  <c r="J14" i="3"/>
  <c r="P14" i="3" s="1"/>
  <c r="I14" i="3"/>
  <c r="H14" i="3"/>
  <c r="U13" i="3"/>
  <c r="S13" i="3"/>
  <c r="R13" i="3"/>
  <c r="Q13" i="3"/>
  <c r="P13" i="3"/>
  <c r="J13" i="3"/>
  <c r="T13" i="3" s="1"/>
  <c r="I13" i="3"/>
  <c r="H13" i="3"/>
  <c r="U12" i="3"/>
  <c r="T12" i="3"/>
  <c r="S12" i="3"/>
  <c r="R12" i="3"/>
  <c r="Q12" i="3"/>
  <c r="P12" i="3"/>
  <c r="J12" i="3"/>
  <c r="I12" i="3"/>
  <c r="H12" i="3"/>
  <c r="U11" i="3"/>
  <c r="H11" i="3"/>
  <c r="I11" i="3" s="1"/>
  <c r="J11" i="3" s="1"/>
  <c r="U10" i="3"/>
  <c r="I10" i="3"/>
  <c r="J10" i="3" s="1"/>
  <c r="H10" i="3"/>
  <c r="U9" i="3"/>
  <c r="J9" i="3"/>
  <c r="T9" i="3" s="1"/>
  <c r="I9" i="3"/>
  <c r="H9" i="3"/>
  <c r="U8" i="3"/>
  <c r="H8" i="3"/>
  <c r="I8" i="3" s="1"/>
  <c r="J8" i="3" s="1"/>
  <c r="U7" i="3"/>
  <c r="I7" i="3"/>
  <c r="J7" i="3" s="1"/>
  <c r="H7" i="3"/>
  <c r="U6" i="3"/>
  <c r="R6" i="3"/>
  <c r="J6" i="3"/>
  <c r="Q6" i="3" s="1"/>
  <c r="I6" i="3"/>
  <c r="H6" i="3"/>
  <c r="U5" i="3"/>
  <c r="H5" i="3"/>
  <c r="I5" i="3" s="1"/>
  <c r="J5" i="3" s="1"/>
  <c r="U4" i="3"/>
  <c r="I4" i="3"/>
  <c r="J4" i="3" s="1"/>
  <c r="H4" i="3"/>
  <c r="U3" i="3"/>
  <c r="U18" i="3" s="1"/>
  <c r="H3" i="3"/>
  <c r="H18" i="3" s="1"/>
  <c r="J26" i="2"/>
  <c r="N26" i="2" s="1"/>
  <c r="E26" i="2"/>
  <c r="N25" i="2"/>
  <c r="M25" i="2"/>
  <c r="J24" i="2"/>
  <c r="N24" i="2" s="1"/>
  <c r="E24" i="2"/>
  <c r="J23" i="2"/>
  <c r="N23" i="2" s="1"/>
  <c r="E23" i="2"/>
  <c r="S5" i="2" s="1"/>
  <c r="J22" i="2"/>
  <c r="N22" i="2" s="1"/>
  <c r="E22" i="2"/>
  <c r="AH21" i="2"/>
  <c r="J21" i="2"/>
  <c r="M21" i="2" s="1"/>
  <c r="E21" i="2"/>
  <c r="M20" i="2"/>
  <c r="J20" i="2"/>
  <c r="N20" i="2" s="1"/>
  <c r="E20" i="2"/>
  <c r="J19" i="2"/>
  <c r="N19" i="2" s="1"/>
  <c r="E19" i="2"/>
  <c r="AX18" i="2"/>
  <c r="AW18" i="2"/>
  <c r="AV18" i="2"/>
  <c r="AU18" i="2"/>
  <c r="AR18" i="2"/>
  <c r="AS18" i="2" s="1"/>
  <c r="AQ18" i="2"/>
  <c r="AP18" i="2"/>
  <c r="AN18" i="2"/>
  <c r="AM18" i="2"/>
  <c r="AT18" i="2" s="1"/>
  <c r="AL18" i="2"/>
  <c r="AG18" i="2"/>
  <c r="N18" i="2"/>
  <c r="M18" i="2"/>
  <c r="J18" i="2"/>
  <c r="E18" i="2"/>
  <c r="AX17" i="2"/>
  <c r="AV17" i="2"/>
  <c r="AS17" i="2"/>
  <c r="AT17" i="2" s="1"/>
  <c r="AR17" i="2"/>
  <c r="AQ17" i="2"/>
  <c r="AP17" i="2"/>
  <c r="AN17" i="2"/>
  <c r="AM17" i="2"/>
  <c r="AL17" i="2"/>
  <c r="AG17" i="2"/>
  <c r="AU17" i="2" s="1"/>
  <c r="AW17" i="2" s="1"/>
  <c r="N17" i="2"/>
  <c r="J17" i="2"/>
  <c r="M17" i="2" s="1"/>
  <c r="E17" i="2"/>
  <c r="AX16" i="2"/>
  <c r="AV16" i="2"/>
  <c r="AR16" i="2"/>
  <c r="AS16" i="2" s="1"/>
  <c r="AT16" i="2" s="1"/>
  <c r="AQ16" i="2"/>
  <c r="AP16" i="2"/>
  <c r="AN16" i="2"/>
  <c r="AM16" i="2"/>
  <c r="AL16" i="2"/>
  <c r="AL14" i="2" s="1"/>
  <c r="AG16" i="2"/>
  <c r="AU16" i="2" s="1"/>
  <c r="AW16" i="2" s="1"/>
  <c r="J16" i="2"/>
  <c r="N16" i="2" s="1"/>
  <c r="E16" i="2"/>
  <c r="AX15" i="2"/>
  <c r="AV15" i="2"/>
  <c r="AU15" i="2"/>
  <c r="AW15" i="2" s="1"/>
  <c r="AQ15" i="2"/>
  <c r="AP15" i="2"/>
  <c r="AN15" i="2"/>
  <c r="AM15" i="2"/>
  <c r="AT15" i="2" s="1"/>
  <c r="AL15" i="2"/>
  <c r="AG15" i="2"/>
  <c r="AG14" i="2" s="1"/>
  <c r="AU14" i="2" s="1"/>
  <c r="AW14" i="2" s="1"/>
  <c r="N15" i="2"/>
  <c r="J15" i="2"/>
  <c r="M15" i="2" s="1"/>
  <c r="E15" i="2"/>
  <c r="AX14" i="2"/>
  <c r="AV14" i="2"/>
  <c r="AN14" i="2"/>
  <c r="AJ14" i="2"/>
  <c r="AI14" i="2"/>
  <c r="AF14" i="2"/>
  <c r="J14" i="2"/>
  <c r="M14" i="2" s="1"/>
  <c r="E14" i="2"/>
  <c r="AX13" i="2"/>
  <c r="AV13" i="2"/>
  <c r="AR13" i="2"/>
  <c r="AS13" i="2" s="1"/>
  <c r="AQ13" i="2"/>
  <c r="AP13" i="2"/>
  <c r="AO13" i="2"/>
  <c r="AN13" i="2"/>
  <c r="AM13" i="2"/>
  <c r="AL13" i="2"/>
  <c r="AG13" i="2"/>
  <c r="AU13" i="2" s="1"/>
  <c r="AW13" i="2" s="1"/>
  <c r="N13" i="2"/>
  <c r="J13" i="2"/>
  <c r="M13" i="2" s="1"/>
  <c r="E13" i="2"/>
  <c r="AX12" i="2"/>
  <c r="AV12" i="2"/>
  <c r="AU12" i="2"/>
  <c r="AW12" i="2" s="1"/>
  <c r="AR12" i="2"/>
  <c r="AS12" i="2" s="1"/>
  <c r="AT12" i="2" s="1"/>
  <c r="AQ12" i="2"/>
  <c r="AP12" i="2"/>
  <c r="AO12" i="2"/>
  <c r="AM12" i="2"/>
  <c r="AN12" i="2" s="1"/>
  <c r="AL12" i="2"/>
  <c r="AG12" i="2"/>
  <c r="M12" i="2"/>
  <c r="J12" i="2"/>
  <c r="N12" i="2" s="1"/>
  <c r="E12" i="2"/>
  <c r="AX11" i="2"/>
  <c r="AV11" i="2"/>
  <c r="AR11" i="2"/>
  <c r="AQ11" i="2"/>
  <c r="AP11" i="2"/>
  <c r="AM11" i="2"/>
  <c r="AS11" i="2" s="1"/>
  <c r="AK11" i="2"/>
  <c r="AL11" i="2" s="1"/>
  <c r="AL4" i="2" s="1"/>
  <c r="AG11" i="2"/>
  <c r="AU11" i="2" s="1"/>
  <c r="AW11" i="2" s="1"/>
  <c r="N11" i="2"/>
  <c r="M11" i="2"/>
  <c r="J11" i="2"/>
  <c r="E11" i="2"/>
  <c r="AX10" i="2"/>
  <c r="AV10" i="2"/>
  <c r="AT10" i="2"/>
  <c r="AQ10" i="2"/>
  <c r="AP10" i="2"/>
  <c r="AO10" i="2"/>
  <c r="AN10" i="2"/>
  <c r="AM10" i="2"/>
  <c r="AL10" i="2"/>
  <c r="AG10" i="2"/>
  <c r="AU10" i="2" s="1"/>
  <c r="AW10" i="2" s="1"/>
  <c r="L10" i="2"/>
  <c r="J10" i="2"/>
  <c r="N10" i="2" s="1"/>
  <c r="E10" i="2"/>
  <c r="S3" i="2" s="1"/>
  <c r="AX9" i="2"/>
  <c r="AV9" i="2"/>
  <c r="AQ9" i="2"/>
  <c r="AP9" i="2"/>
  <c r="AO9" i="2"/>
  <c r="AM9" i="2"/>
  <c r="AT9" i="2" s="1"/>
  <c r="AL9" i="2"/>
  <c r="AG9" i="2"/>
  <c r="AU9" i="2" s="1"/>
  <c r="AW9" i="2" s="1"/>
  <c r="J9" i="2"/>
  <c r="N9" i="2" s="1"/>
  <c r="E9" i="2"/>
  <c r="AX8" i="2"/>
  <c r="AV8" i="2"/>
  <c r="AR8" i="2"/>
  <c r="AS8" i="2" s="1"/>
  <c r="AQ8" i="2"/>
  <c r="AP8" i="2"/>
  <c r="AO8" i="2"/>
  <c r="AN8" i="2"/>
  <c r="AM8" i="2"/>
  <c r="AL8" i="2"/>
  <c r="AI8" i="2"/>
  <c r="AG8" i="2"/>
  <c r="AU8" i="2" s="1"/>
  <c r="AW8" i="2" s="1"/>
  <c r="N8" i="2"/>
  <c r="J8" i="2"/>
  <c r="M8" i="2" s="1"/>
  <c r="E8" i="2"/>
  <c r="AX7" i="2"/>
  <c r="AV7" i="2"/>
  <c r="AT7" i="2"/>
  <c r="AQ7" i="2"/>
  <c r="AP7" i="2"/>
  <c r="AO7" i="2"/>
  <c r="AN7" i="2"/>
  <c r="AM7" i="2"/>
  <c r="AL7" i="2"/>
  <c r="AG7" i="2"/>
  <c r="AU7" i="2" s="1"/>
  <c r="AW7" i="2" s="1"/>
  <c r="N7" i="2"/>
  <c r="J7" i="2"/>
  <c r="M7" i="2" s="1"/>
  <c r="E7" i="2"/>
  <c r="AX6" i="2"/>
  <c r="AV6" i="2"/>
  <c r="AU6" i="2"/>
  <c r="AW6" i="2" s="1"/>
  <c r="AT6" i="2"/>
  <c r="AQ6" i="2"/>
  <c r="AP6" i="2"/>
  <c r="AO6" i="2"/>
  <c r="AN6" i="2"/>
  <c r="AM6" i="2"/>
  <c r="AL6" i="2"/>
  <c r="AG6" i="2"/>
  <c r="N6" i="2"/>
  <c r="J6" i="2"/>
  <c r="M6" i="2" s="1"/>
  <c r="E6" i="2"/>
  <c r="AX5" i="2"/>
  <c r="AX4" i="2" s="1"/>
  <c r="AV5" i="2"/>
  <c r="AR5" i="2"/>
  <c r="AS5" i="2" s="1"/>
  <c r="AT5" i="2" s="1"/>
  <c r="AQ5" i="2"/>
  <c r="AN5" i="2"/>
  <c r="AM5" i="2"/>
  <c r="AL5" i="2"/>
  <c r="AG5" i="2"/>
  <c r="AG4" i="2" s="1"/>
  <c r="AU4" i="2" s="1"/>
  <c r="AW4" i="2" s="1"/>
  <c r="T5" i="2"/>
  <c r="J5" i="2"/>
  <c r="N5" i="2" s="1"/>
  <c r="E5" i="2"/>
  <c r="AV4" i="2"/>
  <c r="AJ4" i="2"/>
  <c r="AI4" i="2"/>
  <c r="AF4" i="2"/>
  <c r="T4" i="2"/>
  <c r="N4" i="2"/>
  <c r="M4" i="2"/>
  <c r="J4" i="2"/>
  <c r="E4" i="2"/>
  <c r="AX3" i="2"/>
  <c r="AU3" i="2"/>
  <c r="AT3" i="2"/>
  <c r="AQ3" i="2"/>
  <c r="AP3" i="2"/>
  <c r="AO3" i="2"/>
  <c r="AM3" i="2"/>
  <c r="AL3" i="2"/>
  <c r="AK3" i="2"/>
  <c r="AN3" i="2" s="1"/>
  <c r="AJ3" i="2"/>
  <c r="AI3" i="2"/>
  <c r="AH3" i="2"/>
  <c r="AG3" i="2"/>
  <c r="AD3" i="2"/>
  <c r="T3" i="2"/>
  <c r="J3" i="2"/>
  <c r="L3" i="2" s="1"/>
  <c r="E3" i="2"/>
  <c r="S4" i="2" s="1"/>
  <c r="N2" i="2"/>
  <c r="M2" i="2"/>
  <c r="J2" i="2"/>
  <c r="E2" i="2"/>
  <c r="AP112" i="1"/>
  <c r="AK112" i="1"/>
  <c r="AL112" i="1" s="1"/>
  <c r="AM112" i="1" s="1"/>
  <c r="AN112" i="1" s="1"/>
  <c r="AO112" i="1" s="1"/>
  <c r="AJ112" i="1"/>
  <c r="S112" i="1"/>
  <c r="U112" i="1" s="1"/>
  <c r="R112" i="1"/>
  <c r="T112" i="1" s="1"/>
  <c r="V112" i="1" s="1"/>
  <c r="N112" i="1"/>
  <c r="P112" i="1" s="1"/>
  <c r="M112" i="1"/>
  <c r="O112" i="1" s="1"/>
  <c r="AR111" i="1"/>
  <c r="AS111" i="1" s="1"/>
  <c r="AT111" i="1" s="1"/>
  <c r="AU111" i="1" s="1"/>
  <c r="AQ111" i="1"/>
  <c r="AP111" i="1"/>
  <c r="AL111" i="1"/>
  <c r="AM111" i="1" s="1"/>
  <c r="AN111" i="1" s="1"/>
  <c r="AO111" i="1" s="1"/>
  <c r="AK111" i="1"/>
  <c r="AJ111" i="1"/>
  <c r="S111" i="1"/>
  <c r="U111" i="1" s="1"/>
  <c r="R111" i="1"/>
  <c r="T111" i="1" s="1"/>
  <c r="O111" i="1"/>
  <c r="N111" i="1"/>
  <c r="P111" i="1" s="1"/>
  <c r="M111" i="1"/>
  <c r="AP110" i="1"/>
  <c r="AN110" i="1"/>
  <c r="AO110" i="1" s="1"/>
  <c r="AW110" i="1" s="1"/>
  <c r="AM110" i="1"/>
  <c r="AL110" i="1"/>
  <c r="AK110" i="1"/>
  <c r="AJ110" i="1"/>
  <c r="S110" i="1"/>
  <c r="U110" i="1" s="1"/>
  <c r="R110" i="1"/>
  <c r="T110" i="1" s="1"/>
  <c r="V110" i="1" s="1"/>
  <c r="N110" i="1"/>
  <c r="P110" i="1" s="1"/>
  <c r="M110" i="1"/>
  <c r="O110" i="1" s="1"/>
  <c r="AR109" i="1"/>
  <c r="AS109" i="1" s="1"/>
  <c r="AT109" i="1" s="1"/>
  <c r="AU109" i="1" s="1"/>
  <c r="BA109" i="1" s="1"/>
  <c r="AQ109" i="1"/>
  <c r="AP109" i="1"/>
  <c r="AX109" i="1" s="1"/>
  <c r="AL109" i="1"/>
  <c r="AM109" i="1" s="1"/>
  <c r="AN109" i="1" s="1"/>
  <c r="AO109" i="1" s="1"/>
  <c r="AK109" i="1"/>
  <c r="AJ109" i="1"/>
  <c r="U109" i="1"/>
  <c r="S109" i="1"/>
  <c r="R109" i="1"/>
  <c r="T109" i="1" s="1"/>
  <c r="V109" i="1" s="1"/>
  <c r="O109" i="1"/>
  <c r="N109" i="1"/>
  <c r="P109" i="1" s="1"/>
  <c r="M109" i="1"/>
  <c r="AP108" i="1"/>
  <c r="AN108" i="1"/>
  <c r="AO108" i="1" s="1"/>
  <c r="AM108" i="1"/>
  <c r="AL108" i="1"/>
  <c r="AK108" i="1"/>
  <c r="AJ108" i="1"/>
  <c r="S108" i="1"/>
  <c r="U108" i="1" s="1"/>
  <c r="R108" i="1"/>
  <c r="T108" i="1" s="1"/>
  <c r="V108" i="1" s="1"/>
  <c r="N108" i="1"/>
  <c r="P108" i="1" s="1"/>
  <c r="M108" i="1"/>
  <c r="O108" i="1" s="1"/>
  <c r="Q108" i="1" s="1"/>
  <c r="AR107" i="1"/>
  <c r="AS107" i="1" s="1"/>
  <c r="AT107" i="1" s="1"/>
  <c r="AU107" i="1" s="1"/>
  <c r="BA107" i="1" s="1"/>
  <c r="AQ107" i="1"/>
  <c r="AP107" i="1"/>
  <c r="AX107" i="1" s="1"/>
  <c r="AL107" i="1"/>
  <c r="AM107" i="1" s="1"/>
  <c r="AN107" i="1" s="1"/>
  <c r="AO107" i="1" s="1"/>
  <c r="AK107" i="1"/>
  <c r="AJ107" i="1"/>
  <c r="U107" i="1"/>
  <c r="S107" i="1"/>
  <c r="R107" i="1"/>
  <c r="T107" i="1" s="1"/>
  <c r="V107" i="1" s="1"/>
  <c r="O107" i="1"/>
  <c r="N107" i="1"/>
  <c r="P107" i="1" s="1"/>
  <c r="M107" i="1"/>
  <c r="AP106" i="1"/>
  <c r="AM106" i="1"/>
  <c r="AN106" i="1" s="1"/>
  <c r="AO106" i="1" s="1"/>
  <c r="AL106" i="1"/>
  <c r="AK106" i="1"/>
  <c r="AJ106" i="1"/>
  <c r="S106" i="1"/>
  <c r="U106" i="1" s="1"/>
  <c r="R106" i="1"/>
  <c r="T106" i="1" s="1"/>
  <c r="N106" i="1"/>
  <c r="P106" i="1" s="1"/>
  <c r="M106" i="1"/>
  <c r="O106" i="1" s="1"/>
  <c r="AR105" i="1"/>
  <c r="AS105" i="1" s="1"/>
  <c r="AT105" i="1" s="1"/>
  <c r="AU105" i="1" s="1"/>
  <c r="BA105" i="1" s="1"/>
  <c r="AQ105" i="1"/>
  <c r="AP105" i="1"/>
  <c r="AL105" i="1"/>
  <c r="AM105" i="1" s="1"/>
  <c r="AN105" i="1" s="1"/>
  <c r="AO105" i="1" s="1"/>
  <c r="AK105" i="1"/>
  <c r="AJ105" i="1"/>
  <c r="U105" i="1"/>
  <c r="S105" i="1"/>
  <c r="R105" i="1"/>
  <c r="T105" i="1" s="1"/>
  <c r="V105" i="1" s="1"/>
  <c r="N105" i="1"/>
  <c r="P105" i="1" s="1"/>
  <c r="M105" i="1"/>
  <c r="O105" i="1" s="1"/>
  <c r="Q105" i="1" s="1"/>
  <c r="AP104" i="1"/>
  <c r="AL104" i="1"/>
  <c r="AM104" i="1" s="1"/>
  <c r="AN104" i="1" s="1"/>
  <c r="AO104" i="1" s="1"/>
  <c r="AK104" i="1"/>
  <c r="AJ104" i="1"/>
  <c r="S104" i="1"/>
  <c r="U104" i="1" s="1"/>
  <c r="R104" i="1"/>
  <c r="T104" i="1" s="1"/>
  <c r="V104" i="1" s="1"/>
  <c r="N104" i="1"/>
  <c r="P104" i="1" s="1"/>
  <c r="M104" i="1"/>
  <c r="O104" i="1" s="1"/>
  <c r="Q104" i="1" s="1"/>
  <c r="AZ103" i="1"/>
  <c r="AY103" i="1"/>
  <c r="AP103" i="1"/>
  <c r="AX103" i="1" s="1"/>
  <c r="AL103" i="1"/>
  <c r="AM103" i="1" s="1"/>
  <c r="AN103" i="1" s="1"/>
  <c r="AO103" i="1" s="1"/>
  <c r="AK103" i="1"/>
  <c r="AJ103" i="1"/>
  <c r="V103" i="1"/>
  <c r="U103" i="1"/>
  <c r="S103" i="1"/>
  <c r="R103" i="1"/>
  <c r="T103" i="1" s="1"/>
  <c r="N103" i="1"/>
  <c r="P103" i="1" s="1"/>
  <c r="M103" i="1"/>
  <c r="O103" i="1" s="1"/>
  <c r="Q103" i="1" s="1"/>
  <c r="AP102" i="1"/>
  <c r="AM102" i="1"/>
  <c r="AN102" i="1" s="1"/>
  <c r="AO102" i="1" s="1"/>
  <c r="AL102" i="1"/>
  <c r="AK102" i="1"/>
  <c r="AJ102" i="1"/>
  <c r="S102" i="1"/>
  <c r="U102" i="1" s="1"/>
  <c r="R102" i="1"/>
  <c r="T102" i="1" s="1"/>
  <c r="N102" i="1"/>
  <c r="P102" i="1" s="1"/>
  <c r="M102" i="1"/>
  <c r="O102" i="1" s="1"/>
  <c r="Q102" i="1" s="1"/>
  <c r="AP101" i="1"/>
  <c r="AL101" i="1"/>
  <c r="AM101" i="1" s="1"/>
  <c r="AN101" i="1" s="1"/>
  <c r="AO101" i="1" s="1"/>
  <c r="AK101" i="1"/>
  <c r="AJ101" i="1"/>
  <c r="U101" i="1"/>
  <c r="S101" i="1"/>
  <c r="R101" i="1"/>
  <c r="T101" i="1" s="1"/>
  <c r="V101" i="1" s="1"/>
  <c r="Q101" i="1"/>
  <c r="O101" i="1"/>
  <c r="N101" i="1"/>
  <c r="P101" i="1" s="1"/>
  <c r="M101" i="1"/>
  <c r="AP100" i="1"/>
  <c r="AL100" i="1"/>
  <c r="AM100" i="1" s="1"/>
  <c r="AN100" i="1" s="1"/>
  <c r="AO100" i="1" s="1"/>
  <c r="AK100" i="1"/>
  <c r="AJ100" i="1"/>
  <c r="U100" i="1"/>
  <c r="S100" i="1"/>
  <c r="R100" i="1"/>
  <c r="T100" i="1" s="1"/>
  <c r="V100" i="1" s="1"/>
  <c r="N100" i="1"/>
  <c r="P100" i="1" s="1"/>
  <c r="M100" i="1"/>
  <c r="O100" i="1" s="1"/>
  <c r="Q100" i="1" s="1"/>
  <c r="AT99" i="1"/>
  <c r="AU99" i="1" s="1"/>
  <c r="AP99" i="1"/>
  <c r="AQ99" i="1" s="1"/>
  <c r="AR99" i="1" s="1"/>
  <c r="AS99" i="1" s="1"/>
  <c r="AM99" i="1"/>
  <c r="AN99" i="1" s="1"/>
  <c r="AO99" i="1" s="1"/>
  <c r="AL99" i="1"/>
  <c r="AK99" i="1"/>
  <c r="AJ99" i="1"/>
  <c r="V99" i="1"/>
  <c r="U99" i="1"/>
  <c r="S99" i="1"/>
  <c r="R99" i="1"/>
  <c r="T99" i="1" s="1"/>
  <c r="N99" i="1"/>
  <c r="P99" i="1" s="1"/>
  <c r="M99" i="1"/>
  <c r="O99" i="1" s="1"/>
  <c r="Q99" i="1" s="1"/>
  <c r="AP98" i="1"/>
  <c r="AM98" i="1"/>
  <c r="AN98" i="1" s="1"/>
  <c r="AO98" i="1" s="1"/>
  <c r="AL98" i="1"/>
  <c r="AK98" i="1"/>
  <c r="AJ98" i="1"/>
  <c r="S98" i="1"/>
  <c r="U98" i="1" s="1"/>
  <c r="R98" i="1"/>
  <c r="T98" i="1" s="1"/>
  <c r="V98" i="1" s="1"/>
  <c r="Q98" i="1"/>
  <c r="N98" i="1"/>
  <c r="P98" i="1" s="1"/>
  <c r="M98" i="1"/>
  <c r="O98" i="1" s="1"/>
  <c r="AP97" i="1"/>
  <c r="AQ97" i="1" s="1"/>
  <c r="AR97" i="1" s="1"/>
  <c r="AS97" i="1" s="1"/>
  <c r="AT97" i="1" s="1"/>
  <c r="AU97" i="1" s="1"/>
  <c r="BA97" i="1" s="1"/>
  <c r="AL97" i="1"/>
  <c r="AM97" i="1" s="1"/>
  <c r="AN97" i="1" s="1"/>
  <c r="AO97" i="1" s="1"/>
  <c r="AK97" i="1"/>
  <c r="AJ97" i="1"/>
  <c r="U97" i="1"/>
  <c r="V97" i="1" s="1"/>
  <c r="S97" i="1"/>
  <c r="R97" i="1"/>
  <c r="T97" i="1" s="1"/>
  <c r="O97" i="1"/>
  <c r="Q97" i="1" s="1"/>
  <c r="N97" i="1"/>
  <c r="P97" i="1" s="1"/>
  <c r="M97" i="1"/>
  <c r="AT96" i="1"/>
  <c r="AU96" i="1" s="1"/>
  <c r="AQ96" i="1"/>
  <c r="AR96" i="1" s="1"/>
  <c r="AS96" i="1" s="1"/>
  <c r="AP96" i="1"/>
  <c r="AL96" i="1"/>
  <c r="AM96" i="1" s="1"/>
  <c r="AN96" i="1" s="1"/>
  <c r="AO96" i="1" s="1"/>
  <c r="AK96" i="1"/>
  <c r="AJ96" i="1"/>
  <c r="U96" i="1"/>
  <c r="S96" i="1"/>
  <c r="R96" i="1"/>
  <c r="T96" i="1" s="1"/>
  <c r="N96" i="1"/>
  <c r="P96" i="1" s="1"/>
  <c r="M96" i="1"/>
  <c r="O96" i="1" s="1"/>
  <c r="Q96" i="1" s="1"/>
  <c r="AQ95" i="1"/>
  <c r="AR95" i="1" s="1"/>
  <c r="AS95" i="1" s="1"/>
  <c r="AT95" i="1" s="1"/>
  <c r="AU95" i="1" s="1"/>
  <c r="BA95" i="1" s="1"/>
  <c r="AP95" i="1"/>
  <c r="AL95" i="1"/>
  <c r="AM95" i="1" s="1"/>
  <c r="AN95" i="1" s="1"/>
  <c r="AO95" i="1" s="1"/>
  <c r="AK95" i="1"/>
  <c r="AJ95" i="1"/>
  <c r="U95" i="1"/>
  <c r="S95" i="1"/>
  <c r="R95" i="1"/>
  <c r="T95" i="1" s="1"/>
  <c r="V95" i="1" s="1"/>
  <c r="Q95" i="1"/>
  <c r="O95" i="1"/>
  <c r="N95" i="1"/>
  <c r="P95" i="1" s="1"/>
  <c r="M95" i="1"/>
  <c r="AT94" i="1"/>
  <c r="AU94" i="1" s="1"/>
  <c r="AP94" i="1"/>
  <c r="AQ94" i="1" s="1"/>
  <c r="AR94" i="1" s="1"/>
  <c r="AS94" i="1" s="1"/>
  <c r="AL94" i="1"/>
  <c r="AM94" i="1" s="1"/>
  <c r="AN94" i="1" s="1"/>
  <c r="AO94" i="1" s="1"/>
  <c r="AK94" i="1"/>
  <c r="AJ94" i="1"/>
  <c r="S94" i="1"/>
  <c r="U94" i="1" s="1"/>
  <c r="R94" i="1"/>
  <c r="T94" i="1" s="1"/>
  <c r="V94" i="1" s="1"/>
  <c r="O94" i="1"/>
  <c r="Q94" i="1" s="1"/>
  <c r="N94" i="1"/>
  <c r="P94" i="1" s="1"/>
  <c r="M94" i="1"/>
  <c r="AQ93" i="1"/>
  <c r="AR93" i="1" s="1"/>
  <c r="AS93" i="1" s="1"/>
  <c r="AT93" i="1" s="1"/>
  <c r="AU93" i="1" s="1"/>
  <c r="AP93" i="1"/>
  <c r="AL93" i="1"/>
  <c r="AM93" i="1" s="1"/>
  <c r="AN93" i="1" s="1"/>
  <c r="AO93" i="1" s="1"/>
  <c r="AK93" i="1"/>
  <c r="AJ93" i="1"/>
  <c r="U93" i="1"/>
  <c r="V93" i="1" s="1"/>
  <c r="S93" i="1"/>
  <c r="R93" i="1"/>
  <c r="T93" i="1" s="1"/>
  <c r="O93" i="1"/>
  <c r="Q93" i="1" s="1"/>
  <c r="N93" i="1"/>
  <c r="P93" i="1" s="1"/>
  <c r="M93" i="1"/>
  <c r="AP92" i="1"/>
  <c r="AL92" i="1"/>
  <c r="AM92" i="1" s="1"/>
  <c r="AN92" i="1" s="1"/>
  <c r="AO92" i="1" s="1"/>
  <c r="AK92" i="1"/>
  <c r="AJ92" i="1"/>
  <c r="S92" i="1"/>
  <c r="U92" i="1" s="1"/>
  <c r="R92" i="1"/>
  <c r="T92" i="1" s="1"/>
  <c r="N92" i="1"/>
  <c r="P92" i="1" s="1"/>
  <c r="M92" i="1"/>
  <c r="O92" i="1" s="1"/>
  <c r="Q92" i="1" s="1"/>
  <c r="AQ91" i="1"/>
  <c r="AR91" i="1" s="1"/>
  <c r="AS91" i="1" s="1"/>
  <c r="AT91" i="1" s="1"/>
  <c r="AU91" i="1" s="1"/>
  <c r="AP91" i="1"/>
  <c r="AL91" i="1"/>
  <c r="AM91" i="1" s="1"/>
  <c r="AN91" i="1" s="1"/>
  <c r="AO91" i="1" s="1"/>
  <c r="AK91" i="1"/>
  <c r="AJ91" i="1"/>
  <c r="U91" i="1"/>
  <c r="S91" i="1"/>
  <c r="R91" i="1"/>
  <c r="T91" i="1" s="1"/>
  <c r="V91" i="1" s="1"/>
  <c r="O91" i="1"/>
  <c r="Q91" i="1" s="1"/>
  <c r="N91" i="1"/>
  <c r="P91" i="1" s="1"/>
  <c r="M91" i="1"/>
  <c r="AU90" i="1"/>
  <c r="BA90" i="1" s="1"/>
  <c r="AT90" i="1"/>
  <c r="AP90" i="1"/>
  <c r="AQ90" i="1" s="1"/>
  <c r="AR90" i="1" s="1"/>
  <c r="AS90" i="1" s="1"/>
  <c r="AL90" i="1"/>
  <c r="AM90" i="1" s="1"/>
  <c r="AN90" i="1" s="1"/>
  <c r="AO90" i="1" s="1"/>
  <c r="AK90" i="1"/>
  <c r="AJ90" i="1"/>
  <c r="S90" i="1"/>
  <c r="U90" i="1" s="1"/>
  <c r="R90" i="1"/>
  <c r="T90" i="1" s="1"/>
  <c r="V90" i="1" s="1"/>
  <c r="O90" i="1"/>
  <c r="Q90" i="1" s="1"/>
  <c r="N90" i="1"/>
  <c r="P90" i="1" s="1"/>
  <c r="M90" i="1"/>
  <c r="AT89" i="1"/>
  <c r="AU89" i="1" s="1"/>
  <c r="AR89" i="1"/>
  <c r="AS89" i="1" s="1"/>
  <c r="AQ89" i="1"/>
  <c r="AP89" i="1"/>
  <c r="AL89" i="1"/>
  <c r="AM89" i="1" s="1"/>
  <c r="AN89" i="1" s="1"/>
  <c r="AO89" i="1" s="1"/>
  <c r="AK89" i="1"/>
  <c r="AJ89" i="1"/>
  <c r="U89" i="1"/>
  <c r="V89" i="1" s="1"/>
  <c r="S89" i="1"/>
  <c r="R89" i="1"/>
  <c r="T89" i="1" s="1"/>
  <c r="O89" i="1"/>
  <c r="Q89" i="1" s="1"/>
  <c r="N89" i="1"/>
  <c r="P89" i="1" s="1"/>
  <c r="M89" i="1"/>
  <c r="AT88" i="1"/>
  <c r="AU88" i="1" s="1"/>
  <c r="BA88" i="1" s="1"/>
  <c r="AQ88" i="1"/>
  <c r="AR88" i="1" s="1"/>
  <c r="AS88" i="1" s="1"/>
  <c r="AP88" i="1"/>
  <c r="AL88" i="1"/>
  <c r="AM88" i="1" s="1"/>
  <c r="AN88" i="1" s="1"/>
  <c r="AO88" i="1" s="1"/>
  <c r="AK88" i="1"/>
  <c r="AJ88" i="1"/>
  <c r="S88" i="1"/>
  <c r="U88" i="1" s="1"/>
  <c r="R88" i="1"/>
  <c r="T88" i="1" s="1"/>
  <c r="N88" i="1"/>
  <c r="P88" i="1" s="1"/>
  <c r="M88" i="1"/>
  <c r="O88" i="1" s="1"/>
  <c r="Q88" i="1" s="1"/>
  <c r="AQ87" i="1"/>
  <c r="AR87" i="1" s="1"/>
  <c r="AS87" i="1" s="1"/>
  <c r="AT87" i="1" s="1"/>
  <c r="AU87" i="1" s="1"/>
  <c r="AP87" i="1"/>
  <c r="AZ87" i="1" s="1"/>
  <c r="AL87" i="1"/>
  <c r="AM87" i="1" s="1"/>
  <c r="AN87" i="1" s="1"/>
  <c r="AO87" i="1" s="1"/>
  <c r="AK87" i="1"/>
  <c r="AJ87" i="1"/>
  <c r="U87" i="1"/>
  <c r="S87" i="1"/>
  <c r="R87" i="1"/>
  <c r="T87" i="1" s="1"/>
  <c r="V87" i="1" s="1"/>
  <c r="Q87" i="1"/>
  <c r="O87" i="1"/>
  <c r="N87" i="1"/>
  <c r="P87" i="1" s="1"/>
  <c r="M87" i="1"/>
  <c r="AT86" i="1"/>
  <c r="AU86" i="1" s="1"/>
  <c r="BA86" i="1" s="1"/>
  <c r="AP86" i="1"/>
  <c r="AQ86" i="1" s="1"/>
  <c r="AR86" i="1" s="1"/>
  <c r="AS86" i="1" s="1"/>
  <c r="AL86" i="1"/>
  <c r="AM86" i="1" s="1"/>
  <c r="AN86" i="1" s="1"/>
  <c r="AO86" i="1" s="1"/>
  <c r="AK86" i="1"/>
  <c r="AJ86" i="1"/>
  <c r="S86" i="1"/>
  <c r="U86" i="1" s="1"/>
  <c r="R86" i="1"/>
  <c r="T86" i="1" s="1"/>
  <c r="V86" i="1" s="1"/>
  <c r="O86" i="1"/>
  <c r="Q86" i="1" s="1"/>
  <c r="N86" i="1"/>
  <c r="P86" i="1" s="1"/>
  <c r="M86" i="1"/>
  <c r="AT85" i="1"/>
  <c r="AU85" i="1" s="1"/>
  <c r="AQ85" i="1"/>
  <c r="AR85" i="1" s="1"/>
  <c r="AS85" i="1" s="1"/>
  <c r="AP85" i="1"/>
  <c r="AL85" i="1"/>
  <c r="AM85" i="1" s="1"/>
  <c r="AN85" i="1" s="1"/>
  <c r="AO85" i="1" s="1"/>
  <c r="AW85" i="1" s="1"/>
  <c r="AK85" i="1"/>
  <c r="AJ85" i="1"/>
  <c r="U85" i="1"/>
  <c r="V85" i="1" s="1"/>
  <c r="S85" i="1"/>
  <c r="R85" i="1"/>
  <c r="T85" i="1" s="1"/>
  <c r="O85" i="1"/>
  <c r="Q85" i="1" s="1"/>
  <c r="N85" i="1"/>
  <c r="P85" i="1" s="1"/>
  <c r="M85" i="1"/>
  <c r="AP84" i="1"/>
  <c r="AL84" i="1"/>
  <c r="AM84" i="1" s="1"/>
  <c r="AN84" i="1" s="1"/>
  <c r="AO84" i="1" s="1"/>
  <c r="AK84" i="1"/>
  <c r="AJ84" i="1"/>
  <c r="U84" i="1"/>
  <c r="V84" i="1" s="1"/>
  <c r="S84" i="1"/>
  <c r="R84" i="1"/>
  <c r="T84" i="1" s="1"/>
  <c r="O84" i="1"/>
  <c r="Q84" i="1" s="1"/>
  <c r="N84" i="1"/>
  <c r="P84" i="1" s="1"/>
  <c r="M84" i="1"/>
  <c r="AP83" i="1"/>
  <c r="AN83" i="1"/>
  <c r="AO83" i="1" s="1"/>
  <c r="AW83" i="1" s="1"/>
  <c r="AM83" i="1"/>
  <c r="AL83" i="1"/>
  <c r="AK83" i="1"/>
  <c r="AJ83" i="1"/>
  <c r="S83" i="1"/>
  <c r="U83" i="1" s="1"/>
  <c r="R83" i="1"/>
  <c r="T83" i="1" s="1"/>
  <c r="V83" i="1" s="1"/>
  <c r="Q83" i="1"/>
  <c r="N83" i="1"/>
  <c r="P83" i="1" s="1"/>
  <c r="M83" i="1"/>
  <c r="O83" i="1" s="1"/>
  <c r="AQ82" i="1"/>
  <c r="AR82" i="1" s="1"/>
  <c r="AS82" i="1" s="1"/>
  <c r="AT82" i="1" s="1"/>
  <c r="AU82" i="1" s="1"/>
  <c r="AP82" i="1"/>
  <c r="AL82" i="1"/>
  <c r="AM82" i="1" s="1"/>
  <c r="AN82" i="1" s="1"/>
  <c r="AO82" i="1" s="1"/>
  <c r="AK82" i="1"/>
  <c r="AJ82" i="1"/>
  <c r="U82" i="1"/>
  <c r="S82" i="1"/>
  <c r="R82" i="1"/>
  <c r="T82" i="1" s="1"/>
  <c r="V82" i="1" s="1"/>
  <c r="N82" i="1"/>
  <c r="P82" i="1" s="1"/>
  <c r="M82" i="1"/>
  <c r="O82" i="1" s="1"/>
  <c r="Q82" i="1" s="1"/>
  <c r="AP81" i="1"/>
  <c r="AL81" i="1"/>
  <c r="AM81" i="1" s="1"/>
  <c r="AN81" i="1" s="1"/>
  <c r="AO81" i="1" s="1"/>
  <c r="AK81" i="1"/>
  <c r="AJ81" i="1"/>
  <c r="S81" i="1"/>
  <c r="U81" i="1" s="1"/>
  <c r="R81" i="1"/>
  <c r="T81" i="1" s="1"/>
  <c r="Q81" i="1"/>
  <c r="N81" i="1"/>
  <c r="P81" i="1" s="1"/>
  <c r="M81" i="1"/>
  <c r="O81" i="1" s="1"/>
  <c r="AP80" i="1"/>
  <c r="AL80" i="1"/>
  <c r="AM80" i="1" s="1"/>
  <c r="AN80" i="1" s="1"/>
  <c r="AO80" i="1" s="1"/>
  <c r="AK80" i="1"/>
  <c r="AJ80" i="1"/>
  <c r="U80" i="1"/>
  <c r="V80" i="1" s="1"/>
  <c r="S80" i="1"/>
  <c r="R80" i="1"/>
  <c r="T80" i="1" s="1"/>
  <c r="O80" i="1"/>
  <c r="Q80" i="1" s="1"/>
  <c r="N80" i="1"/>
  <c r="P80" i="1" s="1"/>
  <c r="M80" i="1"/>
  <c r="AQ79" i="1"/>
  <c r="AR79" i="1" s="1"/>
  <c r="AS79" i="1" s="1"/>
  <c r="AT79" i="1" s="1"/>
  <c r="AU79" i="1" s="1"/>
  <c r="AP79" i="1"/>
  <c r="AM79" i="1"/>
  <c r="AN79" i="1" s="1"/>
  <c r="AO79" i="1" s="1"/>
  <c r="AL79" i="1"/>
  <c r="AK79" i="1"/>
  <c r="AJ79" i="1"/>
  <c r="V79" i="1"/>
  <c r="U79" i="1"/>
  <c r="S79" i="1"/>
  <c r="R79" i="1"/>
  <c r="T79" i="1" s="1"/>
  <c r="Q79" i="1"/>
  <c r="N79" i="1"/>
  <c r="P79" i="1" s="1"/>
  <c r="M79" i="1"/>
  <c r="O79" i="1" s="1"/>
  <c r="AQ78" i="1"/>
  <c r="AR78" i="1" s="1"/>
  <c r="AS78" i="1" s="1"/>
  <c r="AT78" i="1" s="1"/>
  <c r="AU78" i="1" s="1"/>
  <c r="AP78" i="1"/>
  <c r="AL78" i="1"/>
  <c r="AM78" i="1" s="1"/>
  <c r="AN78" i="1" s="1"/>
  <c r="AO78" i="1" s="1"/>
  <c r="AK78" i="1"/>
  <c r="AJ78" i="1"/>
  <c r="U78" i="1"/>
  <c r="S78" i="1"/>
  <c r="R78" i="1"/>
  <c r="T78" i="1" s="1"/>
  <c r="V78" i="1" s="1"/>
  <c r="Q78" i="1"/>
  <c r="O78" i="1"/>
  <c r="N78" i="1"/>
  <c r="P78" i="1" s="1"/>
  <c r="M78" i="1"/>
  <c r="AP77" i="1"/>
  <c r="AL77" i="1"/>
  <c r="AM77" i="1" s="1"/>
  <c r="AN77" i="1" s="1"/>
  <c r="AO77" i="1" s="1"/>
  <c r="AW77" i="1" s="1"/>
  <c r="AK77" i="1"/>
  <c r="AJ77" i="1"/>
  <c r="S77" i="1"/>
  <c r="U77" i="1" s="1"/>
  <c r="V77" i="1" s="1"/>
  <c r="R77" i="1"/>
  <c r="T77" i="1" s="1"/>
  <c r="N77" i="1"/>
  <c r="P77" i="1" s="1"/>
  <c r="M77" i="1"/>
  <c r="O77" i="1" s="1"/>
  <c r="AP76" i="1"/>
  <c r="AL76" i="1"/>
  <c r="AM76" i="1" s="1"/>
  <c r="AN76" i="1" s="1"/>
  <c r="AO76" i="1" s="1"/>
  <c r="AK76" i="1"/>
  <c r="AJ76" i="1"/>
  <c r="U76" i="1"/>
  <c r="S76" i="1"/>
  <c r="R76" i="1"/>
  <c r="T76" i="1" s="1"/>
  <c r="V76" i="1" s="1"/>
  <c r="O76" i="1"/>
  <c r="N76" i="1"/>
  <c r="P76" i="1" s="1"/>
  <c r="M76" i="1"/>
  <c r="AT75" i="1"/>
  <c r="AU75" i="1" s="1"/>
  <c r="BA75" i="1" s="1"/>
  <c r="AQ75" i="1"/>
  <c r="AR75" i="1" s="1"/>
  <c r="AS75" i="1" s="1"/>
  <c r="AP75" i="1"/>
  <c r="AN75" i="1"/>
  <c r="AO75" i="1" s="1"/>
  <c r="AM75" i="1"/>
  <c r="AL75" i="1"/>
  <c r="AK75" i="1"/>
  <c r="AJ75" i="1"/>
  <c r="V75" i="1"/>
  <c r="S75" i="1"/>
  <c r="U75" i="1" s="1"/>
  <c r="R75" i="1"/>
  <c r="T75" i="1" s="1"/>
  <c r="N75" i="1"/>
  <c r="P75" i="1" s="1"/>
  <c r="M75" i="1"/>
  <c r="O75" i="1" s="1"/>
  <c r="AQ74" i="1"/>
  <c r="AR74" i="1" s="1"/>
  <c r="AS74" i="1" s="1"/>
  <c r="AT74" i="1" s="1"/>
  <c r="AU74" i="1" s="1"/>
  <c r="BA74" i="1" s="1"/>
  <c r="AP74" i="1"/>
  <c r="AL74" i="1"/>
  <c r="AM74" i="1" s="1"/>
  <c r="AN74" i="1" s="1"/>
  <c r="AO74" i="1" s="1"/>
  <c r="AK74" i="1"/>
  <c r="AJ74" i="1"/>
  <c r="U74" i="1"/>
  <c r="V74" i="1" s="1"/>
  <c r="S74" i="1"/>
  <c r="R74" i="1"/>
  <c r="T74" i="1" s="1"/>
  <c r="P74" i="1"/>
  <c r="O74" i="1"/>
  <c r="Q74" i="1" s="1"/>
  <c r="N74" i="1"/>
  <c r="M74" i="1"/>
  <c r="AP73" i="1"/>
  <c r="AO73" i="1"/>
  <c r="AN73" i="1"/>
  <c r="AM73" i="1"/>
  <c r="AL73" i="1"/>
  <c r="AK73" i="1"/>
  <c r="AJ73" i="1"/>
  <c r="T73" i="1"/>
  <c r="S73" i="1"/>
  <c r="U73" i="1" s="1"/>
  <c r="R73" i="1"/>
  <c r="N73" i="1"/>
  <c r="P73" i="1" s="1"/>
  <c r="M73" i="1"/>
  <c r="O73" i="1" s="1"/>
  <c r="Q73" i="1" s="1"/>
  <c r="AR72" i="1"/>
  <c r="AS72" i="1" s="1"/>
  <c r="AT72" i="1" s="1"/>
  <c r="AU72" i="1" s="1"/>
  <c r="AP72" i="1"/>
  <c r="AQ72" i="1" s="1"/>
  <c r="AM72" i="1"/>
  <c r="AN72" i="1" s="1"/>
  <c r="AO72" i="1" s="1"/>
  <c r="AL72" i="1"/>
  <c r="AK72" i="1"/>
  <c r="AJ72" i="1"/>
  <c r="S72" i="1"/>
  <c r="U72" i="1" s="1"/>
  <c r="V72" i="1" s="1"/>
  <c r="R72" i="1"/>
  <c r="T72" i="1" s="1"/>
  <c r="N72" i="1"/>
  <c r="P72" i="1" s="1"/>
  <c r="M72" i="1"/>
  <c r="O72" i="1" s="1"/>
  <c r="Q72" i="1" s="1"/>
  <c r="AP71" i="1"/>
  <c r="AY71" i="1" s="1"/>
  <c r="AN71" i="1"/>
  <c r="AO71" i="1" s="1"/>
  <c r="AM71" i="1"/>
  <c r="AL71" i="1"/>
  <c r="AK71" i="1"/>
  <c r="AJ71" i="1"/>
  <c r="T71" i="1"/>
  <c r="S71" i="1"/>
  <c r="U71" i="1" s="1"/>
  <c r="R71" i="1"/>
  <c r="O71" i="1"/>
  <c r="N71" i="1"/>
  <c r="P71" i="1" s="1"/>
  <c r="M71" i="1"/>
  <c r="AP70" i="1"/>
  <c r="AL70" i="1"/>
  <c r="AM70" i="1" s="1"/>
  <c r="AN70" i="1" s="1"/>
  <c r="AO70" i="1" s="1"/>
  <c r="AK70" i="1"/>
  <c r="AJ70" i="1"/>
  <c r="U70" i="1"/>
  <c r="V70" i="1" s="1"/>
  <c r="S70" i="1"/>
  <c r="R70" i="1"/>
  <c r="T70" i="1" s="1"/>
  <c r="P70" i="1"/>
  <c r="O70" i="1"/>
  <c r="N70" i="1"/>
  <c r="M70" i="1"/>
  <c r="AR69" i="1"/>
  <c r="AS69" i="1" s="1"/>
  <c r="AT69" i="1" s="1"/>
  <c r="AU69" i="1" s="1"/>
  <c r="AQ69" i="1"/>
  <c r="AP69" i="1"/>
  <c r="AL69" i="1"/>
  <c r="AM69" i="1" s="1"/>
  <c r="AN69" i="1" s="1"/>
  <c r="AO69" i="1" s="1"/>
  <c r="AK69" i="1"/>
  <c r="AJ69" i="1"/>
  <c r="U69" i="1"/>
  <c r="V69" i="1" s="1"/>
  <c r="S69" i="1"/>
  <c r="R69" i="1"/>
  <c r="T69" i="1" s="1"/>
  <c r="N69" i="1"/>
  <c r="P69" i="1" s="1"/>
  <c r="M69" i="1"/>
  <c r="O69" i="1" s="1"/>
  <c r="Q69" i="1" s="1"/>
  <c r="AP68" i="1"/>
  <c r="AK68" i="1"/>
  <c r="AJ68" i="1"/>
  <c r="T68" i="1"/>
  <c r="V68" i="1" s="1"/>
  <c r="S68" i="1"/>
  <c r="U68" i="1" s="1"/>
  <c r="R68" i="1"/>
  <c r="Q68" i="1"/>
  <c r="P68" i="1"/>
  <c r="O68" i="1"/>
  <c r="N68" i="1"/>
  <c r="M68" i="1"/>
  <c r="AP67" i="1"/>
  <c r="AK67" i="1"/>
  <c r="AL67" i="1" s="1"/>
  <c r="AM67" i="1" s="1"/>
  <c r="AN67" i="1" s="1"/>
  <c r="AO67" i="1" s="1"/>
  <c r="AJ67" i="1"/>
  <c r="T67" i="1"/>
  <c r="S67" i="1"/>
  <c r="U67" i="1" s="1"/>
  <c r="R67" i="1"/>
  <c r="P67" i="1"/>
  <c r="N67" i="1"/>
  <c r="M67" i="1"/>
  <c r="O67" i="1" s="1"/>
  <c r="Q67" i="1" s="1"/>
  <c r="AP66" i="1"/>
  <c r="AK66" i="1"/>
  <c r="AJ66" i="1"/>
  <c r="T66" i="1"/>
  <c r="S66" i="1"/>
  <c r="U66" i="1" s="1"/>
  <c r="R66" i="1"/>
  <c r="P66" i="1"/>
  <c r="O66" i="1"/>
  <c r="Q66" i="1" s="1"/>
  <c r="N66" i="1"/>
  <c r="M66" i="1"/>
  <c r="AX65" i="1"/>
  <c r="AP65" i="1"/>
  <c r="AK65" i="1"/>
  <c r="AL65" i="1" s="1"/>
  <c r="AM65" i="1" s="1"/>
  <c r="AN65" i="1" s="1"/>
  <c r="AO65" i="1" s="1"/>
  <c r="AJ65" i="1"/>
  <c r="T65" i="1"/>
  <c r="S65" i="1"/>
  <c r="U65" i="1" s="1"/>
  <c r="R65" i="1"/>
  <c r="P65" i="1"/>
  <c r="O65" i="1"/>
  <c r="Q65" i="1" s="1"/>
  <c r="N65" i="1"/>
  <c r="M65" i="1"/>
  <c r="AR64" i="1"/>
  <c r="AS64" i="1" s="1"/>
  <c r="AT64" i="1" s="1"/>
  <c r="AU64" i="1" s="1"/>
  <c r="AP64" i="1"/>
  <c r="AL64" i="1"/>
  <c r="AM64" i="1" s="1"/>
  <c r="AN64" i="1" s="1"/>
  <c r="AO64" i="1" s="1"/>
  <c r="AK64" i="1"/>
  <c r="AQ64" i="1" s="1"/>
  <c r="AJ64" i="1"/>
  <c r="T64" i="1"/>
  <c r="S64" i="1"/>
  <c r="U64" i="1" s="1"/>
  <c r="R64" i="1"/>
  <c r="P64" i="1"/>
  <c r="O64" i="1"/>
  <c r="N64" i="1"/>
  <c r="M64" i="1"/>
  <c r="AP63" i="1"/>
  <c r="AX63" i="1" s="1"/>
  <c r="AN63" i="1"/>
  <c r="AO63" i="1" s="1"/>
  <c r="AW63" i="1" s="1"/>
  <c r="AK63" i="1"/>
  <c r="AL63" i="1" s="1"/>
  <c r="AM63" i="1" s="1"/>
  <c r="AJ63" i="1"/>
  <c r="U63" i="1"/>
  <c r="T63" i="1"/>
  <c r="S63" i="1"/>
  <c r="R63" i="1"/>
  <c r="P63" i="1"/>
  <c r="O63" i="1"/>
  <c r="Q63" i="1" s="1"/>
  <c r="N63" i="1"/>
  <c r="M63" i="1"/>
  <c r="BA62" i="1"/>
  <c r="AP62" i="1"/>
  <c r="AO62" i="1"/>
  <c r="AN62" i="1"/>
  <c r="AL62" i="1"/>
  <c r="AM62" i="1" s="1"/>
  <c r="AK62" i="1"/>
  <c r="AQ62" i="1" s="1"/>
  <c r="AR62" i="1" s="1"/>
  <c r="AS62" i="1" s="1"/>
  <c r="AT62" i="1" s="1"/>
  <c r="AU62" i="1" s="1"/>
  <c r="AJ62" i="1"/>
  <c r="T62" i="1"/>
  <c r="V62" i="1" s="1"/>
  <c r="S62" i="1"/>
  <c r="U62" i="1" s="1"/>
  <c r="R62" i="1"/>
  <c r="Q62" i="1"/>
  <c r="P62" i="1"/>
  <c r="O62" i="1"/>
  <c r="N62" i="1"/>
  <c r="M62" i="1"/>
  <c r="AP61" i="1"/>
  <c r="AO61" i="1"/>
  <c r="AW61" i="1" s="1"/>
  <c r="AK61" i="1"/>
  <c r="AL61" i="1" s="1"/>
  <c r="AM61" i="1" s="1"/>
  <c r="AN61" i="1" s="1"/>
  <c r="AJ61" i="1"/>
  <c r="U61" i="1"/>
  <c r="T61" i="1"/>
  <c r="S61" i="1"/>
  <c r="R61" i="1"/>
  <c r="P61" i="1"/>
  <c r="N61" i="1"/>
  <c r="M61" i="1"/>
  <c r="O61" i="1" s="1"/>
  <c r="AT60" i="1"/>
  <c r="AU60" i="1" s="1"/>
  <c r="BA60" i="1" s="1"/>
  <c r="AP60" i="1"/>
  <c r="AK60" i="1"/>
  <c r="AQ60" i="1" s="1"/>
  <c r="AR60" i="1" s="1"/>
  <c r="AS60" i="1" s="1"/>
  <c r="AJ60" i="1"/>
  <c r="T60" i="1"/>
  <c r="S60" i="1"/>
  <c r="U60" i="1" s="1"/>
  <c r="R60" i="1"/>
  <c r="Q60" i="1"/>
  <c r="P60" i="1"/>
  <c r="O60" i="1"/>
  <c r="N60" i="1"/>
  <c r="M60" i="1"/>
  <c r="AP59" i="1"/>
  <c r="AK59" i="1"/>
  <c r="AL59" i="1" s="1"/>
  <c r="AM59" i="1" s="1"/>
  <c r="AN59" i="1" s="1"/>
  <c r="AO59" i="1" s="1"/>
  <c r="AJ59" i="1"/>
  <c r="T59" i="1"/>
  <c r="S59" i="1"/>
  <c r="U59" i="1" s="1"/>
  <c r="R59" i="1"/>
  <c r="P59" i="1"/>
  <c r="N59" i="1"/>
  <c r="M59" i="1"/>
  <c r="O59" i="1" s="1"/>
  <c r="Q59" i="1" s="1"/>
  <c r="AP58" i="1"/>
  <c r="AK58" i="1"/>
  <c r="AJ58" i="1"/>
  <c r="T58" i="1"/>
  <c r="S58" i="1"/>
  <c r="U58" i="1" s="1"/>
  <c r="R58" i="1"/>
  <c r="P58" i="1"/>
  <c r="O58" i="1"/>
  <c r="Q58" i="1" s="1"/>
  <c r="N58" i="1"/>
  <c r="M58" i="1"/>
  <c r="AZ57" i="1"/>
  <c r="AP57" i="1"/>
  <c r="AN57" i="1"/>
  <c r="AO57" i="1" s="1"/>
  <c r="AK57" i="1"/>
  <c r="AL57" i="1" s="1"/>
  <c r="AM57" i="1" s="1"/>
  <c r="AJ57" i="1"/>
  <c r="T57" i="1"/>
  <c r="S57" i="1"/>
  <c r="U57" i="1" s="1"/>
  <c r="R57" i="1"/>
  <c r="P57" i="1"/>
  <c r="O57" i="1"/>
  <c r="Q57" i="1" s="1"/>
  <c r="N57" i="1"/>
  <c r="M57" i="1"/>
  <c r="AS56" i="1"/>
  <c r="AT56" i="1" s="1"/>
  <c r="AU56" i="1" s="1"/>
  <c r="BA56" i="1" s="1"/>
  <c r="AR56" i="1"/>
  <c r="AP56" i="1"/>
  <c r="AL56" i="1"/>
  <c r="AM56" i="1" s="1"/>
  <c r="AN56" i="1" s="1"/>
  <c r="AO56" i="1" s="1"/>
  <c r="AK56" i="1"/>
  <c r="AQ56" i="1" s="1"/>
  <c r="AJ56" i="1"/>
  <c r="T56" i="1"/>
  <c r="V56" i="1" s="1"/>
  <c r="S56" i="1"/>
  <c r="U56" i="1" s="1"/>
  <c r="R56" i="1"/>
  <c r="P56" i="1"/>
  <c r="Q56" i="1" s="1"/>
  <c r="O56" i="1"/>
  <c r="N56" i="1"/>
  <c r="M56" i="1"/>
  <c r="AP55" i="1"/>
  <c r="AM55" i="1"/>
  <c r="AN55" i="1" s="1"/>
  <c r="AO55" i="1" s="1"/>
  <c r="AK55" i="1"/>
  <c r="AL55" i="1" s="1"/>
  <c r="AJ55" i="1"/>
  <c r="T55" i="1"/>
  <c r="S55" i="1"/>
  <c r="U55" i="1" s="1"/>
  <c r="R55" i="1"/>
  <c r="P55" i="1"/>
  <c r="O55" i="1"/>
  <c r="Q55" i="1" s="1"/>
  <c r="N55" i="1"/>
  <c r="M55" i="1"/>
  <c r="AP54" i="1"/>
  <c r="AK54" i="1"/>
  <c r="AJ54" i="1"/>
  <c r="T54" i="1"/>
  <c r="S54" i="1"/>
  <c r="U54" i="1" s="1"/>
  <c r="R54" i="1"/>
  <c r="O54" i="1"/>
  <c r="N54" i="1"/>
  <c r="P54" i="1" s="1"/>
  <c r="M54" i="1"/>
  <c r="AQ53" i="1"/>
  <c r="AR53" i="1" s="1"/>
  <c r="AS53" i="1" s="1"/>
  <c r="AT53" i="1" s="1"/>
  <c r="AU53" i="1" s="1"/>
  <c r="AP53" i="1"/>
  <c r="AK53" i="1"/>
  <c r="AL53" i="1" s="1"/>
  <c r="AM53" i="1" s="1"/>
  <c r="AN53" i="1" s="1"/>
  <c r="AO53" i="1" s="1"/>
  <c r="AJ53" i="1"/>
  <c r="U53" i="1"/>
  <c r="T53" i="1"/>
  <c r="S53" i="1"/>
  <c r="R53" i="1"/>
  <c r="P53" i="1"/>
  <c r="O53" i="1"/>
  <c r="N53" i="1"/>
  <c r="M53" i="1"/>
  <c r="AQ52" i="1"/>
  <c r="AR52" i="1" s="1"/>
  <c r="AS52" i="1" s="1"/>
  <c r="AT52" i="1" s="1"/>
  <c r="AU52" i="1" s="1"/>
  <c r="AP52" i="1"/>
  <c r="AN52" i="1"/>
  <c r="AO52" i="1" s="1"/>
  <c r="AW52" i="1" s="1"/>
  <c r="AM52" i="1"/>
  <c r="AK52" i="1"/>
  <c r="AL52" i="1" s="1"/>
  <c r="AJ52" i="1"/>
  <c r="V52" i="1"/>
  <c r="S52" i="1"/>
  <c r="U52" i="1" s="1"/>
  <c r="R52" i="1"/>
  <c r="T52" i="1" s="1"/>
  <c r="Q52" i="1"/>
  <c r="O52" i="1"/>
  <c r="N52" i="1"/>
  <c r="P52" i="1" s="1"/>
  <c r="M52" i="1"/>
  <c r="AP51" i="1"/>
  <c r="AO51" i="1"/>
  <c r="AK51" i="1"/>
  <c r="AL51" i="1" s="1"/>
  <c r="AM51" i="1" s="1"/>
  <c r="AN51" i="1" s="1"/>
  <c r="AJ51" i="1"/>
  <c r="T51" i="1"/>
  <c r="S51" i="1"/>
  <c r="U51" i="1" s="1"/>
  <c r="R51" i="1"/>
  <c r="P51" i="1"/>
  <c r="O51" i="1"/>
  <c r="Q51" i="1" s="1"/>
  <c r="N51" i="1"/>
  <c r="M51" i="1"/>
  <c r="AP50" i="1"/>
  <c r="AK50" i="1"/>
  <c r="AL50" i="1" s="1"/>
  <c r="AM50" i="1" s="1"/>
  <c r="AN50" i="1" s="1"/>
  <c r="AO50" i="1" s="1"/>
  <c r="AJ50" i="1"/>
  <c r="T50" i="1"/>
  <c r="S50" i="1"/>
  <c r="U50" i="1" s="1"/>
  <c r="R50" i="1"/>
  <c r="P50" i="1"/>
  <c r="O50" i="1"/>
  <c r="N50" i="1"/>
  <c r="M50" i="1"/>
  <c r="AP49" i="1"/>
  <c r="AK49" i="1"/>
  <c r="AJ49" i="1"/>
  <c r="T49" i="1"/>
  <c r="V49" i="1" s="1"/>
  <c r="S49" i="1"/>
  <c r="U49" i="1" s="1"/>
  <c r="R49" i="1"/>
  <c r="P49" i="1"/>
  <c r="O49" i="1"/>
  <c r="Q49" i="1" s="1"/>
  <c r="N49" i="1"/>
  <c r="M49" i="1"/>
  <c r="AP48" i="1"/>
  <c r="AK48" i="1"/>
  <c r="AL48" i="1" s="1"/>
  <c r="AM48" i="1" s="1"/>
  <c r="AN48" i="1" s="1"/>
  <c r="AO48" i="1" s="1"/>
  <c r="AJ48" i="1"/>
  <c r="T48" i="1"/>
  <c r="V48" i="1" s="1"/>
  <c r="S48" i="1"/>
  <c r="U48" i="1" s="1"/>
  <c r="R48" i="1"/>
  <c r="P48" i="1"/>
  <c r="O48" i="1"/>
  <c r="N48" i="1"/>
  <c r="M48" i="1"/>
  <c r="AP47" i="1"/>
  <c r="AK47" i="1"/>
  <c r="AJ47" i="1"/>
  <c r="T47" i="1"/>
  <c r="V47" i="1" s="1"/>
  <c r="S47" i="1"/>
  <c r="U47" i="1" s="1"/>
  <c r="R47" i="1"/>
  <c r="P47" i="1"/>
  <c r="O47" i="1"/>
  <c r="N47" i="1"/>
  <c r="M47" i="1"/>
  <c r="AP46" i="1"/>
  <c r="AK46" i="1"/>
  <c r="AL46" i="1" s="1"/>
  <c r="AM46" i="1" s="1"/>
  <c r="AN46" i="1" s="1"/>
  <c r="AO46" i="1" s="1"/>
  <c r="AJ46" i="1"/>
  <c r="T46" i="1"/>
  <c r="V46" i="1" s="1"/>
  <c r="S46" i="1"/>
  <c r="U46" i="1" s="1"/>
  <c r="R46" i="1"/>
  <c r="P46" i="1"/>
  <c r="O46" i="1"/>
  <c r="N46" i="1"/>
  <c r="M46" i="1"/>
  <c r="AP45" i="1"/>
  <c r="AK45" i="1"/>
  <c r="AQ45" i="1" s="1"/>
  <c r="AR45" i="1" s="1"/>
  <c r="AS45" i="1" s="1"/>
  <c r="AT45" i="1" s="1"/>
  <c r="AU45" i="1" s="1"/>
  <c r="AJ45" i="1"/>
  <c r="T45" i="1"/>
  <c r="S45" i="1"/>
  <c r="U45" i="1" s="1"/>
  <c r="R45" i="1"/>
  <c r="P45" i="1"/>
  <c r="O45" i="1"/>
  <c r="N45" i="1"/>
  <c r="M45" i="1"/>
  <c r="AP44" i="1"/>
  <c r="AK44" i="1"/>
  <c r="AL44" i="1" s="1"/>
  <c r="AM44" i="1" s="1"/>
  <c r="AN44" i="1" s="1"/>
  <c r="AO44" i="1" s="1"/>
  <c r="AJ44" i="1"/>
  <c r="S44" i="1"/>
  <c r="U44" i="1" s="1"/>
  <c r="R44" i="1"/>
  <c r="T44" i="1" s="1"/>
  <c r="V44" i="1" s="1"/>
  <c r="P44" i="1"/>
  <c r="N44" i="1"/>
  <c r="M44" i="1"/>
  <c r="O44" i="1" s="1"/>
  <c r="Q44" i="1" s="1"/>
  <c r="AS43" i="1"/>
  <c r="AT43" i="1" s="1"/>
  <c r="AU43" i="1" s="1"/>
  <c r="AR43" i="1"/>
  <c r="AQ43" i="1"/>
  <c r="AP43" i="1"/>
  <c r="AO43" i="1"/>
  <c r="AV43" i="1" s="1"/>
  <c r="AN43" i="1"/>
  <c r="AL43" i="1"/>
  <c r="AM43" i="1" s="1"/>
  <c r="AK43" i="1"/>
  <c r="AJ43" i="1"/>
  <c r="V43" i="1"/>
  <c r="T43" i="1"/>
  <c r="S43" i="1"/>
  <c r="U43" i="1" s="1"/>
  <c r="R43" i="1"/>
  <c r="O43" i="1"/>
  <c r="N43" i="1"/>
  <c r="P43" i="1" s="1"/>
  <c r="Q43" i="1" s="1"/>
  <c r="M43" i="1"/>
  <c r="AP42" i="1"/>
  <c r="AM42" i="1"/>
  <c r="AN42" i="1" s="1"/>
  <c r="AO42" i="1" s="1"/>
  <c r="AK42" i="1"/>
  <c r="AL42" i="1" s="1"/>
  <c r="AJ42" i="1"/>
  <c r="U42" i="1"/>
  <c r="T42" i="1"/>
  <c r="V42" i="1" s="1"/>
  <c r="S42" i="1"/>
  <c r="R42" i="1"/>
  <c r="P42" i="1"/>
  <c r="O42" i="1"/>
  <c r="Q42" i="1" s="1"/>
  <c r="N42" i="1"/>
  <c r="M42" i="1"/>
  <c r="AP41" i="1"/>
  <c r="AL41" i="1"/>
  <c r="AM41" i="1" s="1"/>
  <c r="AN41" i="1" s="1"/>
  <c r="AO41" i="1" s="1"/>
  <c r="AW41" i="1" s="1"/>
  <c r="AK41" i="1"/>
  <c r="AQ41" i="1" s="1"/>
  <c r="AR41" i="1" s="1"/>
  <c r="AS41" i="1" s="1"/>
  <c r="AT41" i="1" s="1"/>
  <c r="AU41" i="1" s="1"/>
  <c r="AJ41" i="1"/>
  <c r="T41" i="1"/>
  <c r="S41" i="1"/>
  <c r="U41" i="1" s="1"/>
  <c r="R41" i="1"/>
  <c r="P41" i="1"/>
  <c r="O41" i="1"/>
  <c r="Q41" i="1" s="1"/>
  <c r="N41" i="1"/>
  <c r="M41" i="1"/>
  <c r="AP40" i="1"/>
  <c r="AK40" i="1"/>
  <c r="AL40" i="1" s="1"/>
  <c r="AM40" i="1" s="1"/>
  <c r="AN40" i="1" s="1"/>
  <c r="AO40" i="1" s="1"/>
  <c r="AJ40" i="1"/>
  <c r="S40" i="1"/>
  <c r="U40" i="1" s="1"/>
  <c r="R40" i="1"/>
  <c r="T40" i="1" s="1"/>
  <c r="V40" i="1" s="1"/>
  <c r="P40" i="1"/>
  <c r="O40" i="1"/>
  <c r="Q40" i="1" s="1"/>
  <c r="N40" i="1"/>
  <c r="M40" i="1"/>
  <c r="AQ39" i="1"/>
  <c r="AR39" i="1" s="1"/>
  <c r="AS39" i="1" s="1"/>
  <c r="AT39" i="1" s="1"/>
  <c r="AU39" i="1" s="1"/>
  <c r="BA39" i="1" s="1"/>
  <c r="AP39" i="1"/>
  <c r="AY39" i="1" s="1"/>
  <c r="AK39" i="1"/>
  <c r="AL39" i="1" s="1"/>
  <c r="AM39" i="1" s="1"/>
  <c r="AN39" i="1" s="1"/>
  <c r="AO39" i="1" s="1"/>
  <c r="AJ39" i="1"/>
  <c r="U39" i="1"/>
  <c r="T39" i="1"/>
  <c r="V39" i="1" s="1"/>
  <c r="S39" i="1"/>
  <c r="R39" i="1"/>
  <c r="P39" i="1"/>
  <c r="N39" i="1"/>
  <c r="M39" i="1"/>
  <c r="O39" i="1" s="1"/>
  <c r="Q39" i="1" s="1"/>
  <c r="AP38" i="1"/>
  <c r="AN38" i="1"/>
  <c r="AO38" i="1" s="1"/>
  <c r="AK38" i="1"/>
  <c r="AL38" i="1" s="1"/>
  <c r="AM38" i="1" s="1"/>
  <c r="AJ38" i="1"/>
  <c r="T38" i="1"/>
  <c r="S38" i="1"/>
  <c r="U38" i="1" s="1"/>
  <c r="R38" i="1"/>
  <c r="P38" i="1"/>
  <c r="O38" i="1"/>
  <c r="Q38" i="1" s="1"/>
  <c r="N38" i="1"/>
  <c r="M38" i="1"/>
  <c r="AP37" i="1"/>
  <c r="AK37" i="1"/>
  <c r="AJ37" i="1"/>
  <c r="T37" i="1"/>
  <c r="V37" i="1" s="1"/>
  <c r="S37" i="1"/>
  <c r="U37" i="1" s="1"/>
  <c r="R37" i="1"/>
  <c r="P37" i="1"/>
  <c r="O37" i="1"/>
  <c r="N37" i="1"/>
  <c r="M37" i="1"/>
  <c r="AP36" i="1"/>
  <c r="AN36" i="1"/>
  <c r="AO36" i="1" s="1"/>
  <c r="AK36" i="1"/>
  <c r="AL36" i="1" s="1"/>
  <c r="AM36" i="1" s="1"/>
  <c r="AJ36" i="1"/>
  <c r="T36" i="1"/>
  <c r="S36" i="1"/>
  <c r="U36" i="1" s="1"/>
  <c r="R36" i="1"/>
  <c r="P36" i="1"/>
  <c r="O36" i="1"/>
  <c r="Q36" i="1" s="1"/>
  <c r="N36" i="1"/>
  <c r="M36" i="1"/>
  <c r="AP35" i="1"/>
  <c r="AK35" i="1"/>
  <c r="AJ35" i="1"/>
  <c r="T35" i="1"/>
  <c r="S35" i="1"/>
  <c r="U35" i="1" s="1"/>
  <c r="R35" i="1"/>
  <c r="P35" i="1"/>
  <c r="O35" i="1"/>
  <c r="N35" i="1"/>
  <c r="M35" i="1"/>
  <c r="AP34" i="1"/>
  <c r="AN34" i="1"/>
  <c r="AO34" i="1" s="1"/>
  <c r="AK34" i="1"/>
  <c r="AL34" i="1" s="1"/>
  <c r="AM34" i="1" s="1"/>
  <c r="AJ34" i="1"/>
  <c r="T34" i="1"/>
  <c r="S34" i="1"/>
  <c r="U34" i="1" s="1"/>
  <c r="R34" i="1"/>
  <c r="P34" i="1"/>
  <c r="O34" i="1"/>
  <c r="Q34" i="1" s="1"/>
  <c r="N34" i="1"/>
  <c r="M34" i="1"/>
  <c r="AP33" i="1"/>
  <c r="AK33" i="1"/>
  <c r="AJ33" i="1"/>
  <c r="T33" i="1"/>
  <c r="V33" i="1" s="1"/>
  <c r="S33" i="1"/>
  <c r="U33" i="1" s="1"/>
  <c r="R33" i="1"/>
  <c r="P33" i="1"/>
  <c r="O33" i="1"/>
  <c r="N33" i="1"/>
  <c r="M33" i="1"/>
  <c r="AP32" i="1"/>
  <c r="AN32" i="1"/>
  <c r="AO32" i="1" s="1"/>
  <c r="AK32" i="1"/>
  <c r="AL32" i="1" s="1"/>
  <c r="AM32" i="1" s="1"/>
  <c r="AJ32" i="1"/>
  <c r="T32" i="1"/>
  <c r="S32" i="1"/>
  <c r="U32" i="1" s="1"/>
  <c r="R32" i="1"/>
  <c r="P32" i="1"/>
  <c r="O32" i="1"/>
  <c r="Q32" i="1" s="1"/>
  <c r="N32" i="1"/>
  <c r="M32" i="1"/>
  <c r="AP31" i="1"/>
  <c r="AK31" i="1"/>
  <c r="AJ31" i="1"/>
  <c r="T31" i="1"/>
  <c r="S31" i="1"/>
  <c r="U31" i="1" s="1"/>
  <c r="R31" i="1"/>
  <c r="P31" i="1"/>
  <c r="O31" i="1"/>
  <c r="N31" i="1"/>
  <c r="M31" i="1"/>
  <c r="AP30" i="1"/>
  <c r="AN30" i="1"/>
  <c r="AO30" i="1" s="1"/>
  <c r="AK30" i="1"/>
  <c r="AL30" i="1" s="1"/>
  <c r="AM30" i="1" s="1"/>
  <c r="AJ30" i="1"/>
  <c r="T30" i="1"/>
  <c r="S30" i="1"/>
  <c r="U30" i="1" s="1"/>
  <c r="R30" i="1"/>
  <c r="P30" i="1"/>
  <c r="O30" i="1"/>
  <c r="Q30" i="1" s="1"/>
  <c r="N30" i="1"/>
  <c r="M30" i="1"/>
  <c r="AP29" i="1"/>
  <c r="AK29" i="1"/>
  <c r="AJ29" i="1"/>
  <c r="T29" i="1"/>
  <c r="V29" i="1" s="1"/>
  <c r="S29" i="1"/>
  <c r="U29" i="1" s="1"/>
  <c r="R29" i="1"/>
  <c r="P29" i="1"/>
  <c r="O29" i="1"/>
  <c r="N29" i="1"/>
  <c r="M29" i="1"/>
  <c r="AP28" i="1"/>
  <c r="AN28" i="1"/>
  <c r="AO28" i="1" s="1"/>
  <c r="AK28" i="1"/>
  <c r="AL28" i="1" s="1"/>
  <c r="AM28" i="1" s="1"/>
  <c r="AJ28" i="1"/>
  <c r="T28" i="1"/>
  <c r="S28" i="1"/>
  <c r="U28" i="1" s="1"/>
  <c r="R28" i="1"/>
  <c r="P28" i="1"/>
  <c r="O28" i="1"/>
  <c r="Q28" i="1" s="1"/>
  <c r="N28" i="1"/>
  <c r="M28" i="1"/>
  <c r="AP27" i="1"/>
  <c r="AK27" i="1"/>
  <c r="AJ27" i="1"/>
  <c r="T27" i="1"/>
  <c r="V27" i="1" s="1"/>
  <c r="S27" i="1"/>
  <c r="U27" i="1" s="1"/>
  <c r="R27" i="1"/>
  <c r="O27" i="1"/>
  <c r="N27" i="1"/>
  <c r="P27" i="1" s="1"/>
  <c r="M27" i="1"/>
  <c r="AP26" i="1"/>
  <c r="AK26" i="1"/>
  <c r="AL26" i="1" s="1"/>
  <c r="AM26" i="1" s="1"/>
  <c r="AN26" i="1" s="1"/>
  <c r="AO26" i="1" s="1"/>
  <c r="AJ26" i="1"/>
  <c r="S26" i="1"/>
  <c r="U26" i="1" s="1"/>
  <c r="R26" i="1"/>
  <c r="T26" i="1" s="1"/>
  <c r="V26" i="1" s="1"/>
  <c r="P26" i="1"/>
  <c r="O26" i="1"/>
  <c r="Q26" i="1" s="1"/>
  <c r="N26" i="1"/>
  <c r="M26" i="1"/>
  <c r="AQ25" i="1"/>
  <c r="AR25" i="1" s="1"/>
  <c r="AS25" i="1" s="1"/>
  <c r="AT25" i="1" s="1"/>
  <c r="AU25" i="1" s="1"/>
  <c r="AP25" i="1"/>
  <c r="AK25" i="1"/>
  <c r="AL25" i="1" s="1"/>
  <c r="AM25" i="1" s="1"/>
  <c r="AN25" i="1" s="1"/>
  <c r="AO25" i="1" s="1"/>
  <c r="AJ25" i="1"/>
  <c r="T25" i="1"/>
  <c r="V25" i="1" s="1"/>
  <c r="S25" i="1"/>
  <c r="U25" i="1" s="1"/>
  <c r="R25" i="1"/>
  <c r="O25" i="1"/>
  <c r="N25" i="1"/>
  <c r="P25" i="1" s="1"/>
  <c r="M25" i="1"/>
  <c r="AP24" i="1"/>
  <c r="AM24" i="1"/>
  <c r="AN24" i="1" s="1"/>
  <c r="AO24" i="1" s="1"/>
  <c r="AK24" i="1"/>
  <c r="AL24" i="1" s="1"/>
  <c r="AJ24" i="1"/>
  <c r="T24" i="1"/>
  <c r="S24" i="1"/>
  <c r="U24" i="1" s="1"/>
  <c r="R24" i="1"/>
  <c r="P24" i="1"/>
  <c r="O24" i="1"/>
  <c r="Q24" i="1" s="1"/>
  <c r="N24" i="1"/>
  <c r="M24" i="1"/>
  <c r="AQ23" i="1"/>
  <c r="AR23" i="1" s="1"/>
  <c r="AS23" i="1" s="1"/>
  <c r="AT23" i="1" s="1"/>
  <c r="AU23" i="1" s="1"/>
  <c r="BA23" i="1" s="1"/>
  <c r="AP23" i="1"/>
  <c r="AL23" i="1"/>
  <c r="AM23" i="1" s="1"/>
  <c r="AN23" i="1" s="1"/>
  <c r="AO23" i="1" s="1"/>
  <c r="AK23" i="1"/>
  <c r="AJ23" i="1"/>
  <c r="T23" i="1"/>
  <c r="V23" i="1" s="1"/>
  <c r="S23" i="1"/>
  <c r="U23" i="1" s="1"/>
  <c r="R23" i="1"/>
  <c r="P23" i="1"/>
  <c r="Q23" i="1" s="1"/>
  <c r="O23" i="1"/>
  <c r="N23" i="1"/>
  <c r="M23" i="1"/>
  <c r="AP22" i="1"/>
  <c r="AN22" i="1"/>
  <c r="AO22" i="1" s="1"/>
  <c r="AM22" i="1"/>
  <c r="AK22" i="1"/>
  <c r="AL22" i="1" s="1"/>
  <c r="AJ22" i="1"/>
  <c r="S22" i="1"/>
  <c r="U22" i="1" s="1"/>
  <c r="R22" i="1"/>
  <c r="T22" i="1" s="1"/>
  <c r="V22" i="1" s="1"/>
  <c r="N22" i="1"/>
  <c r="P22" i="1" s="1"/>
  <c r="M22" i="1"/>
  <c r="O22" i="1" s="1"/>
  <c r="AP21" i="1"/>
  <c r="AK21" i="1"/>
  <c r="AL21" i="1" s="1"/>
  <c r="AM21" i="1" s="1"/>
  <c r="AN21" i="1" s="1"/>
  <c r="AO21" i="1" s="1"/>
  <c r="AJ21" i="1"/>
  <c r="T21" i="1"/>
  <c r="V21" i="1" s="1"/>
  <c r="S21" i="1"/>
  <c r="U21" i="1" s="1"/>
  <c r="R21" i="1"/>
  <c r="P21" i="1"/>
  <c r="O21" i="1"/>
  <c r="Q21" i="1" s="1"/>
  <c r="N21" i="1"/>
  <c r="M21" i="1"/>
  <c r="AP20" i="1"/>
  <c r="AK20" i="1"/>
  <c r="AQ20" i="1" s="1"/>
  <c r="AR20" i="1" s="1"/>
  <c r="AS20" i="1" s="1"/>
  <c r="AT20" i="1" s="1"/>
  <c r="AU20" i="1" s="1"/>
  <c r="AJ20" i="1"/>
  <c r="T20" i="1"/>
  <c r="S20" i="1"/>
  <c r="U20" i="1" s="1"/>
  <c r="R20" i="1"/>
  <c r="P20" i="1"/>
  <c r="O20" i="1"/>
  <c r="Q20" i="1" s="1"/>
  <c r="N20" i="1"/>
  <c r="M20" i="1"/>
  <c r="AP19" i="1"/>
  <c r="AK19" i="1"/>
  <c r="AL19" i="1" s="1"/>
  <c r="AM19" i="1" s="1"/>
  <c r="AN19" i="1" s="1"/>
  <c r="AO19" i="1" s="1"/>
  <c r="AJ19" i="1"/>
  <c r="T19" i="1"/>
  <c r="S19" i="1"/>
  <c r="U19" i="1" s="1"/>
  <c r="R19" i="1"/>
  <c r="P19" i="1"/>
  <c r="O19" i="1"/>
  <c r="Q19" i="1" s="1"/>
  <c r="N19" i="1"/>
  <c r="M19" i="1"/>
  <c r="AP18" i="1"/>
  <c r="AK18" i="1"/>
  <c r="AQ18" i="1" s="1"/>
  <c r="AR18" i="1" s="1"/>
  <c r="AS18" i="1" s="1"/>
  <c r="AT18" i="1" s="1"/>
  <c r="AU18" i="1" s="1"/>
  <c r="AJ18" i="1"/>
  <c r="T18" i="1"/>
  <c r="V18" i="1" s="1"/>
  <c r="S18" i="1"/>
  <c r="U18" i="1" s="1"/>
  <c r="R18" i="1"/>
  <c r="P18" i="1"/>
  <c r="O18" i="1"/>
  <c r="Q18" i="1" s="1"/>
  <c r="N18" i="1"/>
  <c r="M18" i="1"/>
  <c r="AP17" i="1"/>
  <c r="AK17" i="1"/>
  <c r="AL17" i="1" s="1"/>
  <c r="AM17" i="1" s="1"/>
  <c r="AN17" i="1" s="1"/>
  <c r="AO17" i="1" s="1"/>
  <c r="AJ17" i="1"/>
  <c r="T17" i="1"/>
  <c r="V17" i="1" s="1"/>
  <c r="S17" i="1"/>
  <c r="U17" i="1" s="1"/>
  <c r="R17" i="1"/>
  <c r="P17" i="1"/>
  <c r="O17" i="1"/>
  <c r="Q17" i="1" s="1"/>
  <c r="N17" i="1"/>
  <c r="M17" i="1"/>
  <c r="AP16" i="1"/>
  <c r="AK16" i="1"/>
  <c r="AQ16" i="1" s="1"/>
  <c r="AR16" i="1" s="1"/>
  <c r="AS16" i="1" s="1"/>
  <c r="AT16" i="1" s="1"/>
  <c r="AU16" i="1" s="1"/>
  <c r="BA16" i="1" s="1"/>
  <c r="AJ16" i="1"/>
  <c r="T16" i="1"/>
  <c r="S16" i="1"/>
  <c r="U16" i="1" s="1"/>
  <c r="R16" i="1"/>
  <c r="P16" i="1"/>
  <c r="O16" i="1"/>
  <c r="Q16" i="1" s="1"/>
  <c r="N16" i="1"/>
  <c r="M16" i="1"/>
  <c r="AP15" i="1"/>
  <c r="AK15" i="1"/>
  <c r="AL15" i="1" s="1"/>
  <c r="AM15" i="1" s="1"/>
  <c r="AN15" i="1" s="1"/>
  <c r="AO15" i="1" s="1"/>
  <c r="AJ15" i="1"/>
  <c r="T15" i="1"/>
  <c r="S15" i="1"/>
  <c r="U15" i="1" s="1"/>
  <c r="R15" i="1"/>
  <c r="P15" i="1"/>
  <c r="O15" i="1"/>
  <c r="Q15" i="1" s="1"/>
  <c r="N15" i="1"/>
  <c r="M15" i="1"/>
  <c r="AP14" i="1"/>
  <c r="AK14" i="1"/>
  <c r="AQ14" i="1" s="1"/>
  <c r="AR14" i="1" s="1"/>
  <c r="AS14" i="1" s="1"/>
  <c r="AT14" i="1" s="1"/>
  <c r="AU14" i="1" s="1"/>
  <c r="BA14" i="1" s="1"/>
  <c r="AJ14" i="1"/>
  <c r="T14" i="1"/>
  <c r="V14" i="1" s="1"/>
  <c r="S14" i="1"/>
  <c r="U14" i="1" s="1"/>
  <c r="R14" i="1"/>
  <c r="P14" i="1"/>
  <c r="O14" i="1"/>
  <c r="Q14" i="1" s="1"/>
  <c r="N14" i="1"/>
  <c r="M14" i="1"/>
  <c r="AP13" i="1"/>
  <c r="AK13" i="1"/>
  <c r="AL13" i="1" s="1"/>
  <c r="AM13" i="1" s="1"/>
  <c r="AN13" i="1" s="1"/>
  <c r="AO13" i="1" s="1"/>
  <c r="AJ13" i="1"/>
  <c r="T13" i="1"/>
  <c r="V13" i="1" s="1"/>
  <c r="S13" i="1"/>
  <c r="U13" i="1" s="1"/>
  <c r="R13" i="1"/>
  <c r="P13" i="1"/>
  <c r="O13" i="1"/>
  <c r="Q13" i="1" s="1"/>
  <c r="N13" i="1"/>
  <c r="M13" i="1"/>
  <c r="AP12" i="1"/>
  <c r="AK12" i="1"/>
  <c r="AQ12" i="1" s="1"/>
  <c r="AR12" i="1" s="1"/>
  <c r="AS12" i="1" s="1"/>
  <c r="AT12" i="1" s="1"/>
  <c r="AU12" i="1" s="1"/>
  <c r="AJ12" i="1"/>
  <c r="T12" i="1"/>
  <c r="S12" i="1"/>
  <c r="U12" i="1" s="1"/>
  <c r="R12" i="1"/>
  <c r="P12" i="1"/>
  <c r="O12" i="1"/>
  <c r="Q12" i="1" s="1"/>
  <c r="N12" i="1"/>
  <c r="M12" i="1"/>
  <c r="AP11" i="1"/>
  <c r="AK11" i="1"/>
  <c r="AL11" i="1" s="1"/>
  <c r="AJ11" i="1"/>
  <c r="T11" i="1"/>
  <c r="S11" i="1"/>
  <c r="U11" i="1" s="1"/>
  <c r="R11" i="1"/>
  <c r="P11" i="1"/>
  <c r="O11" i="1"/>
  <c r="Q11" i="1" s="1"/>
  <c r="N11" i="1"/>
  <c r="M11" i="1"/>
  <c r="P8" i="3" l="1"/>
  <c r="T8" i="3"/>
  <c r="S8" i="3"/>
  <c r="R8" i="3"/>
  <c r="Q8" i="3"/>
  <c r="T11" i="3"/>
  <c r="S11" i="3"/>
  <c r="R11" i="3"/>
  <c r="Q11" i="3"/>
  <c r="P11" i="3"/>
  <c r="P15" i="3"/>
  <c r="Q15" i="3"/>
  <c r="T15" i="3"/>
  <c r="S15" i="3"/>
  <c r="R15" i="3"/>
  <c r="S4" i="3"/>
  <c r="R4" i="3"/>
  <c r="Q4" i="3"/>
  <c r="P4" i="3"/>
  <c r="T4" i="3"/>
  <c r="T16" i="3"/>
  <c r="S16" i="3"/>
  <c r="P16" i="3"/>
  <c r="R16" i="3"/>
  <c r="Q16" i="3"/>
  <c r="R5" i="3"/>
  <c r="Q5" i="3"/>
  <c r="P5" i="3"/>
  <c r="S5" i="3"/>
  <c r="T5" i="3"/>
  <c r="P7" i="3"/>
  <c r="Q7" i="3"/>
  <c r="T7" i="3"/>
  <c r="S7" i="3"/>
  <c r="R7" i="3"/>
  <c r="T10" i="3"/>
  <c r="S10" i="3"/>
  <c r="R10" i="3"/>
  <c r="Q10" i="3"/>
  <c r="P10" i="3"/>
  <c r="I3" i="3"/>
  <c r="S6" i="3"/>
  <c r="P9" i="3"/>
  <c r="S14" i="3"/>
  <c r="T6" i="3"/>
  <c r="Q9" i="3"/>
  <c r="T14" i="3"/>
  <c r="R9" i="3"/>
  <c r="S9" i="3"/>
  <c r="P6" i="3"/>
  <c r="N3" i="2"/>
  <c r="W4" i="2" s="1"/>
  <c r="M3" i="2"/>
  <c r="AT4" i="2"/>
  <c r="AT13" i="2"/>
  <c r="AT8" i="2"/>
  <c r="AB3" i="2"/>
  <c r="AB2" i="2"/>
  <c r="AT11" i="2"/>
  <c r="M16" i="2"/>
  <c r="M22" i="2"/>
  <c r="M24" i="2"/>
  <c r="AN9" i="2"/>
  <c r="AN4" i="2" s="1"/>
  <c r="M5" i="2"/>
  <c r="AU5" i="2"/>
  <c r="AW5" i="2" s="1"/>
  <c r="AN11" i="2"/>
  <c r="M19" i="2"/>
  <c r="U5" i="2" s="1"/>
  <c r="M9" i="2"/>
  <c r="N14" i="2"/>
  <c r="W3" i="2" s="1"/>
  <c r="Y3" i="2" s="1"/>
  <c r="N21" i="2"/>
  <c r="W5" i="2" s="1"/>
  <c r="Y5" i="2" s="1"/>
  <c r="M23" i="2"/>
  <c r="M10" i="2"/>
  <c r="M26" i="2"/>
  <c r="AZ17" i="1"/>
  <c r="AV17" i="1"/>
  <c r="AW17" i="1"/>
  <c r="V11" i="1"/>
  <c r="V15" i="1"/>
  <c r="BA18" i="1"/>
  <c r="V19" i="1"/>
  <c r="Q22" i="1"/>
  <c r="AW39" i="1"/>
  <c r="AZ39" i="1"/>
  <c r="AV39" i="1"/>
  <c r="AY52" i="1"/>
  <c r="BA52" i="1"/>
  <c r="AZ52" i="1"/>
  <c r="AV52" i="1"/>
  <c r="AW32" i="1"/>
  <c r="AV32" i="1"/>
  <c r="BA25" i="1"/>
  <c r="AZ25" i="1"/>
  <c r="AY25" i="1"/>
  <c r="AW26" i="1"/>
  <c r="AW36" i="1"/>
  <c r="AW42" i="1"/>
  <c r="AW44" i="1"/>
  <c r="AM11" i="1"/>
  <c r="AN11" i="1" s="1"/>
  <c r="AO11" i="1" s="1"/>
  <c r="V12" i="1"/>
  <c r="AZ15" i="1"/>
  <c r="AW15" i="1"/>
  <c r="V16" i="1"/>
  <c r="AV19" i="1"/>
  <c r="AW19" i="1"/>
  <c r="V20" i="1"/>
  <c r="AZ23" i="1"/>
  <c r="AY23" i="1"/>
  <c r="AW23" i="1"/>
  <c r="AV23" i="1"/>
  <c r="AZ30" i="1"/>
  <c r="AW30" i="1"/>
  <c r="AW40" i="1"/>
  <c r="AV40" i="1"/>
  <c r="BA53" i="1"/>
  <c r="AZ53" i="1"/>
  <c r="AV13" i="1"/>
  <c r="AW13" i="1"/>
  <c r="AW21" i="1"/>
  <c r="AY17" i="1"/>
  <c r="AW25" i="1"/>
  <c r="AV25" i="1"/>
  <c r="AY11" i="1"/>
  <c r="AY15" i="1"/>
  <c r="AY19" i="1"/>
  <c r="BA45" i="1"/>
  <c r="AV24" i="1"/>
  <c r="AW24" i="1"/>
  <c r="AW38" i="1"/>
  <c r="AV22" i="1"/>
  <c r="AW22" i="1"/>
  <c r="AY12" i="1"/>
  <c r="BA12" i="1"/>
  <c r="BA20" i="1"/>
  <c r="AW34" i="1"/>
  <c r="AY41" i="1"/>
  <c r="AV41" i="1"/>
  <c r="AZ41" i="1"/>
  <c r="BA41" i="1"/>
  <c r="AX12" i="1"/>
  <c r="AX16" i="1"/>
  <c r="AX20" i="1"/>
  <c r="AW28" i="1"/>
  <c r="AW46" i="1"/>
  <c r="AZ46" i="1"/>
  <c r="AV75" i="1"/>
  <c r="AX75" i="1"/>
  <c r="AW75" i="1"/>
  <c r="V30" i="1"/>
  <c r="V34" i="1"/>
  <c r="AQ37" i="1"/>
  <c r="AR37" i="1" s="1"/>
  <c r="AS37" i="1" s="1"/>
  <c r="AT37" i="1" s="1"/>
  <c r="AU37" i="1" s="1"/>
  <c r="BA37" i="1" s="1"/>
  <c r="AL37" i="1"/>
  <c r="AM37" i="1" s="1"/>
  <c r="AN37" i="1" s="1"/>
  <c r="AO37" i="1" s="1"/>
  <c r="V38" i="1"/>
  <c r="AY56" i="1"/>
  <c r="AZ56" i="1"/>
  <c r="AV56" i="1"/>
  <c r="AW56" i="1"/>
  <c r="AW69" i="1"/>
  <c r="AV69" i="1"/>
  <c r="AX11" i="1"/>
  <c r="AL12" i="1"/>
  <c r="AM12" i="1" s="1"/>
  <c r="AN12" i="1" s="1"/>
  <c r="AO12" i="1" s="1"/>
  <c r="AX13" i="1"/>
  <c r="AL14" i="1"/>
  <c r="AM14" i="1" s="1"/>
  <c r="AN14" i="1" s="1"/>
  <c r="AO14" i="1" s="1"/>
  <c r="AX15" i="1"/>
  <c r="AL16" i="1"/>
  <c r="AM16" i="1" s="1"/>
  <c r="AN16" i="1" s="1"/>
  <c r="AO16" i="1" s="1"/>
  <c r="AX17" i="1"/>
  <c r="AL18" i="1"/>
  <c r="AM18" i="1" s="1"/>
  <c r="AN18" i="1" s="1"/>
  <c r="AO18" i="1" s="1"/>
  <c r="AY18" i="1" s="1"/>
  <c r="AL20" i="1"/>
  <c r="AM20" i="1" s="1"/>
  <c r="AN20" i="1" s="1"/>
  <c r="AO20" i="1" s="1"/>
  <c r="AQ21" i="1"/>
  <c r="AR21" i="1" s="1"/>
  <c r="AS21" i="1" s="1"/>
  <c r="AT21" i="1" s="1"/>
  <c r="AU21" i="1" s="1"/>
  <c r="AY22" i="1"/>
  <c r="V45" i="1"/>
  <c r="AW53" i="1"/>
  <c r="AV53" i="1"/>
  <c r="AY62" i="1"/>
  <c r="AW62" i="1"/>
  <c r="AV62" i="1"/>
  <c r="AZ62" i="1"/>
  <c r="AV64" i="1"/>
  <c r="AW64" i="1"/>
  <c r="AW81" i="1"/>
  <c r="AQ29" i="1"/>
  <c r="AR29" i="1" s="1"/>
  <c r="AS29" i="1" s="1"/>
  <c r="AT29" i="1" s="1"/>
  <c r="AU29" i="1" s="1"/>
  <c r="AL29" i="1"/>
  <c r="AM29" i="1" s="1"/>
  <c r="AN29" i="1" s="1"/>
  <c r="AO29" i="1" s="1"/>
  <c r="AQ33" i="1"/>
  <c r="AR33" i="1" s="1"/>
  <c r="AS33" i="1" s="1"/>
  <c r="AT33" i="1" s="1"/>
  <c r="AU33" i="1" s="1"/>
  <c r="BA33" i="1" s="1"/>
  <c r="AL33" i="1"/>
  <c r="AM33" i="1" s="1"/>
  <c r="AN33" i="1" s="1"/>
  <c r="AO33" i="1" s="1"/>
  <c r="V41" i="1"/>
  <c r="V55" i="1"/>
  <c r="AQ58" i="1"/>
  <c r="AR58" i="1" s="1"/>
  <c r="AS58" i="1" s="1"/>
  <c r="AT58" i="1" s="1"/>
  <c r="AU58" i="1" s="1"/>
  <c r="AL58" i="1"/>
  <c r="AM58" i="1" s="1"/>
  <c r="AN58" i="1" s="1"/>
  <c r="AO58" i="1" s="1"/>
  <c r="AQ66" i="1"/>
  <c r="AR66" i="1" s="1"/>
  <c r="AS66" i="1" s="1"/>
  <c r="AT66" i="1" s="1"/>
  <c r="AU66" i="1" s="1"/>
  <c r="AL66" i="1"/>
  <c r="AM66" i="1" s="1"/>
  <c r="AN66" i="1" s="1"/>
  <c r="AO66" i="1" s="1"/>
  <c r="AW88" i="1"/>
  <c r="AV88" i="1"/>
  <c r="AZ88" i="1"/>
  <c r="AY88" i="1"/>
  <c r="AZ93" i="1"/>
  <c r="AQ11" i="1"/>
  <c r="AR11" i="1" s="1"/>
  <c r="AQ13" i="1"/>
  <c r="AR13" i="1" s="1"/>
  <c r="AS13" i="1" s="1"/>
  <c r="AT13" i="1" s="1"/>
  <c r="AU13" i="1" s="1"/>
  <c r="AY13" i="1" s="1"/>
  <c r="AQ15" i="1"/>
  <c r="AR15" i="1" s="1"/>
  <c r="AS15" i="1" s="1"/>
  <c r="AT15" i="1" s="1"/>
  <c r="AU15" i="1" s="1"/>
  <c r="BA15" i="1" s="1"/>
  <c r="AQ17" i="1"/>
  <c r="AR17" i="1" s="1"/>
  <c r="AS17" i="1" s="1"/>
  <c r="AT17" i="1" s="1"/>
  <c r="AU17" i="1" s="1"/>
  <c r="BA17" i="1" s="1"/>
  <c r="AQ19" i="1"/>
  <c r="AR19" i="1" s="1"/>
  <c r="AS19" i="1" s="1"/>
  <c r="AT19" i="1" s="1"/>
  <c r="AU19" i="1" s="1"/>
  <c r="AQ22" i="1"/>
  <c r="AR22" i="1" s="1"/>
  <c r="AS22" i="1" s="1"/>
  <c r="AT22" i="1" s="1"/>
  <c r="AU22" i="1" s="1"/>
  <c r="AY24" i="1"/>
  <c r="Q29" i="1"/>
  <c r="V31" i="1"/>
  <c r="Q33" i="1"/>
  <c r="V35" i="1"/>
  <c r="Q37" i="1"/>
  <c r="AW50" i="1"/>
  <c r="V51" i="1"/>
  <c r="AV59" i="1"/>
  <c r="AW59" i="1"/>
  <c r="AW67" i="1"/>
  <c r="BA82" i="1"/>
  <c r="AZ82" i="1"/>
  <c r="AY82" i="1"/>
  <c r="AX33" i="1"/>
  <c r="AX37" i="1"/>
  <c r="AY59" i="1"/>
  <c r="AQ59" i="1"/>
  <c r="AR59" i="1" s="1"/>
  <c r="AS59" i="1" s="1"/>
  <c r="AT59" i="1" s="1"/>
  <c r="AU59" i="1" s="1"/>
  <c r="BA59" i="1" s="1"/>
  <c r="AZ59" i="1"/>
  <c r="AX59" i="1"/>
  <c r="AY64" i="1"/>
  <c r="BA64" i="1"/>
  <c r="AZ64" i="1"/>
  <c r="AY67" i="1"/>
  <c r="AQ67" i="1"/>
  <c r="AR67" i="1" s="1"/>
  <c r="AS67" i="1" s="1"/>
  <c r="AT67" i="1" s="1"/>
  <c r="AU67" i="1" s="1"/>
  <c r="BA67" i="1" s="1"/>
  <c r="AZ67" i="1"/>
  <c r="AW76" i="1"/>
  <c r="AW97" i="1"/>
  <c r="AV97" i="1"/>
  <c r="AZ97" i="1"/>
  <c r="AY97" i="1"/>
  <c r="AX97" i="1"/>
  <c r="V24" i="1"/>
  <c r="Q25" i="1"/>
  <c r="AQ27" i="1"/>
  <c r="AR27" i="1" s="1"/>
  <c r="AS27" i="1" s="1"/>
  <c r="AT27" i="1" s="1"/>
  <c r="AU27" i="1" s="1"/>
  <c r="AL27" i="1"/>
  <c r="AM27" i="1" s="1"/>
  <c r="AN27" i="1" s="1"/>
  <c r="AO27" i="1" s="1"/>
  <c r="V28" i="1"/>
  <c r="AQ31" i="1"/>
  <c r="AR31" i="1" s="1"/>
  <c r="AS31" i="1" s="1"/>
  <c r="AT31" i="1" s="1"/>
  <c r="AU31" i="1" s="1"/>
  <c r="BA31" i="1" s="1"/>
  <c r="AL31" i="1"/>
  <c r="AM31" i="1" s="1"/>
  <c r="AN31" i="1" s="1"/>
  <c r="AO31" i="1" s="1"/>
  <c r="AX31" i="1" s="1"/>
  <c r="V32" i="1"/>
  <c r="AQ35" i="1"/>
  <c r="AR35" i="1" s="1"/>
  <c r="AS35" i="1" s="1"/>
  <c r="AT35" i="1" s="1"/>
  <c r="AU35" i="1" s="1"/>
  <c r="AL35" i="1"/>
  <c r="AM35" i="1" s="1"/>
  <c r="AN35" i="1" s="1"/>
  <c r="AO35" i="1" s="1"/>
  <c r="V36" i="1"/>
  <c r="AX41" i="1"/>
  <c r="AW43" i="1"/>
  <c r="AL45" i="1"/>
  <c r="AM45" i="1" s="1"/>
  <c r="AN45" i="1" s="1"/>
  <c r="AO45" i="1" s="1"/>
  <c r="AZ45" i="1" s="1"/>
  <c r="AY48" i="1"/>
  <c r="AY55" i="1"/>
  <c r="AQ55" i="1"/>
  <c r="AR55" i="1" s="1"/>
  <c r="AS55" i="1" s="1"/>
  <c r="AT55" i="1" s="1"/>
  <c r="AU55" i="1" s="1"/>
  <c r="BA55" i="1" s="1"/>
  <c r="AZ55" i="1"/>
  <c r="AX55" i="1"/>
  <c r="AZ74" i="1"/>
  <c r="AZ77" i="1"/>
  <c r="AY77" i="1"/>
  <c r="AQ77" i="1"/>
  <c r="AR77" i="1" s="1"/>
  <c r="AS77" i="1" s="1"/>
  <c r="AT77" i="1" s="1"/>
  <c r="AU77" i="1" s="1"/>
  <c r="BA77" i="1" s="1"/>
  <c r="AX35" i="1"/>
  <c r="AW93" i="1"/>
  <c r="AV93" i="1"/>
  <c r="AW102" i="1"/>
  <c r="AX102" i="1"/>
  <c r="AW106" i="1"/>
  <c r="AX29" i="1"/>
  <c r="BA43" i="1"/>
  <c r="AZ43" i="1"/>
  <c r="AV48" i="1"/>
  <c r="AV55" i="1"/>
  <c r="AW74" i="1"/>
  <c r="AV74" i="1"/>
  <c r="AX74" i="1"/>
  <c r="AW79" i="1"/>
  <c r="AV79" i="1"/>
  <c r="BA85" i="1"/>
  <c r="AY85" i="1"/>
  <c r="AX85" i="1"/>
  <c r="AV85" i="1"/>
  <c r="BA94" i="1"/>
  <c r="AY94" i="1"/>
  <c r="Q27" i="1"/>
  <c r="AY30" i="1"/>
  <c r="AY34" i="1"/>
  <c r="AY40" i="1"/>
  <c r="AQ40" i="1"/>
  <c r="AR40" i="1" s="1"/>
  <c r="AS40" i="1" s="1"/>
  <c r="AT40" i="1" s="1"/>
  <c r="AU40" i="1" s="1"/>
  <c r="AX40" i="1" s="1"/>
  <c r="AY43" i="1"/>
  <c r="Q45" i="1"/>
  <c r="Q46" i="1"/>
  <c r="Q47" i="1"/>
  <c r="AW51" i="1"/>
  <c r="AL54" i="1"/>
  <c r="AM54" i="1" s="1"/>
  <c r="AN54" i="1" s="1"/>
  <c r="AO54" i="1" s="1"/>
  <c r="AQ54" i="1"/>
  <c r="AR54" i="1" s="1"/>
  <c r="AS54" i="1" s="1"/>
  <c r="AT54" i="1" s="1"/>
  <c r="AU54" i="1" s="1"/>
  <c r="AW55" i="1"/>
  <c r="AW57" i="1"/>
  <c r="AX57" i="1"/>
  <c r="BA72" i="1"/>
  <c r="AZ72" i="1"/>
  <c r="AX72" i="1"/>
  <c r="AX23" i="1"/>
  <c r="AY26" i="1"/>
  <c r="BA69" i="1"/>
  <c r="AZ69" i="1"/>
  <c r="AY69" i="1"/>
  <c r="AX25" i="1"/>
  <c r="Q31" i="1"/>
  <c r="Q35" i="1"/>
  <c r="AX39" i="1"/>
  <c r="AQ44" i="1"/>
  <c r="AR44" i="1" s="1"/>
  <c r="AS44" i="1" s="1"/>
  <c r="AT44" i="1" s="1"/>
  <c r="AU44" i="1" s="1"/>
  <c r="AX44" i="1"/>
  <c r="AW48" i="1"/>
  <c r="AQ51" i="1"/>
  <c r="AR51" i="1" s="1"/>
  <c r="AS51" i="1" s="1"/>
  <c r="AT51" i="1" s="1"/>
  <c r="AU51" i="1" s="1"/>
  <c r="AW78" i="1"/>
  <c r="AV78" i="1"/>
  <c r="AW80" i="1"/>
  <c r="AX80" i="1"/>
  <c r="AX24" i="1"/>
  <c r="AX26" i="1"/>
  <c r="AX30" i="1"/>
  <c r="AX32" i="1"/>
  <c r="AX36" i="1"/>
  <c r="AY38" i="1"/>
  <c r="AX38" i="1"/>
  <c r="AX43" i="1"/>
  <c r="Q53" i="1"/>
  <c r="AX54" i="1"/>
  <c r="Q61" i="1"/>
  <c r="Q64" i="1"/>
  <c r="BA87" i="1"/>
  <c r="AX87" i="1"/>
  <c r="AY87" i="1"/>
  <c r="BA93" i="1"/>
  <c r="AY93" i="1"/>
  <c r="AX93" i="1"/>
  <c r="AQ24" i="1"/>
  <c r="AR24" i="1" s="1"/>
  <c r="AS24" i="1" s="1"/>
  <c r="AT24" i="1" s="1"/>
  <c r="AU24" i="1" s="1"/>
  <c r="AQ26" i="1"/>
  <c r="AR26" i="1" s="1"/>
  <c r="AS26" i="1" s="1"/>
  <c r="AT26" i="1" s="1"/>
  <c r="AU26" i="1" s="1"/>
  <c r="AQ28" i="1"/>
  <c r="AR28" i="1" s="1"/>
  <c r="AS28" i="1" s="1"/>
  <c r="AT28" i="1" s="1"/>
  <c r="AU28" i="1" s="1"/>
  <c r="AQ30" i="1"/>
  <c r="AR30" i="1" s="1"/>
  <c r="AS30" i="1" s="1"/>
  <c r="AT30" i="1" s="1"/>
  <c r="AU30" i="1" s="1"/>
  <c r="BA30" i="1" s="1"/>
  <c r="AQ32" i="1"/>
  <c r="AR32" i="1" s="1"/>
  <c r="AS32" i="1" s="1"/>
  <c r="AT32" i="1" s="1"/>
  <c r="AU32" i="1" s="1"/>
  <c r="AY32" i="1" s="1"/>
  <c r="AQ34" i="1"/>
  <c r="AR34" i="1" s="1"/>
  <c r="AS34" i="1" s="1"/>
  <c r="AT34" i="1" s="1"/>
  <c r="AU34" i="1" s="1"/>
  <c r="AX34" i="1" s="1"/>
  <c r="AQ36" i="1"/>
  <c r="AR36" i="1" s="1"/>
  <c r="AS36" i="1" s="1"/>
  <c r="AT36" i="1" s="1"/>
  <c r="AU36" i="1" s="1"/>
  <c r="AV36" i="1" s="1"/>
  <c r="AQ38" i="1"/>
  <c r="AR38" i="1" s="1"/>
  <c r="AS38" i="1" s="1"/>
  <c r="AT38" i="1" s="1"/>
  <c r="AU38" i="1" s="1"/>
  <c r="BA38" i="1" s="1"/>
  <c r="AZ38" i="1"/>
  <c r="AQ42" i="1"/>
  <c r="AR42" i="1" s="1"/>
  <c r="AS42" i="1" s="1"/>
  <c r="AT42" i="1" s="1"/>
  <c r="AU42" i="1" s="1"/>
  <c r="AV42" i="1" s="1"/>
  <c r="Q48" i="1"/>
  <c r="AQ49" i="1"/>
  <c r="AR49" i="1" s="1"/>
  <c r="AS49" i="1" s="1"/>
  <c r="AT49" i="1" s="1"/>
  <c r="AU49" i="1" s="1"/>
  <c r="AL49" i="1"/>
  <c r="AM49" i="1" s="1"/>
  <c r="AN49" i="1" s="1"/>
  <c r="AO49" i="1" s="1"/>
  <c r="V50" i="1"/>
  <c r="AX53" i="1"/>
  <c r="Q54" i="1"/>
  <c r="AX71" i="1"/>
  <c r="Q75" i="1"/>
  <c r="BA79" i="1"/>
  <c r="AY79" i="1"/>
  <c r="AX79" i="1"/>
  <c r="BA99" i="1"/>
  <c r="AZ99" i="1"/>
  <c r="AX99" i="1"/>
  <c r="V65" i="1"/>
  <c r="AQ68" i="1"/>
  <c r="AR68" i="1" s="1"/>
  <c r="AS68" i="1" s="1"/>
  <c r="AT68" i="1" s="1"/>
  <c r="AU68" i="1" s="1"/>
  <c r="BA68" i="1" s="1"/>
  <c r="AL68" i="1"/>
  <c r="AM68" i="1" s="1"/>
  <c r="AN68" i="1" s="1"/>
  <c r="AO68" i="1" s="1"/>
  <c r="AY68" i="1" s="1"/>
  <c r="AW73" i="1"/>
  <c r="AW89" i="1"/>
  <c r="AV89" i="1"/>
  <c r="AY46" i="1"/>
  <c r="AX49" i="1"/>
  <c r="V53" i="1"/>
  <c r="V54" i="1"/>
  <c r="AX58" i="1"/>
  <c r="AX66" i="1"/>
  <c r="AW70" i="1"/>
  <c r="AW71" i="1"/>
  <c r="AZ73" i="1"/>
  <c r="AQ73" i="1"/>
  <c r="AR73" i="1" s="1"/>
  <c r="AS73" i="1" s="1"/>
  <c r="AT73" i="1" s="1"/>
  <c r="AU73" i="1" s="1"/>
  <c r="BA73" i="1" s="1"/>
  <c r="BA78" i="1"/>
  <c r="AZ78" i="1"/>
  <c r="AY78" i="1"/>
  <c r="AX78" i="1"/>
  <c r="AW92" i="1"/>
  <c r="AW95" i="1"/>
  <c r="AX95" i="1"/>
  <c r="AV95" i="1"/>
  <c r="AY95" i="1"/>
  <c r="AQ47" i="1"/>
  <c r="AR47" i="1" s="1"/>
  <c r="AS47" i="1" s="1"/>
  <c r="AT47" i="1" s="1"/>
  <c r="AU47" i="1" s="1"/>
  <c r="AL47" i="1"/>
  <c r="AM47" i="1" s="1"/>
  <c r="AN47" i="1" s="1"/>
  <c r="AO47" i="1" s="1"/>
  <c r="Q50" i="1"/>
  <c r="AY53" i="1"/>
  <c r="V63" i="1"/>
  <c r="AZ63" i="1"/>
  <c r="AZ65" i="1"/>
  <c r="AW65" i="1"/>
  <c r="Q70" i="1"/>
  <c r="AQ70" i="1"/>
  <c r="AR70" i="1" s="1"/>
  <c r="AS70" i="1" s="1"/>
  <c r="AT70" i="1" s="1"/>
  <c r="AU70" i="1" s="1"/>
  <c r="BA70" i="1" s="1"/>
  <c r="AW72" i="1"/>
  <c r="AV72" i="1"/>
  <c r="V73" i="1"/>
  <c r="AW84" i="1"/>
  <c r="AV84" i="1"/>
  <c r="AY84" i="1"/>
  <c r="AZ95" i="1"/>
  <c r="AX46" i="1"/>
  <c r="AX48" i="1"/>
  <c r="V58" i="1"/>
  <c r="AX62" i="1"/>
  <c r="V67" i="1"/>
  <c r="AY75" i="1"/>
  <c r="Q76" i="1"/>
  <c r="AZ76" i="1"/>
  <c r="AZ80" i="1"/>
  <c r="AY80" i="1"/>
  <c r="AX84" i="1"/>
  <c r="AZ84" i="1"/>
  <c r="AQ84" i="1"/>
  <c r="AR84" i="1" s="1"/>
  <c r="AS84" i="1" s="1"/>
  <c r="AT84" i="1" s="1"/>
  <c r="AU84" i="1" s="1"/>
  <c r="BA84" i="1" s="1"/>
  <c r="AW86" i="1"/>
  <c r="AY86" i="1"/>
  <c r="AV86" i="1"/>
  <c r="AZ89" i="1"/>
  <c r="AW91" i="1"/>
  <c r="AV91" i="1"/>
  <c r="AQ46" i="1"/>
  <c r="AR46" i="1" s="1"/>
  <c r="AS46" i="1" s="1"/>
  <c r="AT46" i="1" s="1"/>
  <c r="AU46" i="1" s="1"/>
  <c r="BA46" i="1" s="1"/>
  <c r="AQ48" i="1"/>
  <c r="AR48" i="1" s="1"/>
  <c r="AS48" i="1" s="1"/>
  <c r="AT48" i="1" s="1"/>
  <c r="AU48" i="1" s="1"/>
  <c r="AQ50" i="1"/>
  <c r="AR50" i="1" s="1"/>
  <c r="AS50" i="1" s="1"/>
  <c r="AT50" i="1" s="1"/>
  <c r="AU50" i="1" s="1"/>
  <c r="AV50" i="1" s="1"/>
  <c r="AY57" i="1"/>
  <c r="AQ57" i="1"/>
  <c r="AR57" i="1" s="1"/>
  <c r="AS57" i="1" s="1"/>
  <c r="AT57" i="1" s="1"/>
  <c r="AU57" i="1" s="1"/>
  <c r="BA57" i="1" s="1"/>
  <c r="V60" i="1"/>
  <c r="AX64" i="1"/>
  <c r="Q71" i="1"/>
  <c r="AY72" i="1"/>
  <c r="AQ76" i="1"/>
  <c r="AR76" i="1" s="1"/>
  <c r="AS76" i="1" s="1"/>
  <c r="AT76" i="1" s="1"/>
  <c r="AU76" i="1" s="1"/>
  <c r="AV76" i="1" s="1"/>
  <c r="AV77" i="1"/>
  <c r="AQ80" i="1"/>
  <c r="AR80" i="1" s="1"/>
  <c r="AS80" i="1" s="1"/>
  <c r="AT80" i="1" s="1"/>
  <c r="AU80" i="1" s="1"/>
  <c r="BA80" i="1" s="1"/>
  <c r="AZ91" i="1"/>
  <c r="AW94" i="1"/>
  <c r="AV94" i="1"/>
  <c r="AW96" i="1"/>
  <c r="AV96" i="1"/>
  <c r="AW100" i="1"/>
  <c r="AZ83" i="1"/>
  <c r="AY83" i="1"/>
  <c r="AQ83" i="1"/>
  <c r="AR83" i="1" s="1"/>
  <c r="AS83" i="1" s="1"/>
  <c r="AT83" i="1" s="1"/>
  <c r="AU83" i="1" s="1"/>
  <c r="BA91" i="1"/>
  <c r="AX91" i="1"/>
  <c r="AW98" i="1"/>
  <c r="AZ100" i="1"/>
  <c r="AY100" i="1"/>
  <c r="AX100" i="1"/>
  <c r="AQ100" i="1"/>
  <c r="AR100" i="1" s="1"/>
  <c r="AS100" i="1" s="1"/>
  <c r="AT100" i="1" s="1"/>
  <c r="AU100" i="1" s="1"/>
  <c r="BA100" i="1" s="1"/>
  <c r="AW104" i="1"/>
  <c r="V57" i="1"/>
  <c r="AQ61" i="1"/>
  <c r="AR61" i="1" s="1"/>
  <c r="AS61" i="1" s="1"/>
  <c r="AT61" i="1" s="1"/>
  <c r="AU61" i="1" s="1"/>
  <c r="AY61" i="1" s="1"/>
  <c r="V64" i="1"/>
  <c r="AX82" i="1"/>
  <c r="BA89" i="1"/>
  <c r="AY89" i="1"/>
  <c r="AX89" i="1"/>
  <c r="AY91" i="1"/>
  <c r="AW105" i="1"/>
  <c r="AV105" i="1"/>
  <c r="V59" i="1"/>
  <c r="AL60" i="1"/>
  <c r="AM60" i="1" s="1"/>
  <c r="AN60" i="1" s="1"/>
  <c r="AO60" i="1" s="1"/>
  <c r="AY63" i="1"/>
  <c r="AQ63" i="1"/>
  <c r="AR63" i="1" s="1"/>
  <c r="AS63" i="1" s="1"/>
  <c r="AT63" i="1" s="1"/>
  <c r="AU63" i="1" s="1"/>
  <c r="BA63" i="1" s="1"/>
  <c r="V66" i="1"/>
  <c r="V71" i="1"/>
  <c r="AZ71" i="1"/>
  <c r="AQ71" i="1"/>
  <c r="AR71" i="1" s="1"/>
  <c r="AS71" i="1" s="1"/>
  <c r="AT71" i="1" s="1"/>
  <c r="AU71" i="1" s="1"/>
  <c r="BA71" i="1" s="1"/>
  <c r="AY76" i="1"/>
  <c r="AX83" i="1"/>
  <c r="AW90" i="1"/>
  <c r="AY90" i="1"/>
  <c r="AV90" i="1"/>
  <c r="BA96" i="1"/>
  <c r="AZ96" i="1"/>
  <c r="AW108" i="1"/>
  <c r="AV108" i="1"/>
  <c r="AX52" i="1"/>
  <c r="AX56" i="1"/>
  <c r="V61" i="1"/>
  <c r="AY65" i="1"/>
  <c r="AQ65" i="1"/>
  <c r="AR65" i="1" s="1"/>
  <c r="AS65" i="1" s="1"/>
  <c r="AT65" i="1" s="1"/>
  <c r="AU65" i="1" s="1"/>
  <c r="BA65" i="1" s="1"/>
  <c r="AX69" i="1"/>
  <c r="Q77" i="1"/>
  <c r="AZ85" i="1"/>
  <c r="AW87" i="1"/>
  <c r="AV87" i="1"/>
  <c r="AY96" i="1"/>
  <c r="AX101" i="1"/>
  <c r="AQ101" i="1"/>
  <c r="AR101" i="1" s="1"/>
  <c r="AS101" i="1" s="1"/>
  <c r="AT101" i="1" s="1"/>
  <c r="AU101" i="1" s="1"/>
  <c r="AY74" i="1"/>
  <c r="AX92" i="1"/>
  <c r="AX105" i="1"/>
  <c r="AZ75" i="1"/>
  <c r="AZ79" i="1"/>
  <c r="V92" i="1"/>
  <c r="AQ92" i="1"/>
  <c r="AR92" i="1" s="1"/>
  <c r="AS92" i="1" s="1"/>
  <c r="AT92" i="1" s="1"/>
  <c r="AU92" i="1" s="1"/>
  <c r="AQ98" i="1"/>
  <c r="AR98" i="1" s="1"/>
  <c r="AS98" i="1" s="1"/>
  <c r="AT98" i="1" s="1"/>
  <c r="AU98" i="1" s="1"/>
  <c r="Q110" i="1"/>
  <c r="AZ106" i="1"/>
  <c r="AZ108" i="1"/>
  <c r="AW111" i="1"/>
  <c r="AV111" i="1"/>
  <c r="AW82" i="1"/>
  <c r="AV82" i="1"/>
  <c r="AX88" i="1"/>
  <c r="AX96" i="1"/>
  <c r="AW112" i="1"/>
  <c r="AV112" i="1"/>
  <c r="V81" i="1"/>
  <c r="AQ81" i="1"/>
  <c r="AR81" i="1" s="1"/>
  <c r="AS81" i="1" s="1"/>
  <c r="AT81" i="1" s="1"/>
  <c r="AU81" i="1" s="1"/>
  <c r="BA81" i="1" s="1"/>
  <c r="V88" i="1"/>
  <c r="V96" i="1"/>
  <c r="AW101" i="1"/>
  <c r="AV101" i="1"/>
  <c r="V106" i="1"/>
  <c r="AX86" i="1"/>
  <c r="AX90" i="1"/>
  <c r="AX94" i="1"/>
  <c r="AY99" i="1"/>
  <c r="AW103" i="1"/>
  <c r="AY107" i="1"/>
  <c r="AW107" i="1"/>
  <c r="AV107" i="1"/>
  <c r="AY109" i="1"/>
  <c r="AW109" i="1"/>
  <c r="AV109" i="1"/>
  <c r="AX111" i="1"/>
  <c r="AW99" i="1"/>
  <c r="AV99" i="1"/>
  <c r="V102" i="1"/>
  <c r="AZ102" i="1"/>
  <c r="AY102" i="1"/>
  <c r="AQ102" i="1"/>
  <c r="AR102" i="1" s="1"/>
  <c r="AS102" i="1" s="1"/>
  <c r="AT102" i="1" s="1"/>
  <c r="AU102" i="1" s="1"/>
  <c r="BA102" i="1" s="1"/>
  <c r="AZ104" i="1"/>
  <c r="AZ86" i="1"/>
  <c r="AZ90" i="1"/>
  <c r="AZ94" i="1"/>
  <c r="AQ103" i="1"/>
  <c r="AR103" i="1" s="1"/>
  <c r="AS103" i="1" s="1"/>
  <c r="AT103" i="1" s="1"/>
  <c r="AU103" i="1" s="1"/>
  <c r="BA103" i="1" s="1"/>
  <c r="AY105" i="1"/>
  <c r="Q107" i="1"/>
  <c r="Q109" i="1"/>
  <c r="Q111" i="1"/>
  <c r="AY111" i="1"/>
  <c r="BA111" i="1"/>
  <c r="AZ105" i="1"/>
  <c r="V111" i="1"/>
  <c r="AZ111" i="1"/>
  <c r="AZ112" i="1"/>
  <c r="Q106" i="1"/>
  <c r="AZ107" i="1"/>
  <c r="AZ109" i="1"/>
  <c r="Q112" i="1"/>
  <c r="AX104" i="1"/>
  <c r="AX106" i="1"/>
  <c r="AX108" i="1"/>
  <c r="AX112" i="1"/>
  <c r="AQ104" i="1"/>
  <c r="AR104" i="1" s="1"/>
  <c r="AS104" i="1" s="1"/>
  <c r="AT104" i="1" s="1"/>
  <c r="AU104" i="1" s="1"/>
  <c r="BA104" i="1" s="1"/>
  <c r="AY104" i="1"/>
  <c r="AQ106" i="1"/>
  <c r="AR106" i="1" s="1"/>
  <c r="AS106" i="1" s="1"/>
  <c r="AT106" i="1" s="1"/>
  <c r="AU106" i="1" s="1"/>
  <c r="BA106" i="1" s="1"/>
  <c r="AY106" i="1"/>
  <c r="AQ108" i="1"/>
  <c r="AR108" i="1" s="1"/>
  <c r="AS108" i="1" s="1"/>
  <c r="AT108" i="1" s="1"/>
  <c r="AU108" i="1" s="1"/>
  <c r="BA108" i="1" s="1"/>
  <c r="AY108" i="1"/>
  <c r="AQ110" i="1"/>
  <c r="AR110" i="1" s="1"/>
  <c r="AS110" i="1" s="1"/>
  <c r="AT110" i="1" s="1"/>
  <c r="AU110" i="1" s="1"/>
  <c r="BA110" i="1" s="1"/>
  <c r="AY110" i="1"/>
  <c r="AQ112" i="1"/>
  <c r="AR112" i="1" s="1"/>
  <c r="AS112" i="1" s="1"/>
  <c r="AT112" i="1" s="1"/>
  <c r="AU112" i="1" s="1"/>
  <c r="BA112" i="1" s="1"/>
  <c r="I18" i="3" l="1"/>
  <c r="J3" i="3"/>
  <c r="U3" i="2"/>
  <c r="Z3" i="2" s="1"/>
  <c r="U4" i="2"/>
  <c r="Y4" i="2"/>
  <c r="AY14" i="1"/>
  <c r="AV14" i="1"/>
  <c r="AW14" i="1"/>
  <c r="AZ14" i="1"/>
  <c r="AX110" i="1"/>
  <c r="BA98" i="1"/>
  <c r="AY98" i="1"/>
  <c r="AX50" i="1"/>
  <c r="AV65" i="1"/>
  <c r="AZ28" i="1"/>
  <c r="BA28" i="1"/>
  <c r="BA22" i="1"/>
  <c r="AX22" i="1"/>
  <c r="AY50" i="1"/>
  <c r="AV38" i="1"/>
  <c r="AV15" i="1"/>
  <c r="AZ18" i="1"/>
  <c r="AZ81" i="1"/>
  <c r="AX98" i="1"/>
  <c r="AZ110" i="1"/>
  <c r="AY47" i="1"/>
  <c r="AZ47" i="1"/>
  <c r="BA47" i="1"/>
  <c r="AV70" i="1"/>
  <c r="AV71" i="1"/>
  <c r="AY42" i="1"/>
  <c r="BA26" i="1"/>
  <c r="AZ26" i="1"/>
  <c r="AV80" i="1"/>
  <c r="BA44" i="1"/>
  <c r="AZ44" i="1"/>
  <c r="AV57" i="1"/>
  <c r="AW27" i="1"/>
  <c r="AV27" i="1"/>
  <c r="BA19" i="1"/>
  <c r="AZ19" i="1"/>
  <c r="AV20" i="1"/>
  <c r="AW20" i="1"/>
  <c r="AW12" i="1"/>
  <c r="AV12" i="1"/>
  <c r="AZ20" i="1"/>
  <c r="AX18" i="1"/>
  <c r="BA83" i="1"/>
  <c r="AV83" i="1"/>
  <c r="AW47" i="1"/>
  <c r="AV47" i="1"/>
  <c r="BA42" i="1"/>
  <c r="AX42" i="1"/>
  <c r="BA21" i="1"/>
  <c r="AZ21" i="1"/>
  <c r="AY21" i="1"/>
  <c r="AZ98" i="1"/>
  <c r="BA101" i="1"/>
  <c r="AZ101" i="1"/>
  <c r="AZ24" i="1"/>
  <c r="BA24" i="1"/>
  <c r="AY44" i="1"/>
  <c r="AX45" i="1"/>
  <c r="AY27" i="1"/>
  <c r="BA27" i="1"/>
  <c r="AZ27" i="1"/>
  <c r="AY33" i="1"/>
  <c r="AV33" i="1"/>
  <c r="AW33" i="1"/>
  <c r="AZ33" i="1"/>
  <c r="AX27" i="1"/>
  <c r="AX19" i="1"/>
  <c r="AY37" i="1"/>
  <c r="AV37" i="1"/>
  <c r="AW37" i="1"/>
  <c r="AZ37" i="1"/>
  <c r="AV46" i="1"/>
  <c r="AY20" i="1"/>
  <c r="AX14" i="1"/>
  <c r="AX81" i="1"/>
  <c r="AV102" i="1"/>
  <c r="AV18" i="1"/>
  <c r="AW18" i="1"/>
  <c r="AV103" i="1"/>
  <c r="AV110" i="1"/>
  <c r="AY101" i="1"/>
  <c r="AV98" i="1"/>
  <c r="BA76" i="1"/>
  <c r="AX76" i="1"/>
  <c r="BA48" i="1"/>
  <c r="AZ48" i="1"/>
  <c r="AY70" i="1"/>
  <c r="AX73" i="1"/>
  <c r="AV63" i="1"/>
  <c r="AV73" i="1"/>
  <c r="AZ36" i="1"/>
  <c r="BA36" i="1"/>
  <c r="BA54" i="1"/>
  <c r="AZ54" i="1"/>
  <c r="AY54" i="1"/>
  <c r="AV106" i="1"/>
  <c r="AY35" i="1"/>
  <c r="BA35" i="1"/>
  <c r="AZ35" i="1"/>
  <c r="AX67" i="1"/>
  <c r="AZ13" i="1"/>
  <c r="BA13" i="1"/>
  <c r="AY66" i="1"/>
  <c r="BA66" i="1"/>
  <c r="AZ66" i="1"/>
  <c r="AV29" i="1"/>
  <c r="AW29" i="1"/>
  <c r="AY36" i="1"/>
  <c r="AV28" i="1"/>
  <c r="AZ12" i="1"/>
  <c r="AZ11" i="1"/>
  <c r="AW11" i="1"/>
  <c r="AZ22" i="1"/>
  <c r="AY60" i="1"/>
  <c r="AZ60" i="1"/>
  <c r="AW60" i="1"/>
  <c r="AV60" i="1"/>
  <c r="AW45" i="1"/>
  <c r="AV45" i="1"/>
  <c r="AY81" i="1"/>
  <c r="BA50" i="1"/>
  <c r="AZ50" i="1"/>
  <c r="AZ42" i="1"/>
  <c r="AW35" i="1"/>
  <c r="AV35" i="1"/>
  <c r="AY112" i="1"/>
  <c r="AZ70" i="1"/>
  <c r="AX60" i="1"/>
  <c r="AY73" i="1"/>
  <c r="AW49" i="1"/>
  <c r="AV49" i="1"/>
  <c r="BA34" i="1"/>
  <c r="AZ34" i="1"/>
  <c r="AX47" i="1"/>
  <c r="AX28" i="1"/>
  <c r="BA51" i="1"/>
  <c r="AX51" i="1"/>
  <c r="AY51" i="1"/>
  <c r="AW54" i="1"/>
  <c r="AV54" i="1"/>
  <c r="AV67" i="1"/>
  <c r="AR114" i="1"/>
  <c r="AS11" i="1"/>
  <c r="AT11" i="1" s="1"/>
  <c r="AU11" i="1" s="1"/>
  <c r="BA11" i="1" s="1"/>
  <c r="AW58" i="1"/>
  <c r="AV58" i="1"/>
  <c r="AY29" i="1"/>
  <c r="AZ29" i="1"/>
  <c r="BA29" i="1"/>
  <c r="AY16" i="1"/>
  <c r="AV16" i="1"/>
  <c r="AW16" i="1"/>
  <c r="AZ16" i="1"/>
  <c r="AV30" i="1"/>
  <c r="AL114" i="1"/>
  <c r="AV26" i="1"/>
  <c r="AV81" i="1"/>
  <c r="BA92" i="1"/>
  <c r="AY92" i="1"/>
  <c r="BA61" i="1"/>
  <c r="AV61" i="1"/>
  <c r="AV100" i="1"/>
  <c r="AV66" i="1"/>
  <c r="AW66" i="1"/>
  <c r="AZ92" i="1"/>
  <c r="AV104" i="1"/>
  <c r="AX61" i="1"/>
  <c r="AX70" i="1"/>
  <c r="AV92" i="1"/>
  <c r="AW68" i="1"/>
  <c r="AZ68" i="1"/>
  <c r="AX68" i="1"/>
  <c r="AV68" i="1"/>
  <c r="AY49" i="1"/>
  <c r="AZ49" i="1"/>
  <c r="BA49" i="1"/>
  <c r="AZ32" i="1"/>
  <c r="BA32" i="1"/>
  <c r="AZ51" i="1"/>
  <c r="AV51" i="1"/>
  <c r="BA40" i="1"/>
  <c r="AZ40" i="1"/>
  <c r="AZ61" i="1"/>
  <c r="AX77" i="1"/>
  <c r="AY31" i="1"/>
  <c r="AW31" i="1"/>
  <c r="AZ31" i="1"/>
  <c r="AV31" i="1"/>
  <c r="AY58" i="1"/>
  <c r="BA58" i="1"/>
  <c r="AZ58" i="1"/>
  <c r="AX21" i="1"/>
  <c r="AY28" i="1"/>
  <c r="AV34" i="1"/>
  <c r="AY45" i="1"/>
  <c r="AV21" i="1"/>
  <c r="AV44" i="1"/>
  <c r="T3" i="3" l="1"/>
  <c r="T18" i="3" s="1"/>
  <c r="S3" i="3"/>
  <c r="S18" i="3" s="1"/>
  <c r="R3" i="3"/>
  <c r="R18" i="3" s="1"/>
  <c r="J18" i="3"/>
  <c r="Q3" i="3"/>
  <c r="Q18" i="3" s="1"/>
  <c r="P3" i="3"/>
  <c r="P18" i="3" s="1"/>
  <c r="Z4" i="2"/>
  <c r="Z5" i="2"/>
  <c r="AV11" i="1"/>
</calcChain>
</file>

<file path=xl/sharedStrings.xml><?xml version="1.0" encoding="utf-8"?>
<sst xmlns="http://schemas.openxmlformats.org/spreadsheetml/2006/main" count="1816" uniqueCount="941">
  <si>
    <t>CROZET 2022, Estimated Incidence Rate of Dog and Cat Rabies</t>
  </si>
  <si>
    <t>BONAPARTE GLOBAL ESTIMATES</t>
  </si>
  <si>
    <t>GATES CONSORTIUM</t>
  </si>
  <si>
    <t>HAQ Index</t>
  </si>
  <si>
    <t>FORECAST</t>
  </si>
  <si>
    <t>Country</t>
  </si>
  <si>
    <t>Cluster</t>
  </si>
  <si>
    <t>Dogs</t>
  </si>
  <si>
    <t>Cats</t>
  </si>
  <si>
    <t>Mean</t>
  </si>
  <si>
    <t>Median</t>
  </si>
  <si>
    <t>Interquartile Range</t>
  </si>
  <si>
    <t>Human Population</t>
  </si>
  <si>
    <t>25th Percentile</t>
  </si>
  <si>
    <t>75th Percentile</t>
  </si>
  <si>
    <t>DOG - 25th Percentile</t>
  </si>
  <si>
    <t>DOG - 75th Percentile</t>
  </si>
  <si>
    <t>Death Rate 2023</t>
  </si>
  <si>
    <t>Death Rate 2023 Lower CI</t>
  </si>
  <si>
    <t>Death Rate 2023 Upper CI</t>
  </si>
  <si>
    <t>Death Estimate 2023</t>
  </si>
  <si>
    <t>Death Estimate 2023 Lower CI</t>
  </si>
  <si>
    <t>Death Estimate 2023 Upper CI</t>
  </si>
  <si>
    <t>Deaths LOW</t>
  </si>
  <si>
    <t>Deaths MEDIAN</t>
  </si>
  <si>
    <t>Deaths HIGH</t>
  </si>
  <si>
    <t>Death Rate LOW</t>
  </si>
  <si>
    <t>Death Rate HIGH</t>
  </si>
  <si>
    <t>2019 Estimates</t>
  </si>
  <si>
    <t>GAVI Rollout Stage</t>
  </si>
  <si>
    <t>HCSR</t>
  </si>
  <si>
    <t>PEP Rate</t>
  </si>
  <si>
    <t>PEP Baseline</t>
  </si>
  <si>
    <t>ID Vials Needed at Year 1 (Assume 3.5 people per ID Vial)</t>
  </si>
  <si>
    <t>Completion Rate of 70%</t>
  </si>
  <si>
    <t>Total Vials needed with 25% Buffer</t>
  </si>
  <si>
    <t>Access Status</t>
  </si>
  <si>
    <t xml:space="preserve">5-year PEP Rate </t>
  </si>
  <si>
    <t>5-year PEP</t>
  </si>
  <si>
    <t>ID Vials Needed (Assume 3.5 people per ID Vial)</t>
  </si>
  <si>
    <t>25% Buffer</t>
  </si>
  <si>
    <t>Total 5-year VIAL Demand (assume linear demand increase)</t>
  </si>
  <si>
    <t xml:space="preserve">Year 1 </t>
  </si>
  <si>
    <t>Year 2</t>
  </si>
  <si>
    <t>Year 3</t>
  </si>
  <si>
    <t>Year 4</t>
  </si>
  <si>
    <t>Year 5</t>
  </si>
  <si>
    <t>Algeria</t>
  </si>
  <si>
    <t>Northern Africa</t>
  </si>
  <si>
    <r>
      <t>3.38 × 10</t>
    </r>
    <r>
      <rPr>
        <sz val="7.5"/>
        <color rgb="FF222222"/>
        <rFont val="Arial"/>
        <family val="2"/>
      </rPr>
      <t>−3</t>
    </r>
  </si>
  <si>
    <r>
      <t>1.66 × 10</t>
    </r>
    <r>
      <rPr>
        <sz val="7.5"/>
        <color rgb="FF222222"/>
        <rFont val="Arial"/>
        <family val="2"/>
      </rPr>
      <t>−3</t>
    </r>
  </si>
  <si>
    <t>4.25 × 10−4</t>
  </si>
  <si>
    <t>4.50 × 10−3</t>
  </si>
  <si>
    <t>2.65 × 10−4</t>
  </si>
  <si>
    <t>1.36 × 10−4</t>
  </si>
  <si>
    <t>4.80 × 10−5</t>
  </si>
  <si>
    <t>9.37 × 10−4</t>
  </si>
  <si>
    <t>Afghanistan</t>
  </si>
  <si>
    <t>Eurasia</t>
  </si>
  <si>
    <r>
      <t>5.62 × 10</t>
    </r>
    <r>
      <rPr>
        <sz val="7.5"/>
        <color rgb="FF222222"/>
        <rFont val="Arial"/>
        <family val="2"/>
      </rPr>
      <t>−3</t>
    </r>
  </si>
  <si>
    <r>
      <t>2.76 × 10</t>
    </r>
    <r>
      <rPr>
        <sz val="7.5"/>
        <color rgb="FF222222"/>
        <rFont val="Arial"/>
        <family val="2"/>
      </rPr>
      <t>−3</t>
    </r>
  </si>
  <si>
    <t>7.40 × 10−4</t>
  </si>
  <si>
    <t>7.50 × 10−3</t>
  </si>
  <si>
    <t>3.86 × 10−4</t>
  </si>
  <si>
    <t>2.04 × 10−4</t>
  </si>
  <si>
    <t>7.34 × 10−5</t>
  </si>
  <si>
    <t>1.43 × 10−3</t>
  </si>
  <si>
    <t>Angola</t>
  </si>
  <si>
    <t>Gulf of Guinea</t>
  </si>
  <si>
    <r>
      <t>5.68 × 10</t>
    </r>
    <r>
      <rPr>
        <sz val="7.5"/>
        <color rgb="FF222222"/>
        <rFont val="Arial"/>
        <family val="2"/>
      </rPr>
      <t>−3</t>
    </r>
  </si>
  <si>
    <r>
      <t>2.85 × 10</t>
    </r>
    <r>
      <rPr>
        <sz val="7.5"/>
        <color rgb="FF222222"/>
        <rFont val="Arial"/>
        <family val="2"/>
      </rPr>
      <t>−3</t>
    </r>
  </si>
  <si>
    <t>7.17 × 10−4</t>
  </si>
  <si>
    <t>7.83 × 10−3</t>
  </si>
  <si>
    <t>3.89 × 10−4</t>
  </si>
  <si>
    <t>2.08 × 10−4</t>
  </si>
  <si>
    <t>7.20 × 10−5</t>
  </si>
  <si>
    <t>1.45 × 10−3</t>
  </si>
  <si>
    <t>Antigua and Barbuda</t>
  </si>
  <si>
    <t>Caribbean</t>
  </si>
  <si>
    <r>
      <t>1.20 × 10</t>
    </r>
    <r>
      <rPr>
        <sz val="7.5"/>
        <color rgb="FF222222"/>
        <rFont val="Arial"/>
        <family val="2"/>
      </rPr>
      <t>−3</t>
    </r>
  </si>
  <si>
    <r>
      <t>6.04 × 10</t>
    </r>
    <r>
      <rPr>
        <sz val="7.5"/>
        <color rgb="FF222222"/>
        <rFont val="Arial"/>
        <family val="2"/>
      </rPr>
      <t>−4</t>
    </r>
  </si>
  <si>
    <t>1.53 × 10−4</t>
  </si>
  <si>
    <t>1.61 × 10−3</t>
  </si>
  <si>
    <t>1.24 × 10−4</t>
  </si>
  <si>
    <t>6.59 × 10−5</t>
  </si>
  <si>
    <t>2.29 × 10−5</t>
  </si>
  <si>
    <t>4.45 × 10−4</t>
  </si>
  <si>
    <t>Armenia</t>
  </si>
  <si>
    <r>
      <t>3.62 × 10</t>
    </r>
    <r>
      <rPr>
        <sz val="7.5"/>
        <color rgb="FF222222"/>
        <rFont val="Arial"/>
        <family val="2"/>
      </rPr>
      <t>−3</t>
    </r>
  </si>
  <si>
    <r>
      <t>1.84 × 10</t>
    </r>
    <r>
      <rPr>
        <sz val="7.5"/>
        <color rgb="FF222222"/>
        <rFont val="Arial"/>
        <family val="2"/>
      </rPr>
      <t>−3</t>
    </r>
  </si>
  <si>
    <t>4.44 × 10−4</t>
  </si>
  <si>
    <t>4.87 × 10−3</t>
  </si>
  <si>
    <t>2.79 × 10−4</t>
  </si>
  <si>
    <t>1.50 × 10−4</t>
  </si>
  <si>
    <t>4.98 × 10−5</t>
  </si>
  <si>
    <t>1.03 × 10−3</t>
  </si>
  <si>
    <t>Azerbaijan</t>
  </si>
  <si>
    <r>
      <t>1.71 × 10</t>
    </r>
    <r>
      <rPr>
        <sz val="7.5"/>
        <color rgb="FF222222"/>
        <rFont val="Arial"/>
        <family val="2"/>
      </rPr>
      <t>−3</t>
    </r>
  </si>
  <si>
    <t>4.33 × 10−4</t>
  </si>
  <si>
    <t>4.83 × 10−3</t>
  </si>
  <si>
    <t>1.41 × 10−4</t>
  </si>
  <si>
    <t>4.84 × 10−5</t>
  </si>
  <si>
    <t>1.02 × 10−3</t>
  </si>
  <si>
    <t>Bahrain</t>
  </si>
  <si>
    <t>Middle East</t>
  </si>
  <si>
    <r>
      <t>3.85 × 10</t>
    </r>
    <r>
      <rPr>
        <sz val="7.5"/>
        <color rgb="FF222222"/>
        <rFont val="Arial"/>
        <family val="2"/>
      </rPr>
      <t>−3</t>
    </r>
  </si>
  <si>
    <r>
      <t>1.86 × 10</t>
    </r>
    <r>
      <rPr>
        <sz val="7.5"/>
        <color rgb="FF222222"/>
        <rFont val="Arial"/>
        <family val="2"/>
      </rPr>
      <t>−3</t>
    </r>
  </si>
  <si>
    <t>4.83 × 10−4</t>
  </si>
  <si>
    <t>5.22 × 10−3</t>
  </si>
  <si>
    <t>2.92 × 10−4</t>
  </si>
  <si>
    <t>1.55 × 10−4</t>
  </si>
  <si>
    <t>5.36 × 10−5</t>
  </si>
  <si>
    <t>1.08 × 10−3</t>
  </si>
  <si>
    <t>Bangladesh</t>
  </si>
  <si>
    <t>South Asia</t>
  </si>
  <si>
    <r>
      <t>5.18 × 10</t>
    </r>
    <r>
      <rPr>
        <sz val="7.5"/>
        <color rgb="FF222222"/>
        <rFont val="Arial"/>
        <family val="2"/>
      </rPr>
      <t>−3</t>
    </r>
  </si>
  <si>
    <r>
      <t>2.45 × 10</t>
    </r>
    <r>
      <rPr>
        <sz val="7.5"/>
        <color rgb="FF222222"/>
        <rFont val="Arial"/>
        <family val="2"/>
      </rPr>
      <t>−3</t>
    </r>
  </si>
  <si>
    <t>6.39 × 10−4</t>
  </si>
  <si>
    <t>6.65 × 10−3</t>
  </si>
  <si>
    <t>3.63 × 10−4</t>
  </si>
  <si>
    <t>1.87 × 10−4</t>
  </si>
  <si>
    <t>6.61 × 10−5</t>
  </si>
  <si>
    <t>1.30 × 10−3</t>
  </si>
  <si>
    <t>Benin</t>
  </si>
  <si>
    <t>Western Africa</t>
  </si>
  <si>
    <r>
      <t>5.64 × 10</t>
    </r>
    <r>
      <rPr>
        <sz val="7.5"/>
        <color rgb="FF222222"/>
        <rFont val="Arial"/>
        <family val="2"/>
      </rPr>
      <t>−3</t>
    </r>
  </si>
  <si>
    <r>
      <t>2.74 × 10</t>
    </r>
    <r>
      <rPr>
        <sz val="7.5"/>
        <color rgb="FF222222"/>
        <rFont val="Arial"/>
        <family val="2"/>
      </rPr>
      <t>−3</t>
    </r>
  </si>
  <si>
    <t>7.32 × 10−4</t>
  </si>
  <si>
    <t>7.53 × 10−3</t>
  </si>
  <si>
    <t>3.87 × 10−4</t>
  </si>
  <si>
    <t>2.00 × 10−4</t>
  </si>
  <si>
    <t>7.08 × 10−5</t>
  </si>
  <si>
    <t>1.44 × 10−3</t>
  </si>
  <si>
    <t>Bhutan</t>
  </si>
  <si>
    <r>
      <t>4.67 × 10</t>
    </r>
    <r>
      <rPr>
        <sz val="7.5"/>
        <color rgb="FF222222"/>
        <rFont val="Arial"/>
        <family val="2"/>
      </rPr>
      <t>−3</t>
    </r>
  </si>
  <si>
    <r>
      <t>2.25 × 10</t>
    </r>
    <r>
      <rPr>
        <sz val="7.5"/>
        <color rgb="FF222222"/>
        <rFont val="Arial"/>
        <family val="2"/>
      </rPr>
      <t>−3</t>
    </r>
  </si>
  <si>
    <t>6.11 × 10−4</t>
  </si>
  <si>
    <t>6.21 × 10−3</t>
  </si>
  <si>
    <t>3.36 × 10−4</t>
  </si>
  <si>
    <t>1.74 × 10−4</t>
  </si>
  <si>
    <t>6.12 × 10−5</t>
  </si>
  <si>
    <t>1.21 × 10−3</t>
  </si>
  <si>
    <t>Bolivia</t>
  </si>
  <si>
    <t>Andean Region</t>
  </si>
  <si>
    <r>
      <t>3.10 × 10</t>
    </r>
    <r>
      <rPr>
        <sz val="7.5"/>
        <color rgb="FF222222"/>
        <rFont val="Arial"/>
        <family val="2"/>
      </rPr>
      <t>−4</t>
    </r>
  </si>
  <si>
    <r>
      <t>1.45 × 10</t>
    </r>
    <r>
      <rPr>
        <sz val="7.5"/>
        <color rgb="FF222222"/>
        <rFont val="Arial"/>
        <family val="2"/>
      </rPr>
      <t>−4</t>
    </r>
  </si>
  <si>
    <t>3.81 × 10−5</t>
  </si>
  <si>
    <t>3.96 × 10−4</t>
  </si>
  <si>
    <t>4.53 × 10−5</t>
  </si>
  <si>
    <t>2.27 × 10−5</t>
  </si>
  <si>
    <t>8.12 × 10−6</t>
  </si>
  <si>
    <t>1.66 × 10−4</t>
  </si>
  <si>
    <t>Botswana</t>
  </si>
  <si>
    <t>Southern Africa</t>
  </si>
  <si>
    <r>
      <t>5.67 × 10</t>
    </r>
    <r>
      <rPr>
        <sz val="7.5"/>
        <color rgb="FF222222"/>
        <rFont val="Arial"/>
        <family val="2"/>
      </rPr>
      <t>−3</t>
    </r>
  </si>
  <si>
    <t>6.65 × 10−4</t>
  </si>
  <si>
    <t>7.22 × 10−3</t>
  </si>
  <si>
    <t>2.01 × 10−4</t>
  </si>
  <si>
    <t>6.88 × 10−5</t>
  </si>
  <si>
    <t>1.38 × 10−3</t>
  </si>
  <si>
    <t>Brazil</t>
  </si>
  <si>
    <r>
      <t>5.92 × 10</t>
    </r>
    <r>
      <rPr>
        <sz val="7.5"/>
        <color rgb="FF222222"/>
        <rFont val="Arial"/>
        <family val="2"/>
      </rPr>
      <t>−4</t>
    </r>
  </si>
  <si>
    <r>
      <t>2.90 × 10</t>
    </r>
    <r>
      <rPr>
        <sz val="7.5"/>
        <color rgb="FF222222"/>
        <rFont val="Arial"/>
        <family val="2"/>
      </rPr>
      <t>−4</t>
    </r>
  </si>
  <si>
    <t>7.35 × 10−5</t>
  </si>
  <si>
    <t>7.96 × 10−4</t>
  </si>
  <si>
    <t>7.31 × 10−5</t>
  </si>
  <si>
    <t>3.76 × 10−5</t>
  </si>
  <si>
    <t>1.31 × 10−5</t>
  </si>
  <si>
    <t>2.71 × 10−4</t>
  </si>
  <si>
    <t>Burkina Faso</t>
  </si>
  <si>
    <r>
      <t>2.60 × 10</t>
    </r>
    <r>
      <rPr>
        <sz val="7.5"/>
        <color rgb="FF222222"/>
        <rFont val="Arial"/>
        <family val="2"/>
      </rPr>
      <t>−3</t>
    </r>
  </si>
  <si>
    <t>6.67 × 10−4</t>
  </si>
  <si>
    <t>7.19 × 10−3</t>
  </si>
  <si>
    <t>1.93 × 10−4</t>
  </si>
  <si>
    <t>6.74 × 10−5</t>
  </si>
  <si>
    <t>Burundi</t>
  </si>
  <si>
    <r>
      <t>2.77 × 10</t>
    </r>
    <r>
      <rPr>
        <sz val="7.5"/>
        <color rgb="FF222222"/>
        <rFont val="Arial"/>
        <family val="2"/>
      </rPr>
      <t>−3</t>
    </r>
  </si>
  <si>
    <t>7.19 × 10−4</t>
  </si>
  <si>
    <t>7.40 × 10−3</t>
  </si>
  <si>
    <t>1.99 × 10−4</t>
  </si>
  <si>
    <t>7.13 × 10−5</t>
  </si>
  <si>
    <t>Cambodia</t>
  </si>
  <si>
    <t>Western Pacific</t>
  </si>
  <si>
    <r>
      <t>5.66 × 10</t>
    </r>
    <r>
      <rPr>
        <sz val="7.5"/>
        <color rgb="FF222222"/>
        <rFont val="Arial"/>
        <family val="2"/>
      </rPr>
      <t>−3</t>
    </r>
  </si>
  <si>
    <r>
      <t>2.81 × 10</t>
    </r>
    <r>
      <rPr>
        <sz val="7.5"/>
        <color rgb="FF222222"/>
        <rFont val="Arial"/>
        <family val="2"/>
      </rPr>
      <t>−3</t>
    </r>
  </si>
  <si>
    <t>7.12 × 10−4</t>
  </si>
  <si>
    <t>7.66 × 10−3</t>
  </si>
  <si>
    <t>3.88 × 10−4</t>
  </si>
  <si>
    <t>2.03 × 10−4</t>
  </si>
  <si>
    <t>7.10 × 10−5</t>
  </si>
  <si>
    <t>Cameroon</t>
  </si>
  <si>
    <r>
      <t>2.82 × 10</t>
    </r>
    <r>
      <rPr>
        <sz val="7.5"/>
        <color rgb="FF222222"/>
        <rFont val="Arial"/>
        <family val="2"/>
      </rPr>
      <t>−3</t>
    </r>
  </si>
  <si>
    <t>6.95 × 10−4</t>
  </si>
  <si>
    <t>7.68 × 10−3</t>
  </si>
  <si>
    <t>7.01 × 10−5</t>
  </si>
  <si>
    <t>1.40 × 10−3</t>
  </si>
  <si>
    <t>Central African Republic</t>
  </si>
  <si>
    <r>
      <t>2.88 × 10</t>
    </r>
    <r>
      <rPr>
        <sz val="7.5"/>
        <color rgb="FF222222"/>
        <rFont val="Arial"/>
        <family val="2"/>
      </rPr>
      <t>−3</t>
    </r>
  </si>
  <si>
    <t>7.50 × 10−4</t>
  </si>
  <si>
    <t>7.42 × 10−5</t>
  </si>
  <si>
    <t>1.49 × 10−3</t>
  </si>
  <si>
    <t>Chad</t>
  </si>
  <si>
    <r>
      <t>2.61 × 10</t>
    </r>
    <r>
      <rPr>
        <sz val="7.5"/>
        <color rgb="FF222222"/>
        <rFont val="Arial"/>
        <family val="2"/>
      </rPr>
      <t>−3</t>
    </r>
  </si>
  <si>
    <t>7.16 × 10−3</t>
  </si>
  <si>
    <t>1.91 × 10−4</t>
  </si>
  <si>
    <t>6.90 × 10−5</t>
  </si>
  <si>
    <t>China</t>
  </si>
  <si>
    <r>
      <t>4.25 × 10</t>
    </r>
    <r>
      <rPr>
        <sz val="7.5"/>
        <color rgb="FF222222"/>
        <rFont val="Arial"/>
        <family val="2"/>
      </rPr>
      <t>−3</t>
    </r>
  </si>
  <si>
    <t>4.76 × 10−4</t>
  </si>
  <si>
    <t>5.10 × 10−3</t>
  </si>
  <si>
    <t>3.14 × 10−4</t>
  </si>
  <si>
    <t>1.51 × 10−4</t>
  </si>
  <si>
    <t>5.30 × 10−5</t>
  </si>
  <si>
    <t>1.06 × 10−3</t>
  </si>
  <si>
    <t>Colombia</t>
  </si>
  <si>
    <r>
      <t>4.41 × 10</t>
    </r>
    <r>
      <rPr>
        <sz val="7.5"/>
        <color rgb="FF222222"/>
        <rFont val="Arial"/>
        <family val="2"/>
      </rPr>
      <t>−4</t>
    </r>
  </si>
  <si>
    <r>
      <t>2.18 × 10</t>
    </r>
    <r>
      <rPr>
        <sz val="7.5"/>
        <color rgb="FF222222"/>
        <rFont val="Arial"/>
        <family val="2"/>
      </rPr>
      <t>−4</t>
    </r>
  </si>
  <si>
    <t>5.62 × 10−5</t>
  </si>
  <si>
    <t>6.28 × 10−4</t>
  </si>
  <si>
    <t>5.89 × 10−5</t>
  </si>
  <si>
    <t>3.11 × 10−5</t>
  </si>
  <si>
    <t>1.09 × 10−5</t>
  </si>
  <si>
    <t>2.31 × 10−4</t>
  </si>
  <si>
    <t>Congo</t>
  </si>
  <si>
    <r>
      <t>5.72 × 10</t>
    </r>
    <r>
      <rPr>
        <sz val="7.5"/>
        <color rgb="FF222222"/>
        <rFont val="Arial"/>
        <family val="2"/>
      </rPr>
      <t>−3</t>
    </r>
  </si>
  <si>
    <r>
      <t>2.75 × 10</t>
    </r>
    <r>
      <rPr>
        <sz val="7.5"/>
        <color rgb="FF222222"/>
        <rFont val="Arial"/>
        <family val="2"/>
      </rPr>
      <t>−3</t>
    </r>
  </si>
  <si>
    <t>6.90 × 10−4</t>
  </si>
  <si>
    <t>7.74 × 10−3</t>
  </si>
  <si>
    <t>3.91 × 10−4</t>
  </si>
  <si>
    <t>6.97 × 10−5</t>
  </si>
  <si>
    <t>1.42 × 10−3</t>
  </si>
  <si>
    <t>Cuba</t>
  </si>
  <si>
    <r>
      <t>7.57 × 10</t>
    </r>
    <r>
      <rPr>
        <sz val="7.5"/>
        <color rgb="FF222222"/>
        <rFont val="Arial"/>
        <family val="2"/>
      </rPr>
      <t>−4</t>
    </r>
  </si>
  <si>
    <r>
      <t>3.74 × 10</t>
    </r>
    <r>
      <rPr>
        <sz val="7.5"/>
        <color rgb="FF222222"/>
        <rFont val="Arial"/>
        <family val="2"/>
      </rPr>
      <t>−4</t>
    </r>
  </si>
  <si>
    <t>9.46 × 10−5</t>
  </si>
  <si>
    <t>8.77 × 10−5</t>
  </si>
  <si>
    <t>4.56 × 10−5</t>
  </si>
  <si>
    <t>1.63 × 10−5</t>
  </si>
  <si>
    <t>3.22 × 10−4</t>
  </si>
  <si>
    <t>Democratic Republic of Congo</t>
  </si>
  <si>
    <r>
      <t>2.87 × 10</t>
    </r>
    <r>
      <rPr>
        <sz val="7.5"/>
        <color rgb="FF222222"/>
        <rFont val="Arial"/>
        <family val="2"/>
      </rPr>
      <t>−3</t>
    </r>
  </si>
  <si>
    <t>7.08 × 10−4</t>
  </si>
  <si>
    <t>2.07 × 10−4</t>
  </si>
  <si>
    <t>Djibouti</t>
  </si>
  <si>
    <r>
      <t>2.70 × 10</t>
    </r>
    <r>
      <rPr>
        <sz val="7.5"/>
        <color rgb="FF222222"/>
        <rFont val="Arial"/>
        <family val="2"/>
      </rPr>
      <t>−3</t>
    </r>
  </si>
  <si>
    <t>7.22 × 10−4</t>
  </si>
  <si>
    <t>7.63 × 10−3</t>
  </si>
  <si>
    <t>Dominican Republic</t>
  </si>
  <si>
    <r>
      <t>3.13 × 10</t>
    </r>
    <r>
      <rPr>
        <sz val="7.5"/>
        <color rgb="FF222222"/>
        <rFont val="Arial"/>
        <family val="2"/>
      </rPr>
      <t>−3</t>
    </r>
  </si>
  <si>
    <r>
      <t>1.56 × 10</t>
    </r>
    <r>
      <rPr>
        <sz val="7.5"/>
        <color rgb="FF222222"/>
        <rFont val="Arial"/>
        <family val="2"/>
      </rPr>
      <t>−3</t>
    </r>
  </si>
  <si>
    <t>4.23 × 10−3</t>
  </si>
  <si>
    <t>2.50 × 10−4</t>
  </si>
  <si>
    <t>1.33 × 10−4</t>
  </si>
  <si>
    <t>8.98 × 10−4</t>
  </si>
  <si>
    <t>Ecuador</t>
  </si>
  <si>
    <r>
      <t>2.88 × 10</t>
    </r>
    <r>
      <rPr>
        <sz val="7.5"/>
        <color rgb="FF222222"/>
        <rFont val="Arial"/>
        <family val="2"/>
      </rPr>
      <t>−4</t>
    </r>
  </si>
  <si>
    <r>
      <t>1.77 × 10</t>
    </r>
    <r>
      <rPr>
        <sz val="7.5"/>
        <color rgb="FF222222"/>
        <rFont val="Arial"/>
        <family val="2"/>
      </rPr>
      <t>−4</t>
    </r>
  </si>
  <si>
    <t>4.48 × 10−5</t>
  </si>
  <si>
    <t>5.01 × 10−4</t>
  </si>
  <si>
    <t>4.30 × 10−5</t>
  </si>
  <si>
    <t>2.61 × 10−5</t>
  </si>
  <si>
    <t>9.18 × 10−6</t>
  </si>
  <si>
    <t>Egypt</t>
  </si>
  <si>
    <t>4.30 × 10−4</t>
  </si>
  <si>
    <t>4.43 × 10−3</t>
  </si>
  <si>
    <t>1.37 × 10−4</t>
  </si>
  <si>
    <t>4.78 × 10−5</t>
  </si>
  <si>
    <t>9.86 × 10−4</t>
  </si>
  <si>
    <t>El Salvador</t>
  </si>
  <si>
    <t>Central America</t>
  </si>
  <si>
    <r>
      <t>7.14 × 10</t>
    </r>
    <r>
      <rPr>
        <sz val="7.5"/>
        <color rgb="FF222222"/>
        <rFont val="Arial"/>
        <family val="2"/>
      </rPr>
      <t>−4</t>
    </r>
  </si>
  <si>
    <r>
      <t>3.53 × 10</t>
    </r>
    <r>
      <rPr>
        <sz val="7.5"/>
        <color rgb="FF222222"/>
        <rFont val="Arial"/>
        <family val="2"/>
      </rPr>
      <t>−4</t>
    </r>
  </si>
  <si>
    <t>9.17 × 10−5</t>
  </si>
  <si>
    <t>9.57 × 10−4</t>
  </si>
  <si>
    <t>8.40 × 10−5</t>
  </si>
  <si>
    <t>4.42 × 10−5</t>
  </si>
  <si>
    <t>1.55 × 10−5</t>
  </si>
  <si>
    <t>3.13 × 10−4</t>
  </si>
  <si>
    <t>Equatorial Guinea</t>
  </si>
  <si>
    <r>
      <t>2.90 × 10</t>
    </r>
    <r>
      <rPr>
        <sz val="7.5"/>
        <color rgb="FF222222"/>
        <rFont val="Arial"/>
        <family val="2"/>
      </rPr>
      <t>−3</t>
    </r>
  </si>
  <si>
    <t>7.45 × 10−4</t>
  </si>
  <si>
    <t>7.75 × 10−3</t>
  </si>
  <si>
    <t>2.09 × 10−4</t>
  </si>
  <si>
    <t>7.44 × 10−5</t>
  </si>
  <si>
    <t>1.48 × 10−3</t>
  </si>
  <si>
    <t>Eritrea</t>
  </si>
  <si>
    <t>7.38 × 10−4</t>
  </si>
  <si>
    <t>7.60 × 10−3</t>
  </si>
  <si>
    <t>2.02 × 10−4</t>
  </si>
  <si>
    <t>7.26 × 10−5</t>
  </si>
  <si>
    <t>1.41 × 10−3</t>
  </si>
  <si>
    <t>Eswatini</t>
  </si>
  <si>
    <t>6.50 × 10−4</t>
  </si>
  <si>
    <t>7.09 × 10−3</t>
  </si>
  <si>
    <t>1.96 × 10−4</t>
  </si>
  <si>
    <t>6.76 × 10−5</t>
  </si>
  <si>
    <t>1.35 × 10−3</t>
  </si>
  <si>
    <t>Ethiopia</t>
  </si>
  <si>
    <t>7.08 × 10−3</t>
  </si>
  <si>
    <t>1.94 × 10−4</t>
  </si>
  <si>
    <t>6.85 × 10−5</t>
  </si>
  <si>
    <t>Gabon</t>
  </si>
  <si>
    <t>7.05 × 10−4</t>
  </si>
  <si>
    <t>7.73 × 10−3</t>
  </si>
  <si>
    <t>7.06 × 10−5</t>
  </si>
  <si>
    <t>1.46 × 10−3</t>
  </si>
  <si>
    <t>Gambia</t>
  </si>
  <si>
    <r>
      <t>2.79 × 10</t>
    </r>
    <r>
      <rPr>
        <sz val="7.5"/>
        <color rgb="FF222222"/>
        <rFont val="Arial"/>
        <family val="2"/>
      </rPr>
      <t>−3</t>
    </r>
  </si>
  <si>
    <t>7.02 × 10−4</t>
  </si>
  <si>
    <t>7.46 × 10−3</t>
  </si>
  <si>
    <t>7.09 × 10−5</t>
  </si>
  <si>
    <t>Georgia</t>
  </si>
  <si>
    <r>
      <t>1.76 × 10</t>
    </r>
    <r>
      <rPr>
        <sz val="7.5"/>
        <color rgb="FF222222"/>
        <rFont val="Arial"/>
        <family val="2"/>
      </rPr>
      <t>−3</t>
    </r>
  </si>
  <si>
    <t>4.60 × 10−4</t>
  </si>
  <si>
    <t>1.45 × 10−4</t>
  </si>
  <si>
    <t>5.05 × 10−5</t>
  </si>
  <si>
    <t>Ghana</t>
  </si>
  <si>
    <t>6.84 × 10−4</t>
  </si>
  <si>
    <t>7.45 × 10−3</t>
  </si>
  <si>
    <t>6.92 × 10−5</t>
  </si>
  <si>
    <t>Guatemala</t>
  </si>
  <si>
    <r>
      <t>8.27 × 10</t>
    </r>
    <r>
      <rPr>
        <sz val="7.5"/>
        <color rgb="FF222222"/>
        <rFont val="Arial"/>
        <family val="2"/>
      </rPr>
      <t>−4</t>
    </r>
  </si>
  <si>
    <r>
      <t>4.01 × 10</t>
    </r>
    <r>
      <rPr>
        <sz val="7.5"/>
        <color rgb="FF222222"/>
        <rFont val="Arial"/>
        <family val="2"/>
      </rPr>
      <t>−4</t>
    </r>
  </si>
  <si>
    <t>1.05 × 10−4</t>
  </si>
  <si>
    <t>1.07 × 10−3</t>
  </si>
  <si>
    <t>9.37 × 10−5</t>
  </si>
  <si>
    <t>4.87 × 10−5</t>
  </si>
  <si>
    <t>1.72 × 10−5</t>
  </si>
  <si>
    <t>3.46 × 10−4</t>
  </si>
  <si>
    <t>Guinea</t>
  </si>
  <si>
    <t>6.92 × 10−4</t>
  </si>
  <si>
    <t>7.24 × 10−3</t>
  </si>
  <si>
    <t>1.98 × 10−4</t>
  </si>
  <si>
    <t>Guinea-Bissau</t>
  </si>
  <si>
    <r>
      <t>2.67 × 10</t>
    </r>
    <r>
      <rPr>
        <sz val="7.5"/>
        <color rgb="FF222222"/>
        <rFont val="Arial"/>
        <family val="2"/>
      </rPr>
      <t>−3</t>
    </r>
  </si>
  <si>
    <t>7.21 × 10−4</t>
  </si>
  <si>
    <t>7.13 × 10−3</t>
  </si>
  <si>
    <t>7.15 × 10−5</t>
  </si>
  <si>
    <t>1.36 × 10−3</t>
  </si>
  <si>
    <t>Haiti</t>
  </si>
  <si>
    <r>
      <t>1.34 × 10</t>
    </r>
    <r>
      <rPr>
        <sz val="7.5"/>
        <color rgb="FF222222"/>
        <rFont val="Arial"/>
        <family val="2"/>
      </rPr>
      <t>−3</t>
    </r>
  </si>
  <si>
    <t>3.41 × 10−4</t>
  </si>
  <si>
    <t>3.64 × 10−3</t>
  </si>
  <si>
    <t>2.28 × 10−4</t>
  </si>
  <si>
    <t>1.17 × 10−4</t>
  </si>
  <si>
    <t>4.13 × 10−5</t>
  </si>
  <si>
    <t>8.32 × 10−4</t>
  </si>
  <si>
    <t>Honduras</t>
  </si>
  <si>
    <r>
      <t>1.93 × 10</t>
    </r>
    <r>
      <rPr>
        <sz val="7.5"/>
        <color rgb="FF222222"/>
        <rFont val="Arial"/>
        <family val="2"/>
      </rPr>
      <t>−4</t>
    </r>
  </si>
  <si>
    <r>
      <t>9.00 × 10</t>
    </r>
    <r>
      <rPr>
        <sz val="7.5"/>
        <color rgb="FF222222"/>
        <rFont val="Arial"/>
        <family val="2"/>
      </rPr>
      <t>−5</t>
    </r>
  </si>
  <si>
    <t>2.24 × 10−5</t>
  </si>
  <si>
    <t>2.53 × 10−4</t>
  </si>
  <si>
    <t>3.20 × 10−5</t>
  </si>
  <si>
    <t>1.60 × 10−5</t>
  </si>
  <si>
    <t>5.49 × 10−6</t>
  </si>
  <si>
    <t>1.20 × 10−4</t>
  </si>
  <si>
    <t>India</t>
  </si>
  <si>
    <r>
      <t>4.18 × 10</t>
    </r>
    <r>
      <rPr>
        <sz val="7.5"/>
        <color rgb="FF222222"/>
        <rFont val="Arial"/>
        <family val="2"/>
      </rPr>
      <t>−3</t>
    </r>
  </si>
  <si>
    <r>
      <t>2.02 × 10</t>
    </r>
    <r>
      <rPr>
        <sz val="7.5"/>
        <color rgb="FF222222"/>
        <rFont val="Arial"/>
        <family val="2"/>
      </rPr>
      <t>−3</t>
    </r>
  </si>
  <si>
    <t>4.89 × 10−4</t>
  </si>
  <si>
    <t>5.52 × 10−3</t>
  </si>
  <si>
    <t>3.10 × 10−4</t>
  </si>
  <si>
    <t>1.58 × 10−4</t>
  </si>
  <si>
    <t>5.41 × 10−5</t>
  </si>
  <si>
    <t>1.12 × 10−3</t>
  </si>
  <si>
    <t>Indonesia</t>
  </si>
  <si>
    <r>
      <t>1.65 × 10</t>
    </r>
    <r>
      <rPr>
        <sz val="7.5"/>
        <color rgb="FF222222"/>
        <rFont val="Arial"/>
        <family val="2"/>
      </rPr>
      <t>−3</t>
    </r>
  </si>
  <si>
    <t>4.20 × 10−4</t>
  </si>
  <si>
    <t>4.52 × 10−3</t>
  </si>
  <si>
    <t>4.72 × 10−5</t>
  </si>
  <si>
    <t>9.80 × 10−4</t>
  </si>
  <si>
    <t>Iran</t>
  </si>
  <si>
    <r>
      <t>3.88 × 10</t>
    </r>
    <r>
      <rPr>
        <sz val="7.5"/>
        <color rgb="FF222222"/>
        <rFont val="Arial"/>
        <family val="2"/>
      </rPr>
      <t>−3</t>
    </r>
  </si>
  <si>
    <r>
      <t>1.94 × 10</t>
    </r>
    <r>
      <rPr>
        <sz val="7.5"/>
        <color rgb="FF222222"/>
        <rFont val="Arial"/>
        <family val="2"/>
      </rPr>
      <t>−3</t>
    </r>
  </si>
  <si>
    <t>4.87 × 10−4</t>
  </si>
  <si>
    <t>5.33 × 10−3</t>
  </si>
  <si>
    <t>2.93 × 10−4</t>
  </si>
  <si>
    <t>5.23 × 10−5</t>
  </si>
  <si>
    <t>Iraq</t>
  </si>
  <si>
    <t>4.70 × 10−4</t>
  </si>
  <si>
    <t>5.07 × 10−3</t>
  </si>
  <si>
    <t>1.49 × 10−4</t>
  </si>
  <si>
    <t>5.19 × 10−5</t>
  </si>
  <si>
    <t>Israel</t>
  </si>
  <si>
    <r>
      <t>8.20 × 10</t>
    </r>
    <r>
      <rPr>
        <sz val="7.5"/>
        <color rgb="FF222222"/>
        <rFont val="Arial"/>
        <family val="2"/>
      </rPr>
      <t>−4</t>
    </r>
  </si>
  <si>
    <r>
      <t>4.02 × 10</t>
    </r>
    <r>
      <rPr>
        <sz val="7.5"/>
        <color rgb="FF222222"/>
        <rFont val="Arial"/>
        <family val="2"/>
      </rPr>
      <t>−4</t>
    </r>
  </si>
  <si>
    <t>1.02 × 10−4</t>
  </si>
  <si>
    <t>1.11 × 10−3</t>
  </si>
  <si>
    <t>9.30 × 10−5</t>
  </si>
  <si>
    <t>4.75 × 10−5</t>
  </si>
  <si>
    <t>1.69 × 10−5</t>
  </si>
  <si>
    <t>3.48 × 10−4</t>
  </si>
  <si>
    <t>Ivory Coast</t>
  </si>
  <si>
    <r>
      <t>2.68 × 10</t>
    </r>
    <r>
      <rPr>
        <sz val="7.5"/>
        <color rgb="FF222222"/>
        <rFont val="Arial"/>
        <family val="2"/>
      </rPr>
      <t>−3</t>
    </r>
  </si>
  <si>
    <t>7.52 × 10−3</t>
  </si>
  <si>
    <t>1.97 × 10−4</t>
  </si>
  <si>
    <t>7.12 × 10−5</t>
  </si>
  <si>
    <t>Jordan</t>
  </si>
  <si>
    <r>
      <t>1.93 × 10</t>
    </r>
    <r>
      <rPr>
        <sz val="7.5"/>
        <color rgb="FF222222"/>
        <rFont val="Arial"/>
        <family val="2"/>
      </rPr>
      <t>−3</t>
    </r>
  </si>
  <si>
    <t>4.80 × 10−4</t>
  </si>
  <si>
    <t>5.32 × 10−5</t>
  </si>
  <si>
    <t>1.10 × 10−3</t>
  </si>
  <si>
    <t>Kazakhstan</t>
  </si>
  <si>
    <r>
      <t>1.75 × 10</t>
    </r>
    <r>
      <rPr>
        <sz val="7.5"/>
        <color rgb="FF222222"/>
        <rFont val="Arial"/>
        <family val="2"/>
      </rPr>
      <t>−3</t>
    </r>
  </si>
  <si>
    <t>4.47 × 10−4</t>
  </si>
  <si>
    <t>4.76 × 10−3</t>
  </si>
  <si>
    <t>1.44 × 10−4</t>
  </si>
  <si>
    <t>5.15 × 10−5</t>
  </si>
  <si>
    <t>Kenya</t>
  </si>
  <si>
    <r>
      <t>2.64 × 10</t>
    </r>
    <r>
      <rPr>
        <sz val="7.5"/>
        <color rgb="FF222222"/>
        <rFont val="Arial"/>
        <family val="2"/>
      </rPr>
      <t>−3</t>
    </r>
  </si>
  <si>
    <t>7.20 × 10−4</t>
  </si>
  <si>
    <t>7.05 × 10−3</t>
  </si>
  <si>
    <t>1.37 × 10−3</t>
  </si>
  <si>
    <t>Kuwait</t>
  </si>
  <si>
    <t>4.79 × 10−4</t>
  </si>
  <si>
    <t>5.13 × 10−3</t>
  </si>
  <si>
    <t>5.31 × 10−5</t>
  </si>
  <si>
    <t>1.04 × 10−3</t>
  </si>
  <si>
    <t>Kyrgyzstan</t>
  </si>
  <si>
    <r>
      <t>1.77 × 10</t>
    </r>
    <r>
      <rPr>
        <sz val="7.5"/>
        <color rgb="FF222222"/>
        <rFont val="Arial"/>
        <family val="2"/>
      </rPr>
      <t>−3</t>
    </r>
  </si>
  <si>
    <t>4.50 × 10−4</t>
  </si>
  <si>
    <t>5.02 × 10−5</t>
  </si>
  <si>
    <t>Laos</t>
  </si>
  <si>
    <r>
      <t>5.58 × 10</t>
    </r>
    <r>
      <rPr>
        <sz val="7.5"/>
        <color rgb="FF222222"/>
        <rFont val="Arial"/>
        <family val="2"/>
      </rPr>
      <t>−3</t>
    </r>
  </si>
  <si>
    <t>6.78 × 10−4</t>
  </si>
  <si>
    <t>3.84 × 10−4</t>
  </si>
  <si>
    <t>6.98 × 10−5</t>
  </si>
  <si>
    <t>Lebanon</t>
  </si>
  <si>
    <r>
      <t>1.85 × 10</t>
    </r>
    <r>
      <rPr>
        <sz val="7.5"/>
        <color rgb="FF222222"/>
        <rFont val="Arial"/>
        <family val="2"/>
      </rPr>
      <t>−3</t>
    </r>
  </si>
  <si>
    <t>4.65 × 10−4</t>
  </si>
  <si>
    <t>5.20 × 10−3</t>
  </si>
  <si>
    <t>5.24 × 10−5</t>
  </si>
  <si>
    <t>Lesotho</t>
  </si>
  <si>
    <t>6.85 × 10−4</t>
  </si>
  <si>
    <t>7.17 × 10−3</t>
  </si>
  <si>
    <t>1.92 × 10−4</t>
  </si>
  <si>
    <t>1.33 × 10−3</t>
  </si>
  <si>
    <t>Liberia</t>
  </si>
  <si>
    <r>
      <t>2.59 × 10</t>
    </r>
    <r>
      <rPr>
        <sz val="7.5"/>
        <color rgb="FF222222"/>
        <rFont val="Arial"/>
        <family val="2"/>
      </rPr>
      <t>−3</t>
    </r>
  </si>
  <si>
    <t>6.55 × 10−4</t>
  </si>
  <si>
    <t>7.31 × 10−3</t>
  </si>
  <si>
    <t>6.66 × 10−5</t>
  </si>
  <si>
    <t>1.39 × 10−3</t>
  </si>
  <si>
    <t>Libya</t>
  </si>
  <si>
    <r>
      <t>1.63 × 10</t>
    </r>
    <r>
      <rPr>
        <sz val="7.5"/>
        <color rgb="FF222222"/>
        <rFont val="Arial"/>
        <family val="2"/>
      </rPr>
      <t>−3</t>
    </r>
  </si>
  <si>
    <t>4.15 × 10−4</t>
  </si>
  <si>
    <t>4.55 × 10−3</t>
  </si>
  <si>
    <t>9.78 × 10−4</t>
  </si>
  <si>
    <t>Madagascar</t>
  </si>
  <si>
    <r>
      <t>2.66 × 10</t>
    </r>
    <r>
      <rPr>
        <sz val="7.5"/>
        <color rgb="FF222222"/>
        <rFont val="Arial"/>
        <family val="2"/>
      </rPr>
      <t>−3</t>
    </r>
  </si>
  <si>
    <t>6.54 × 10−4</t>
  </si>
  <si>
    <t>7.15 × 10−3</t>
  </si>
  <si>
    <t>6.77 × 10−5</t>
  </si>
  <si>
    <t>Malawi</t>
  </si>
  <si>
    <t>6.59 × 10−4</t>
  </si>
  <si>
    <t>7.27 × 10−3</t>
  </si>
  <si>
    <t>6.75 × 10−5</t>
  </si>
  <si>
    <t>1.34 × 10−3</t>
  </si>
  <si>
    <t>Malaysia</t>
  </si>
  <si>
    <t>South East Asia</t>
  </si>
  <si>
    <r>
      <t>2.38 × 10</t>
    </r>
    <r>
      <rPr>
        <sz val="7.5"/>
        <color rgb="FF222222"/>
        <rFont val="Arial"/>
        <family val="2"/>
      </rPr>
      <t>−3</t>
    </r>
  </si>
  <si>
    <r>
      <t>1.16 × 10</t>
    </r>
    <r>
      <rPr>
        <sz val="7.5"/>
        <color rgb="FF222222"/>
        <rFont val="Arial"/>
        <family val="2"/>
      </rPr>
      <t>−3</t>
    </r>
  </si>
  <si>
    <t>3.06 × 10−4</t>
  </si>
  <si>
    <t>3.24 × 10−3</t>
  </si>
  <si>
    <t>2.05 × 10−4</t>
  </si>
  <si>
    <t>1.06 × 10−4</t>
  </si>
  <si>
    <t>3.65 × 10−5</t>
  </si>
  <si>
    <t>7.62 × 10−4</t>
  </si>
  <si>
    <t>Mali</t>
  </si>
  <si>
    <t>7.22 × 10−5</t>
  </si>
  <si>
    <t>Mauritania</t>
  </si>
  <si>
    <t>6.95 × 10−5</t>
  </si>
  <si>
    <t>Mongolia</t>
  </si>
  <si>
    <r>
      <t>2.14 × 10</t>
    </r>
    <r>
      <rPr>
        <sz val="7.5"/>
        <color rgb="FF222222"/>
        <rFont val="Arial"/>
        <family val="2"/>
      </rPr>
      <t>−3</t>
    </r>
  </si>
  <si>
    <t>5.60 × 10−4</t>
  </si>
  <si>
    <t>5.74 × 10−3</t>
  </si>
  <si>
    <t>1.70 × 10−4</t>
  </si>
  <si>
    <t>5.84 × 10−5</t>
  </si>
  <si>
    <t>1.14 × 10−3</t>
  </si>
  <si>
    <t>Morocco</t>
  </si>
  <si>
    <r>
      <t>4.27 × 10</t>
    </r>
    <r>
      <rPr>
        <sz val="7.5"/>
        <color rgb="FF222222"/>
        <rFont val="Arial"/>
        <family val="2"/>
      </rPr>
      <t>−3</t>
    </r>
  </si>
  <si>
    <r>
      <t>2.17 × 10</t>
    </r>
    <r>
      <rPr>
        <sz val="7.5"/>
        <color rgb="FF222222"/>
        <rFont val="Arial"/>
        <family val="2"/>
      </rPr>
      <t>−3</t>
    </r>
  </si>
  <si>
    <t>5.38 × 10−4</t>
  </si>
  <si>
    <t>5.87 × 10−3</t>
  </si>
  <si>
    <t>3.15 × 10−4</t>
  </si>
  <si>
    <t>1.64 × 10−4</t>
  </si>
  <si>
    <t>5.74 × 10−5</t>
  </si>
  <si>
    <t>1.20 × 10−3</t>
  </si>
  <si>
    <t>Mozambique</t>
  </si>
  <si>
    <r>
      <t>2.24 × 10</t>
    </r>
    <r>
      <rPr>
        <sz val="7.5"/>
        <color rgb="FF222222"/>
        <rFont val="Arial"/>
        <family val="2"/>
      </rPr>
      <t>−3</t>
    </r>
  </si>
  <si>
    <t>5.78 × 10−4</t>
  </si>
  <si>
    <t>6.15 × 10−3</t>
  </si>
  <si>
    <t>1.71 × 10−4</t>
  </si>
  <si>
    <t>5.96 × 10−5</t>
  </si>
  <si>
    <t>1.25 × 10−3</t>
  </si>
  <si>
    <t>Myanmar</t>
  </si>
  <si>
    <t>7.67 × 10−3</t>
  </si>
  <si>
    <t>7.33 × 10−5</t>
  </si>
  <si>
    <t>Namibia</t>
  </si>
  <si>
    <r>
      <t>2.56 × 10</t>
    </r>
    <r>
      <rPr>
        <sz val="7.5"/>
        <color rgb="FF222222"/>
        <rFont val="Arial"/>
        <family val="2"/>
      </rPr>
      <t>−3</t>
    </r>
  </si>
  <si>
    <t>6.45 × 10−4</t>
  </si>
  <si>
    <t>7.03 × 10−3</t>
  </si>
  <si>
    <t>6.57 × 10−5</t>
  </si>
  <si>
    <t>#NA</t>
  </si>
  <si>
    <t>Nepal</t>
  </si>
  <si>
    <r>
      <t>5.71 × 10</t>
    </r>
    <r>
      <rPr>
        <sz val="7.5"/>
        <color rgb="FF222222"/>
        <rFont val="Arial"/>
        <family val="2"/>
      </rPr>
      <t>−3</t>
    </r>
  </si>
  <si>
    <r>
      <t>2.84 × 10</t>
    </r>
    <r>
      <rPr>
        <sz val="7.5"/>
        <color rgb="FF222222"/>
        <rFont val="Arial"/>
        <family val="2"/>
      </rPr>
      <t>−3</t>
    </r>
  </si>
  <si>
    <t>7.36 × 10−4</t>
  </si>
  <si>
    <t>7.62 × 10−3</t>
  </si>
  <si>
    <t>Nicaragua</t>
  </si>
  <si>
    <r>
      <t>1.03 × 10</t>
    </r>
    <r>
      <rPr>
        <sz val="7.5"/>
        <color rgb="FF222222"/>
        <rFont val="Arial"/>
        <family val="2"/>
      </rPr>
      <t>−4</t>
    </r>
  </si>
  <si>
    <r>
      <t>4.43 × 10</t>
    </r>
    <r>
      <rPr>
        <sz val="7.5"/>
        <color rgb="FF222222"/>
        <rFont val="Arial"/>
        <family val="2"/>
      </rPr>
      <t>−5</t>
    </r>
  </si>
  <si>
    <t>1.03 × 10−5</t>
  </si>
  <si>
    <t>1.31 × 10−4</t>
  </si>
  <si>
    <t>2.01 × 10−5</t>
  </si>
  <si>
    <t>9.55 × 10−6</t>
  </si>
  <si>
    <t>3.08 × 10−6</t>
  </si>
  <si>
    <t>7.90 × 10−5</t>
  </si>
  <si>
    <t>Niger</t>
  </si>
  <si>
    <r>
      <t>2.78 × 10</t>
    </r>
    <r>
      <rPr>
        <sz val="7.5"/>
        <color rgb="FF222222"/>
        <rFont val="Arial"/>
        <family val="2"/>
      </rPr>
      <t>−3</t>
    </r>
  </si>
  <si>
    <t>7.57 × 10−3</t>
  </si>
  <si>
    <t>6.99 × 10−5</t>
  </si>
  <si>
    <t>Nigeria</t>
  </si>
  <si>
    <r>
      <t>4.44 × 10</t>
    </r>
    <r>
      <rPr>
        <sz val="7.5"/>
        <color rgb="FF222222"/>
        <rFont val="Arial"/>
        <family val="2"/>
      </rPr>
      <t>−3</t>
    </r>
  </si>
  <si>
    <r>
      <t>2.30 × 10</t>
    </r>
    <r>
      <rPr>
        <sz val="7.5"/>
        <color rgb="FF222222"/>
        <rFont val="Arial"/>
        <family val="2"/>
      </rPr>
      <t>−3</t>
    </r>
  </si>
  <si>
    <t>5.88 × 10−4</t>
  </si>
  <si>
    <t>6.05 × 10−3</t>
  </si>
  <si>
    <t>3.24 × 10−4</t>
  </si>
  <si>
    <t>1.75 × 10−4</t>
  </si>
  <si>
    <t>6.23 × 10−5</t>
  </si>
  <si>
    <t>1.16 × 10−3</t>
  </si>
  <si>
    <t>North Korea</t>
  </si>
  <si>
    <t>4.52 × 10−4</t>
  </si>
  <si>
    <t>4.88 × 10−3</t>
  </si>
  <si>
    <t>1.48 × 10−4</t>
  </si>
  <si>
    <t>5.13 × 10−5</t>
  </si>
  <si>
    <t>Oman</t>
  </si>
  <si>
    <r>
      <t>2.12 × 10</t>
    </r>
    <r>
      <rPr>
        <sz val="7.5"/>
        <color rgb="FF222222"/>
        <rFont val="Arial"/>
        <family val="2"/>
      </rPr>
      <t>−3</t>
    </r>
  </si>
  <si>
    <t>5.25 × 10−4</t>
  </si>
  <si>
    <t>5.61 × 10−3</t>
  </si>
  <si>
    <t>1.61 × 10−4</t>
  </si>
  <si>
    <t>5.64 × 10−5</t>
  </si>
  <si>
    <t>1.13 × 10−3</t>
  </si>
  <si>
    <t>Pakistan</t>
  </si>
  <si>
    <t>5.85 × 10−4</t>
  </si>
  <si>
    <t>6.86 × 10−3</t>
  </si>
  <si>
    <t>1.81 × 10−4</t>
  </si>
  <si>
    <t>6.16 × 10−5</t>
  </si>
  <si>
    <t>Peru</t>
  </si>
  <si>
    <r>
      <t>2.65 × 10</t>
    </r>
    <r>
      <rPr>
        <sz val="7.5"/>
        <color rgb="FF222222"/>
        <rFont val="Arial"/>
        <family val="2"/>
      </rPr>
      <t>−3</t>
    </r>
  </si>
  <si>
    <t>2.95 × 10−4</t>
  </si>
  <si>
    <t>2.21 × 10−4</t>
  </si>
  <si>
    <t>3.70 × 10−5</t>
  </si>
  <si>
    <t>7.78 × 10−4</t>
  </si>
  <si>
    <t>Philippines</t>
  </si>
  <si>
    <r>
      <t>2.37 × 10</t>
    </r>
    <r>
      <rPr>
        <sz val="7.5"/>
        <color rgb="FF222222"/>
        <rFont val="Arial"/>
        <family val="2"/>
      </rPr>
      <t>−3</t>
    </r>
  </si>
  <si>
    <t>5.89 × 10−4</t>
  </si>
  <si>
    <t>6.37 × 10−3</t>
  </si>
  <si>
    <t>1.80 × 10−4</t>
  </si>
  <si>
    <t>6.25 × 10−5</t>
  </si>
  <si>
    <t>1.22 × 10−3</t>
  </si>
  <si>
    <t>Qatar</t>
  </si>
  <si>
    <t>4.78 × 10−4</t>
  </si>
  <si>
    <t>5.25 × 10−3</t>
  </si>
  <si>
    <t>1.56 × 10−4</t>
  </si>
  <si>
    <t>5.35 × 10−5</t>
  </si>
  <si>
    <t>Rwanda</t>
  </si>
  <si>
    <r>
      <t>3.19 × 10</t>
    </r>
    <r>
      <rPr>
        <sz val="7.5"/>
        <color rgb="FF222222"/>
        <rFont val="Arial"/>
        <family val="2"/>
      </rPr>
      <t>−3</t>
    </r>
  </si>
  <si>
    <r>
      <t>1.72 × 10</t>
    </r>
    <r>
      <rPr>
        <sz val="7.5"/>
        <color rgb="FF222222"/>
        <rFont val="Arial"/>
        <family val="2"/>
      </rPr>
      <t>−3</t>
    </r>
  </si>
  <si>
    <t>4.71 × 10−3</t>
  </si>
  <si>
    <t>2.54 × 10−4</t>
  </si>
  <si>
    <t>1.40 × 10−4</t>
  </si>
  <si>
    <t>4.82 × 10−5</t>
  </si>
  <si>
    <t>1.00 × 10−3</t>
  </si>
  <si>
    <t>Saudi Arabia</t>
  </si>
  <si>
    <t>4.81 × 10−4</t>
  </si>
  <si>
    <t>5.04 × 10−3</t>
  </si>
  <si>
    <t>5.34 × 10−5</t>
  </si>
  <si>
    <t>Senegal</t>
  </si>
  <si>
    <t>6.89 × 10−4</t>
  </si>
  <si>
    <t>7.51 × 10−3</t>
  </si>
  <si>
    <t>7.07 × 10−5</t>
  </si>
  <si>
    <t>Sierra Leone</t>
  </si>
  <si>
    <t>7.25 × 10−4</t>
  </si>
  <si>
    <t>7.25 × 10−3</t>
  </si>
  <si>
    <t>Somalia</t>
  </si>
  <si>
    <t>7.48 × 10−4</t>
  </si>
  <si>
    <t>7.59 × 10−3</t>
  </si>
  <si>
    <t>7.27 × 10−5</t>
  </si>
  <si>
    <t>South Africa</t>
  </si>
  <si>
    <r>
      <t>4.09 × 10</t>
    </r>
    <r>
      <rPr>
        <sz val="7.5"/>
        <color rgb="FF222222"/>
        <rFont val="Arial"/>
        <family val="2"/>
      </rPr>
      <t>−4</t>
    </r>
  </si>
  <si>
    <t>4.93 × 10−5</t>
  </si>
  <si>
    <t>1.68 × 10−5</t>
  </si>
  <si>
    <t>3.51 × 10−4</t>
  </si>
  <si>
    <t>Sri Lanka</t>
  </si>
  <si>
    <r>
      <t>1.53 × 10</t>
    </r>
    <r>
      <rPr>
        <sz val="7.5"/>
        <color rgb="FF222222"/>
        <rFont val="Arial"/>
        <family val="2"/>
      </rPr>
      <t>−3</t>
    </r>
  </si>
  <si>
    <r>
      <t>7.58 × 10</t>
    </r>
    <r>
      <rPr>
        <sz val="7.5"/>
        <color rgb="FF222222"/>
        <rFont val="Arial"/>
        <family val="2"/>
      </rPr>
      <t>−4</t>
    </r>
  </si>
  <si>
    <t>2.03 × 10−3</t>
  </si>
  <si>
    <t>1.47 × 10−4</t>
  </si>
  <si>
    <t>7.66 × 10−5</t>
  </si>
  <si>
    <t>2.70 × 10−5</t>
  </si>
  <si>
    <t>5.59 × 10−4</t>
  </si>
  <si>
    <t>Sudan</t>
  </si>
  <si>
    <t>6.96 × 10−4</t>
  </si>
  <si>
    <t>3.90 × 10−4</t>
  </si>
  <si>
    <t>7.04 × 10−5</t>
  </si>
  <si>
    <t>Syria</t>
  </si>
  <si>
    <r>
      <t>1.87 × 10</t>
    </r>
    <r>
      <rPr>
        <sz val="7.5"/>
        <color rgb="FF222222"/>
        <rFont val="Arial"/>
        <family val="2"/>
      </rPr>
      <t>−3</t>
    </r>
  </si>
  <si>
    <t>4.77 × 10−4</t>
  </si>
  <si>
    <t>5.26 × 10−5</t>
  </si>
  <si>
    <t>Tajikistan</t>
  </si>
  <si>
    <r>
      <t>4.20 × 10</t>
    </r>
    <r>
      <rPr>
        <sz val="7.5"/>
        <color rgb="FF222222"/>
        <rFont val="Arial"/>
        <family val="2"/>
      </rPr>
      <t>−3</t>
    </r>
  </si>
  <si>
    <r>
      <t>2.10 × 10</t>
    </r>
    <r>
      <rPr>
        <sz val="7.5"/>
        <color rgb="FF222222"/>
        <rFont val="Arial"/>
        <family val="2"/>
      </rPr>
      <t>−3</t>
    </r>
  </si>
  <si>
    <t>5.43 × 10−4</t>
  </si>
  <si>
    <t>5.70 × 10−3</t>
  </si>
  <si>
    <t>3.11 × 10−4</t>
  </si>
  <si>
    <t>1.65 × 10−4</t>
  </si>
  <si>
    <t>5.78 × 10−5</t>
  </si>
  <si>
    <t>1.17 × 10−3</t>
  </si>
  <si>
    <t>Tanzania</t>
  </si>
  <si>
    <r>
      <t>2.69 × 10</t>
    </r>
    <r>
      <rPr>
        <sz val="7.5"/>
        <color rgb="FF222222"/>
        <rFont val="Arial"/>
        <family val="2"/>
      </rPr>
      <t>−3</t>
    </r>
  </si>
  <si>
    <t>6.79 × 10−4</t>
  </si>
  <si>
    <t>7.11 × 10−3</t>
  </si>
  <si>
    <t>6.94 × 10−5</t>
  </si>
  <si>
    <t>Thailand</t>
  </si>
  <si>
    <r>
      <t>1.52 × 10</t>
    </r>
    <r>
      <rPr>
        <sz val="7.5"/>
        <color rgb="FF222222"/>
        <rFont val="Arial"/>
        <family val="2"/>
      </rPr>
      <t>−3</t>
    </r>
  </si>
  <si>
    <r>
      <t>7.47 × 10</t>
    </r>
    <r>
      <rPr>
        <sz val="7.5"/>
        <color rgb="FF222222"/>
        <rFont val="Arial"/>
        <family val="2"/>
      </rPr>
      <t>−4</t>
    </r>
  </si>
  <si>
    <t>2.04 × 10−3</t>
  </si>
  <si>
    <t>7.73 × 10−5</t>
  </si>
  <si>
    <t>2.65 × 10−5</t>
  </si>
  <si>
    <t>5.49 × 10−4</t>
  </si>
  <si>
    <t>Togo</t>
  </si>
  <si>
    <r>
      <t>4.85 × 10</t>
    </r>
    <r>
      <rPr>
        <sz val="7.5"/>
        <color rgb="FF222222"/>
        <rFont val="Arial"/>
        <family val="2"/>
      </rPr>
      <t>−3</t>
    </r>
  </si>
  <si>
    <r>
      <t>2.43 × 10</t>
    </r>
    <r>
      <rPr>
        <sz val="7.5"/>
        <color rgb="FF222222"/>
        <rFont val="Arial"/>
        <family val="2"/>
      </rPr>
      <t>−3</t>
    </r>
  </si>
  <si>
    <t>6.07 × 10−4</t>
  </si>
  <si>
    <t>6.42 × 10−3</t>
  </si>
  <si>
    <t>1.84 × 10−4</t>
  </si>
  <si>
    <t>Tunisia</t>
  </si>
  <si>
    <r>
      <t>1.58 × 10</t>
    </r>
    <r>
      <rPr>
        <sz val="7.5"/>
        <color rgb="FF222222"/>
        <rFont val="Arial"/>
        <family val="2"/>
      </rPr>
      <t>−3</t>
    </r>
  </si>
  <si>
    <r>
      <t>7.76 × 10</t>
    </r>
    <r>
      <rPr>
        <sz val="7.5"/>
        <color rgb="FF222222"/>
        <rFont val="Arial"/>
        <family val="2"/>
      </rPr>
      <t>−4</t>
    </r>
  </si>
  <si>
    <t>2.06 × 10−4</t>
  </si>
  <si>
    <t>2.13 × 10−3</t>
  </si>
  <si>
    <t>7.82 × 10−5</t>
  </si>
  <si>
    <t>2.83 × 10−5</t>
  </si>
  <si>
    <t>5.33 × 10−4</t>
  </si>
  <si>
    <t>Turkey</t>
  </si>
  <si>
    <r>
      <t>1.78 × 10</t>
    </r>
    <r>
      <rPr>
        <sz val="7.5"/>
        <color rgb="FF222222"/>
        <rFont val="Arial"/>
        <family val="2"/>
      </rPr>
      <t>−3</t>
    </r>
  </si>
  <si>
    <t>4.38 × 10−4</t>
  </si>
  <si>
    <t>4.69 × 10−3</t>
  </si>
  <si>
    <t>4.94 × 10−5</t>
  </si>
  <si>
    <t>Turkmenistan</t>
  </si>
  <si>
    <t>4.57 × 10−4</t>
  </si>
  <si>
    <t>4.90 × 10−3</t>
  </si>
  <si>
    <t>1.46 × 10−4</t>
  </si>
  <si>
    <t>5.10 × 10−5</t>
  </si>
  <si>
    <t>Uganda</t>
  </si>
  <si>
    <r>
      <t>2.31 × 10</t>
    </r>
    <r>
      <rPr>
        <sz val="7.5"/>
        <color rgb="FF222222"/>
        <rFont val="Arial"/>
        <family val="2"/>
      </rPr>
      <t>−3</t>
    </r>
  </si>
  <si>
    <t>6.05 × 10−4</t>
  </si>
  <si>
    <t>6.23 × 10−3</t>
  </si>
  <si>
    <t>1.77 × 10−4</t>
  </si>
  <si>
    <t>6.28 × 10−5</t>
  </si>
  <si>
    <t>United Arab Emirates</t>
  </si>
  <si>
    <t>5.12 × 10−4</t>
  </si>
  <si>
    <t>5.16 × 10−3</t>
  </si>
  <si>
    <t>1.54 × 10−4</t>
  </si>
  <si>
    <t>5.50 × 10−5</t>
  </si>
  <si>
    <t>1.09 × 10−3</t>
  </si>
  <si>
    <t>Uzbekistan</t>
  </si>
  <si>
    <r>
      <t>1.05 × 10</t>
    </r>
    <r>
      <rPr>
        <sz val="7.5"/>
        <color rgb="FF222222"/>
        <rFont val="Arial"/>
        <family val="2"/>
      </rPr>
      <t>−3</t>
    </r>
  </si>
  <si>
    <t>2.58 × 10−4</t>
  </si>
  <si>
    <t>2.87 × 10−3</t>
  </si>
  <si>
    <t>1.86 × 10−4</t>
  </si>
  <si>
    <t>9.93 × 10−5</t>
  </si>
  <si>
    <t>3.38 × 10−5</t>
  </si>
  <si>
    <t>7.26 × 10−4</t>
  </si>
  <si>
    <t>Venezuela</t>
  </si>
  <si>
    <r>
      <t>3.66 × 10</t>
    </r>
    <r>
      <rPr>
        <sz val="7.5"/>
        <color rgb="FF222222"/>
        <rFont val="Arial"/>
        <family val="2"/>
      </rPr>
      <t>−3</t>
    </r>
  </si>
  <si>
    <r>
      <t>1.40 × 10</t>
    </r>
    <r>
      <rPr>
        <sz val="7.5"/>
        <color rgb="FF222222"/>
        <rFont val="Arial"/>
        <family val="2"/>
      </rPr>
      <t>−3</t>
    </r>
  </si>
  <si>
    <t>3.57 × 10−4</t>
  </si>
  <si>
    <t>3.89 × 10−3</t>
  </si>
  <si>
    <t>2.81 × 10−4</t>
  </si>
  <si>
    <t>4.28 × 10−5</t>
  </si>
  <si>
    <t>9.15 × 10−4</t>
  </si>
  <si>
    <t>Vietnam</t>
  </si>
  <si>
    <r>
      <t>3.27 × 10</t>
    </r>
    <r>
      <rPr>
        <sz val="7.5"/>
        <color rgb="FF222222"/>
        <rFont val="Arial"/>
        <family val="2"/>
      </rPr>
      <t>−3</t>
    </r>
  </si>
  <si>
    <r>
      <t>1.50 × 10</t>
    </r>
    <r>
      <rPr>
        <sz val="7.5"/>
        <color rgb="FF222222"/>
        <rFont val="Arial"/>
        <family val="2"/>
      </rPr>
      <t>−3</t>
    </r>
  </si>
  <si>
    <t>4.21 × 10−3</t>
  </si>
  <si>
    <t>2.59 × 10−4</t>
  </si>
  <si>
    <t>1.29 × 10−4</t>
  </si>
  <si>
    <t>4.49 × 10−5</t>
  </si>
  <si>
    <t>9.45 × 10−4</t>
  </si>
  <si>
    <t>Yemen</t>
  </si>
  <si>
    <t>4.73 × 10−4</t>
  </si>
  <si>
    <t>5.21 × 10−5</t>
  </si>
  <si>
    <t>Zambia</t>
  </si>
  <si>
    <r>
      <t>3.71 × 10</t>
    </r>
    <r>
      <rPr>
        <sz val="7.5"/>
        <color rgb="FF222222"/>
        <rFont val="Arial"/>
        <family val="2"/>
      </rPr>
      <t>−3</t>
    </r>
  </si>
  <si>
    <r>
      <t>2.00 × 10</t>
    </r>
    <r>
      <rPr>
        <sz val="7.5"/>
        <color rgb="FF222222"/>
        <rFont val="Arial"/>
        <family val="2"/>
      </rPr>
      <t>−3</t>
    </r>
  </si>
  <si>
    <t>5.15 × 10−4</t>
  </si>
  <si>
    <t>5.42 × 10−3</t>
  </si>
  <si>
    <t>2.84 × 10−4</t>
  </si>
  <si>
    <t>1.59 × 10−4</t>
  </si>
  <si>
    <t>5.63 × 10−5</t>
  </si>
  <si>
    <t>Zimbabwe</t>
  </si>
  <si>
    <r>
      <t>4.55 × 10</t>
    </r>
    <r>
      <rPr>
        <sz val="7.5"/>
        <color rgb="FF222222"/>
        <rFont val="Arial"/>
        <family val="2"/>
      </rPr>
      <t>−3</t>
    </r>
  </si>
  <si>
    <t>5.74 × 10−4</t>
  </si>
  <si>
    <t>6.14 × 10−3</t>
  </si>
  <si>
    <t>3.30 × 10−4</t>
  </si>
  <si>
    <t>1.76 × 10−4</t>
  </si>
  <si>
    <t>6.06 × 10−5</t>
  </si>
  <si>
    <t>1.19 × 10−3</t>
  </si>
  <si>
    <t>Route of administrationa</t>
  </si>
  <si>
    <t>Dosage scheduleb</t>
  </si>
  <si>
    <t>Vaccine accessibility</t>
  </si>
  <si>
    <t>STOPR</t>
  </si>
  <si>
    <t>Vaccine cost to patient</t>
  </si>
  <si>
    <t>RIG accessibilityc</t>
  </si>
  <si>
    <t>RIG cost</t>
  </si>
  <si>
    <t>Population</t>
  </si>
  <si>
    <t>Bite Rate</t>
  </si>
  <si>
    <t>PEP (annual)</t>
  </si>
  <si>
    <t>Healthcare Seeking Rate</t>
  </si>
  <si>
    <t>HAQ</t>
  </si>
  <si>
    <t>HCSR IQR</t>
  </si>
  <si>
    <t>PEP Rate IQR</t>
  </si>
  <si>
    <t>PEP Fold-Increase to get to next status</t>
  </si>
  <si>
    <t>HCSR Fold-Increase to get to next status</t>
  </si>
  <si>
    <t>ID</t>
  </si>
  <si>
    <t>Updated Thai Red Cross</t>
  </si>
  <si>
    <t>Accessible</t>
  </si>
  <si>
    <t>US$ 7–13/dose</t>
  </si>
  <si>
    <t>US$ 15–27/vial</t>
  </si>
  <si>
    <t>None</t>
  </si>
  <si>
    <t>na</t>
  </si>
  <si>
    <t>VARIABLE</t>
  </si>
  <si>
    <t>Vaccine Accessibilty</t>
  </si>
  <si>
    <t>Rabies Elimination Stage</t>
  </si>
  <si>
    <t>Bite Seek Rate</t>
  </si>
  <si>
    <t>Bites</t>
  </si>
  <si>
    <t>p(rabies|biting dog) (0.1% - 5%)</t>
  </si>
  <si>
    <t>PEP</t>
  </si>
  <si>
    <t>PEP Rate per Capita (per 10,000)</t>
  </si>
  <si>
    <t>PEP|tEXP (#)</t>
  </si>
  <si>
    <t>Inflation Factor</t>
  </si>
  <si>
    <t>Death (Gates)</t>
  </si>
  <si>
    <t>STOPR Death Rate</t>
  </si>
  <si>
    <t>STOPR Deaths</t>
  </si>
  <si>
    <t>nPEP|tEXP</t>
  </si>
  <si>
    <t>Tot tEXP</t>
  </si>
  <si>
    <t>% Tot Exp Tx</t>
  </si>
  <si>
    <t>PEP Goal</t>
  </si>
  <si>
    <t>Demand Year 1`</t>
  </si>
  <si>
    <t>Demand Year 5</t>
  </si>
  <si>
    <t>IM</t>
  </si>
  <si>
    <t>Zagreb</t>
  </si>
  <si>
    <t>US$ 13–17/dose</t>
  </si>
  <si>
    <t>Limited</t>
  </si>
  <si>
    <t>–</t>
  </si>
  <si>
    <t>1.5% - 3.0%</t>
  </si>
  <si>
    <t>30 - 68</t>
  </si>
  <si>
    <t>US$ 13/dose</t>
  </si>
  <si>
    <t>5.1% - 17.0%</t>
  </si>
  <si>
    <t>76 - 329</t>
  </si>
  <si>
    <t>SEARO</t>
  </si>
  <si>
    <t>Average</t>
  </si>
  <si>
    <t>United States</t>
  </si>
  <si>
    <t>Essen 5-dose</t>
  </si>
  <si>
    <t>US$ 12–15/dose</t>
  </si>
  <si>
    <t>US$ 70/vial</t>
  </si>
  <si>
    <t>Widely</t>
  </si>
  <si>
    <t>16.8% - 68.7%</t>
  </si>
  <si>
    <t>338 - 801</t>
  </si>
  <si>
    <t>India (Goa)</t>
  </si>
  <si>
    <t>IM 3-dose (0,7,28)</t>
  </si>
  <si>
    <t>US$ 13</t>
  </si>
  <si>
    <t>Free</t>
  </si>
  <si>
    <t>Free – US$ 15/dose</t>
  </si>
  <si>
    <t>US$ 37/patient</t>
  </si>
  <si>
    <t>Russia</t>
  </si>
  <si>
    <t>Mexico</t>
  </si>
  <si>
    <t>Subcutaneous</t>
  </si>
  <si>
    <t>Nerve-tissue based vaccine 17-dose</t>
  </si>
  <si>
    <t>US$ 2–4/course</t>
  </si>
  <si>
    <t>Japan</t>
  </si>
  <si>
    <t>AFRO</t>
  </si>
  <si>
    <t>US$ 20/dose</t>
  </si>
  <si>
    <t>Widely accessible</t>
  </si>
  <si>
    <t>Free-US $ 15/vial</t>
  </si>
  <si>
    <t>Germany</t>
  </si>
  <si>
    <t>US$ 28–32/vial</t>
  </si>
  <si>
    <t>United Kingdom</t>
  </si>
  <si>
    <t>Essen 4-dose</t>
  </si>
  <si>
    <t>US$ 50/coursed</t>
  </si>
  <si>
    <t>US$ 25–50/vial</t>
  </si>
  <si>
    <t>France</t>
  </si>
  <si>
    <t>Goa</t>
  </si>
  <si>
    <t>Italy</t>
  </si>
  <si>
    <t>South Korea</t>
  </si>
  <si>
    <t>Spain</t>
  </si>
  <si>
    <t>Argentina</t>
  </si>
  <si>
    <t>Poland</t>
  </si>
  <si>
    <t>Canada</t>
  </si>
  <si>
    <t>Ukraine</t>
  </si>
  <si>
    <t>N.A.</t>
  </si>
  <si>
    <t>Australia</t>
  </si>
  <si>
    <t>Taiwan</t>
  </si>
  <si>
    <t>Romania</t>
  </si>
  <si>
    <t>Chile</t>
  </si>
  <si>
    <t>Netherlands</t>
  </si>
  <si>
    <t>Belgium</t>
  </si>
  <si>
    <t>South Sudan</t>
  </si>
  <si>
    <t>Sweden</t>
  </si>
  <si>
    <t>Czech Republic (Czechia)</t>
  </si>
  <si>
    <t>Greece</t>
  </si>
  <si>
    <t>Papua New Guinea</t>
  </si>
  <si>
    <t>Portugal</t>
  </si>
  <si>
    <t>Hungary</t>
  </si>
  <si>
    <t>Belarus</t>
  </si>
  <si>
    <t>Austria</t>
  </si>
  <si>
    <t>Switzerland</t>
  </si>
  <si>
    <t>Hong Kong</t>
  </si>
  <si>
    <t>Serbia</t>
  </si>
  <si>
    <t>Paraguay</t>
  </si>
  <si>
    <t>Bulgaria</t>
  </si>
  <si>
    <t>Singapore</t>
  </si>
  <si>
    <t>Denmark</t>
  </si>
  <si>
    <t>Slovakia</t>
  </si>
  <si>
    <t>Finland</t>
  </si>
  <si>
    <t>Norway</t>
  </si>
  <si>
    <t>State of Palestine</t>
  </si>
  <si>
    <t>New Zealand</t>
  </si>
  <si>
    <t>Costa Rica</t>
  </si>
  <si>
    <t>Ireland</t>
  </si>
  <si>
    <t>Panama</t>
  </si>
  <si>
    <t>Croatia</t>
  </si>
  <si>
    <t>Moldova</t>
  </si>
  <si>
    <t>Uruguay</t>
  </si>
  <si>
    <t>Puerto Rico</t>
  </si>
  <si>
    <t>Bosnia and Herzegovina</t>
  </si>
  <si>
    <t>Albania</t>
  </si>
  <si>
    <t>Jamaica</t>
  </si>
  <si>
    <t>Lithuania</t>
  </si>
  <si>
    <t>Slovenia</t>
  </si>
  <si>
    <t>North Macedonia</t>
  </si>
  <si>
    <t>Latvia</t>
  </si>
  <si>
    <t>Trinidad and Tobago</t>
  </si>
  <si>
    <t>Timor-Leste</t>
  </si>
  <si>
    <t>Estonia</t>
  </si>
  <si>
    <t>Mauritius</t>
  </si>
  <si>
    <t>Cyprus</t>
  </si>
  <si>
    <t>Réunion</t>
  </si>
  <si>
    <t>Fiji</t>
  </si>
  <si>
    <t>Comoros</t>
  </si>
  <si>
    <t>Guyana</t>
  </si>
  <si>
    <t>Solomon Islands</t>
  </si>
  <si>
    <t>Macao</t>
  </si>
  <si>
    <t>Luxembourg</t>
  </si>
  <si>
    <t>Montenegro</t>
  </si>
  <si>
    <t>Suriname</t>
  </si>
  <si>
    <t>Cabo Verde</t>
  </si>
  <si>
    <t>Western Sahara</t>
  </si>
  <si>
    <t>Micronesia</t>
  </si>
  <si>
    <t>Malta</t>
  </si>
  <si>
    <t>Maldives</t>
  </si>
  <si>
    <t>Brunei</t>
  </si>
  <si>
    <t>Bahamas</t>
  </si>
  <si>
    <t>Belize</t>
  </si>
  <si>
    <t>Guadeloupe</t>
  </si>
  <si>
    <t>Iceland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</si>
  <si>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</si>
  <si>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</si>
  <si>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</si>
  <si>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</si>
  <si>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</si>
  <si>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</si>
  <si>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</si>
  <si>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&amp; Principe</t>
  </si>
  <si>
    <t>Samoa</t>
  </si>
  <si>
    <t>Curaçao</t>
  </si>
  <si>
    <t>Saint Lucia</t>
  </si>
  <si>
    <t>Guam</t>
  </si>
  <si>
    <t>Kiribati</t>
  </si>
  <si>
    <t>Grenada</t>
  </si>
  <si>
    <t>Tonga</t>
  </si>
  <si>
    <t>Seychelles</t>
  </si>
  <si>
    <t>Aruba</t>
  </si>
  <si>
    <t>St. Vincent &amp; Grenadines</t>
  </si>
  <si>
    <t>U.S. Virgin Islands</t>
  </si>
  <si>
    <t>Isle of Man</t>
  </si>
  <si>
    <t>Andorra</t>
  </si>
  <si>
    <t>Dominica</t>
  </si>
  <si>
    <t>Cayman Islands</t>
  </si>
  <si>
    <t>Bermuda</t>
  </si>
  <si>
    <t>Greenland</t>
  </si>
  <si>
    <t>Faeroe Islands</t>
  </si>
  <si>
    <t>Northern Mariana Islands</t>
  </si>
  <si>
    <t>Saint Kitts &amp; Nevis</t>
  </si>
  <si>
    <t>Turks and Caicos</t>
  </si>
  <si>
    <t>Sint Maarten</t>
  </si>
  <si>
    <t>American Samoa</t>
  </si>
  <si>
    <t>Marshall Islands</t>
  </si>
  <si>
    <t>Liechtenstein</t>
  </si>
  <si>
    <t>Monaco</t>
  </si>
  <si>
    <t>San Marino</t>
  </si>
  <si>
    <t>Gibraltar</t>
  </si>
  <si>
    <t>Saint Martin</t>
  </si>
  <si>
    <t>British Virgin Islands</t>
  </si>
  <si>
    <t>Caribbean Netherlands</t>
  </si>
  <si>
    <t>Palau</t>
  </si>
  <si>
    <t>Cook Islands</t>
  </si>
  <si>
    <t>Anguilla</t>
  </si>
  <si>
    <t>Nauru</t>
  </si>
  <si>
    <t>Wallis &amp; Futuna</t>
  </si>
  <si>
    <t>Tuvalu</t>
  </si>
  <si>
    <t>Saint Barthelemy</t>
  </si>
  <si>
    <t>Saint Pierre &amp; Miquelon</t>
  </si>
  <si>
    <t>Saint Helena</t>
  </si>
  <si>
    <t>Montserrat</t>
  </si>
  <si>
    <t>Falkland Islands</t>
  </si>
  <si>
    <t>Niue</t>
  </si>
  <si>
    <t>Tokelau</t>
  </si>
  <si>
    <t>Holy See</t>
  </si>
  <si>
    <t>Country Characteristics</t>
  </si>
  <si>
    <t>Baseline PEP and VIAL Demand</t>
  </si>
  <si>
    <t>Year 5 PEP and VIAL Demand</t>
  </si>
  <si>
    <t>5-Year Total</t>
  </si>
  <si>
    <t>Phase I Countries</t>
  </si>
  <si>
    <t>Vaccine Accessibility Goal</t>
  </si>
  <si>
    <t>HAQ (2019)</t>
  </si>
  <si>
    <t>PEP Demand at Year 5</t>
  </si>
  <si>
    <t>ID Vials Needed at Year 5 (Assume 3.5 people per ID Vial)</t>
  </si>
  <si>
    <t>Total</t>
  </si>
  <si>
    <t>Phase II Country</t>
  </si>
  <si>
    <t>Year 5 PEP Rate</t>
  </si>
  <si>
    <t>Year 5 PEP Demand (People)</t>
  </si>
  <si>
    <t>Year 5 ID Vials Needed (Assume 3.5 people per ID Vial)</t>
  </si>
  <si>
    <t>Cumulative 5-year VIAL Demand (assume linear demand increase)</t>
  </si>
  <si>
    <t>Widely Accessible</t>
  </si>
  <si>
    <t>TOTAL</t>
  </si>
  <si>
    <t>Phase III Country</t>
  </si>
  <si>
    <t>YEAR 1: Total Vials needed with 25% Buffer</t>
  </si>
  <si>
    <t>YEAR 5: Total Vials needed with 25%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</si>
</sst>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  <numFmt numFmtId="168" formatCode="0.0%"/>
    <numFmt numFmtId="169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6"/>
      <color theme="0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color rgb="FF222222"/>
      <name val="Arial"/>
      <family val="2"/>
    </font>
    <font>
      <b/>
      <sz val="8"/>
      <color rgb="FF222222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sz val="9"/>
      <color rgb="FF222222"/>
      <name val="Arial"/>
      <family val="2"/>
    </font>
    <font>
      <sz val="7.5"/>
      <color rgb="FF222222"/>
      <name val="Arial"/>
      <family val="2"/>
    </font>
    <font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Georgia"/>
      <family val="1"/>
    </font>
    <font>
      <b/>
      <sz val="11"/>
      <color theme="0" tint="-4.9989318521683403E-2"/>
      <name val="Arial"/>
      <family val="2"/>
    </font>
    <font>
      <b/>
      <sz val="11"/>
      <color rgb="FF222222"/>
      <name val="Noto Sans"/>
      <family val="2"/>
    </font>
    <font>
      <sz val="11"/>
      <color rgb="FF222222"/>
      <name val="Noto Sans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4"/>
      <color rgb="FF2222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00">
    <xf numFmtId="0" fontId="0" fillId="0" borderId="0" xfId="0"/>
    <xf numFmtId="0" fontId="0" fillId="2" borderId="0" xfId="0" applyFill="1"/>
    <xf numFmtId="0" fontId="3" fillId="2" borderId="0" xfId="0" applyFont="1" applyFill="1"/>
    <xf numFmtId="43" fontId="0" fillId="2" borderId="0" xfId="1" applyFont="1" applyFill="1"/>
    <xf numFmtId="0" fontId="0" fillId="3" borderId="0" xfId="0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3" borderId="0" xfId="0" applyFont="1" applyFill="1"/>
    <xf numFmtId="43" fontId="0" fillId="3" borderId="0" xfId="1" applyFont="1" applyFill="1"/>
    <xf numFmtId="0" fontId="9" fillId="4" borderId="0" xfId="0" applyFont="1" applyFill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0" fillId="5" borderId="6" xfId="0" applyFill="1" applyBorder="1"/>
    <xf numFmtId="0" fontId="9" fillId="4" borderId="8" xfId="0" applyFont="1" applyFill="1" applyBorder="1" applyAlignment="1">
      <alignment horizontal="center" vertical="center" wrapText="1"/>
    </xf>
    <xf numFmtId="0" fontId="0" fillId="5" borderId="0" xfId="0" applyFill="1"/>
    <xf numFmtId="0" fontId="9" fillId="4" borderId="6" xfId="0" applyFont="1" applyFill="1" applyBorder="1" applyAlignment="1">
      <alignment horizontal="center" vertical="center" wrapText="1"/>
    </xf>
    <xf numFmtId="0" fontId="4" fillId="5" borderId="6" xfId="0" applyFont="1" applyFill="1" applyBorder="1"/>
    <xf numFmtId="0" fontId="11" fillId="5" borderId="13" xfId="0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" fontId="2" fillId="6" borderId="0" xfId="0" applyNumberFormat="1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43" fontId="12" fillId="3" borderId="2" xfId="1" applyFont="1" applyFill="1" applyBorder="1" applyAlignment="1">
      <alignment horizontal="center" vertical="center" wrapText="1"/>
    </xf>
    <xf numFmtId="43" fontId="12" fillId="3" borderId="3" xfId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3" borderId="15" xfId="0" applyFont="1" applyFill="1" applyBorder="1"/>
    <xf numFmtId="0" fontId="9" fillId="7" borderId="1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165" fontId="13" fillId="4" borderId="9" xfId="1" applyNumberFormat="1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0" fillId="5" borderId="4" xfId="0" applyFill="1" applyBorder="1"/>
    <xf numFmtId="166" fontId="0" fillId="6" borderId="2" xfId="1" applyNumberFormat="1" applyFont="1" applyFill="1" applyBorder="1"/>
    <xf numFmtId="167" fontId="0" fillId="6" borderId="2" xfId="1" applyNumberFormat="1" applyFont="1" applyFill="1" applyBorder="1"/>
    <xf numFmtId="167" fontId="0" fillId="6" borderId="3" xfId="1" applyNumberFormat="1" applyFont="1" applyFill="1" applyBorder="1"/>
    <xf numFmtId="0" fontId="0" fillId="3" borderId="2" xfId="0" applyFill="1" applyBorder="1"/>
    <xf numFmtId="43" fontId="0" fillId="3" borderId="2" xfId="1" applyFont="1" applyFill="1" applyBorder="1"/>
    <xf numFmtId="43" fontId="0" fillId="3" borderId="3" xfId="1" applyFont="1" applyFill="1" applyBorder="1"/>
    <xf numFmtId="0" fontId="0" fillId="8" borderId="3" xfId="0" applyFill="1" applyBorder="1"/>
    <xf numFmtId="0" fontId="0" fillId="8" borderId="0" xfId="0" applyFill="1"/>
    <xf numFmtId="9" fontId="0" fillId="8" borderId="0" xfId="2" applyFont="1" applyFill="1" applyBorder="1"/>
    <xf numFmtId="165" fontId="0" fillId="8" borderId="0" xfId="1" applyNumberFormat="1" applyFont="1" applyFill="1" applyBorder="1"/>
    <xf numFmtId="0" fontId="13" fillId="4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0" fillId="5" borderId="8" xfId="0" applyFill="1" applyBorder="1"/>
    <xf numFmtId="166" fontId="0" fillId="6" borderId="0" xfId="1" applyNumberFormat="1" applyFont="1" applyFill="1" applyBorder="1"/>
    <xf numFmtId="167" fontId="0" fillId="6" borderId="0" xfId="1" applyNumberFormat="1" applyFont="1" applyFill="1" applyBorder="1"/>
    <xf numFmtId="167" fontId="0" fillId="6" borderId="7" xfId="1" applyNumberFormat="1" applyFont="1" applyFill="1" applyBorder="1"/>
    <xf numFmtId="43" fontId="0" fillId="3" borderId="0" xfId="1" applyFont="1" applyFill="1" applyBorder="1"/>
    <xf numFmtId="43" fontId="0" fillId="3" borderId="7" xfId="1" applyFont="1" applyFill="1" applyBorder="1"/>
    <xf numFmtId="0" fontId="0" fillId="8" borderId="7" xfId="0" applyFill="1" applyBorder="1"/>
    <xf numFmtId="0" fontId="9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3" fillId="9" borderId="19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166" fontId="0" fillId="3" borderId="0" xfId="1" applyNumberFormat="1" applyFont="1" applyFill="1" applyBorder="1"/>
    <xf numFmtId="0" fontId="13" fillId="9" borderId="0" xfId="0" applyFont="1" applyFill="1" applyAlignment="1">
      <alignment horizontal="center" vertical="center" wrapText="1"/>
    </xf>
    <xf numFmtId="166" fontId="0" fillId="3" borderId="7" xfId="1" applyNumberFormat="1" applyFont="1" applyFill="1" applyBorder="1"/>
    <xf numFmtId="0" fontId="9" fillId="9" borderId="8" xfId="0" applyFont="1" applyFill="1" applyBorder="1" applyAlignment="1">
      <alignment horizontal="center" vertical="center" wrapText="1"/>
    </xf>
    <xf numFmtId="164" fontId="0" fillId="8" borderId="7" xfId="0" applyNumberFormat="1" applyFill="1" applyBorder="1"/>
    <xf numFmtId="164" fontId="0" fillId="8" borderId="0" xfId="0" applyNumberForma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9" fillId="9" borderId="1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0" fillId="5" borderId="12" xfId="0" applyFill="1" applyBorder="1"/>
    <xf numFmtId="166" fontId="0" fillId="6" borderId="6" xfId="1" applyNumberFormat="1" applyFont="1" applyFill="1" applyBorder="1"/>
    <xf numFmtId="167" fontId="0" fillId="6" borderId="6" xfId="1" applyNumberFormat="1" applyFont="1" applyFill="1" applyBorder="1"/>
    <xf numFmtId="167" fontId="0" fillId="6" borderId="11" xfId="1" applyNumberFormat="1" applyFont="1" applyFill="1" applyBorder="1"/>
    <xf numFmtId="0" fontId="0" fillId="3" borderId="6" xfId="0" applyFill="1" applyBorder="1"/>
    <xf numFmtId="43" fontId="0" fillId="3" borderId="6" xfId="1" applyFont="1" applyFill="1" applyBorder="1"/>
    <xf numFmtId="43" fontId="0" fillId="3" borderId="11" xfId="1" applyFont="1" applyFill="1" applyBorder="1"/>
    <xf numFmtId="0" fontId="0" fillId="8" borderId="11" xfId="0" applyFill="1" applyBorder="1"/>
    <xf numFmtId="165" fontId="0" fillId="3" borderId="0" xfId="1" applyNumberFormat="1" applyFont="1" applyFill="1"/>
    <xf numFmtId="0" fontId="8" fillId="0" borderId="2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20" xfId="0" applyFont="1" applyBorder="1"/>
    <xf numFmtId="0" fontId="12" fillId="0" borderId="20" xfId="0" applyFont="1" applyBorder="1" applyAlignment="1">
      <alignment horizontal="center" vertical="center" wrapText="1"/>
    </xf>
    <xf numFmtId="0" fontId="12" fillId="0" borderId="0" xfId="0" applyFont="1"/>
    <xf numFmtId="0" fontId="16" fillId="0" borderId="20" xfId="3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165" fontId="0" fillId="0" borderId="20" xfId="1" applyNumberFormat="1" applyFont="1" applyBorder="1"/>
    <xf numFmtId="168" fontId="0" fillId="0" borderId="20" xfId="2" applyNumberFormat="1" applyFont="1" applyBorder="1"/>
    <xf numFmtId="165" fontId="0" fillId="0" borderId="0" xfId="1" applyNumberFormat="1" applyFont="1"/>
    <xf numFmtId="0" fontId="4" fillId="0" borderId="20" xfId="0" applyFont="1" applyBorder="1"/>
    <xf numFmtId="9" fontId="4" fillId="0" borderId="20" xfId="0" applyNumberFormat="1" applyFont="1" applyBorder="1"/>
    <xf numFmtId="165" fontId="4" fillId="0" borderId="20" xfId="0" applyNumberFormat="1" applyFont="1" applyBorder="1"/>
    <xf numFmtId="165" fontId="0" fillId="0" borderId="0" xfId="0" applyNumberFormat="1"/>
    <xf numFmtId="165" fontId="0" fillId="0" borderId="0" xfId="1" applyNumberFormat="1" applyFont="1" applyBorder="1"/>
    <xf numFmtId="0" fontId="19" fillId="11" borderId="1" xfId="0" applyFont="1" applyFill="1" applyBorder="1"/>
    <xf numFmtId="0" fontId="0" fillId="12" borderId="4" xfId="0" applyFill="1" applyBorder="1"/>
    <xf numFmtId="0" fontId="0" fillId="12" borderId="8" xfId="0" applyFill="1" applyBorder="1"/>
    <xf numFmtId="0" fontId="0" fillId="13" borderId="8" xfId="0" applyFill="1" applyBorder="1"/>
    <xf numFmtId="0" fontId="16" fillId="9" borderId="21" xfId="3" applyFill="1" applyBorder="1" applyAlignment="1">
      <alignment horizontal="left" vertical="top" wrapText="1"/>
    </xf>
    <xf numFmtId="3" fontId="20" fillId="9" borderId="22" xfId="0" applyNumberFormat="1" applyFont="1" applyFill="1" applyBorder="1" applyAlignment="1">
      <alignment vertical="top" wrapText="1"/>
    </xf>
    <xf numFmtId="10" fontId="21" fillId="9" borderId="22" xfId="0" applyNumberFormat="1" applyFont="1" applyFill="1" applyBorder="1" applyAlignment="1">
      <alignment vertical="top" wrapText="1"/>
    </xf>
    <xf numFmtId="3" fontId="21" fillId="9" borderId="22" xfId="0" applyNumberFormat="1" applyFont="1" applyFill="1" applyBorder="1" applyAlignment="1">
      <alignment vertical="top" wrapText="1"/>
    </xf>
    <xf numFmtId="0" fontId="21" fillId="9" borderId="22" xfId="0" applyFont="1" applyFill="1" applyBorder="1" applyAlignment="1">
      <alignment vertical="top" wrapText="1"/>
    </xf>
    <xf numFmtId="9" fontId="21" fillId="9" borderId="22" xfId="0" applyNumberFormat="1" applyFont="1" applyFill="1" applyBorder="1" applyAlignment="1">
      <alignment vertical="top" wrapText="1"/>
    </xf>
    <xf numFmtId="10" fontId="21" fillId="9" borderId="23" xfId="0" applyNumberFormat="1" applyFont="1" applyFill="1" applyBorder="1" applyAlignment="1">
      <alignment vertical="top" wrapText="1"/>
    </xf>
    <xf numFmtId="168" fontId="16" fillId="0" borderId="20" xfId="3" applyNumberFormat="1" applyBorder="1"/>
    <xf numFmtId="165" fontId="16" fillId="0" borderId="20" xfId="3" applyNumberFormat="1" applyBorder="1"/>
    <xf numFmtId="168" fontId="0" fillId="0" borderId="20" xfId="0" applyNumberFormat="1" applyBorder="1"/>
    <xf numFmtId="165" fontId="0" fillId="0" borderId="20" xfId="0" applyNumberFormat="1" applyBorder="1"/>
    <xf numFmtId="43" fontId="0" fillId="0" borderId="20" xfId="1" applyFont="1" applyBorder="1"/>
    <xf numFmtId="167" fontId="0" fillId="0" borderId="20" xfId="1" applyNumberFormat="1" applyFont="1" applyBorder="1"/>
    <xf numFmtId="0" fontId="8" fillId="5" borderId="4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168" fontId="0" fillId="5" borderId="0" xfId="0" applyNumberForma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8" fontId="0" fillId="5" borderId="0" xfId="2" applyNumberFormat="1" applyFont="1" applyFill="1" applyAlignment="1">
      <alignment horizontal="center"/>
    </xf>
    <xf numFmtId="165" fontId="0" fillId="5" borderId="0" xfId="1" applyNumberFormat="1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9" fontId="22" fillId="5" borderId="0" xfId="0" applyNumberFormat="1" applyFont="1" applyFill="1" applyAlignment="1">
      <alignment horizontal="center"/>
    </xf>
    <xf numFmtId="1" fontId="22" fillId="5" borderId="0" xfId="0" applyNumberFormat="1" applyFont="1" applyFill="1" applyAlignment="1">
      <alignment horizontal="center"/>
    </xf>
    <xf numFmtId="0" fontId="21" fillId="4" borderId="21" xfId="0" applyFont="1" applyFill="1" applyBorder="1" applyAlignment="1">
      <alignment vertical="top" wrapText="1"/>
    </xf>
    <xf numFmtId="0" fontId="16" fillId="4" borderId="22" xfId="3" applyFill="1" applyBorder="1" applyAlignment="1">
      <alignment horizontal="left" vertical="top" wrapText="1"/>
    </xf>
    <xf numFmtId="3" fontId="20" fillId="4" borderId="22" xfId="0" applyNumberFormat="1" applyFont="1" applyFill="1" applyBorder="1" applyAlignment="1">
      <alignment vertical="top" wrapText="1"/>
    </xf>
    <xf numFmtId="10" fontId="21" fillId="4" borderId="22" xfId="0" applyNumberFormat="1" applyFont="1" applyFill="1" applyBorder="1" applyAlignment="1">
      <alignment vertical="top" wrapText="1"/>
    </xf>
    <xf numFmtId="3" fontId="21" fillId="4" borderId="22" xfId="0" applyNumberFormat="1" applyFont="1" applyFill="1" applyBorder="1" applyAlignment="1">
      <alignment vertical="top" wrapText="1"/>
    </xf>
    <xf numFmtId="0" fontId="21" fillId="4" borderId="22" xfId="0" applyFont="1" applyFill="1" applyBorder="1" applyAlignment="1">
      <alignment vertical="top" wrapText="1"/>
    </xf>
    <xf numFmtId="9" fontId="21" fillId="4" borderId="22" xfId="0" applyNumberFormat="1" applyFont="1" applyFill="1" applyBorder="1" applyAlignment="1">
      <alignment vertical="top" wrapText="1"/>
    </xf>
    <xf numFmtId="165" fontId="0" fillId="5" borderId="20" xfId="1" applyNumberFormat="1" applyFont="1" applyFill="1" applyBorder="1"/>
    <xf numFmtId="0" fontId="19" fillId="11" borderId="1" xfId="0" applyFont="1" applyFill="1" applyBorder="1" applyAlignment="1">
      <alignment horizontal="center"/>
    </xf>
    <xf numFmtId="0" fontId="19" fillId="11" borderId="5" xfId="0" applyFont="1" applyFill="1" applyBorder="1" applyAlignment="1">
      <alignment horizontal="center"/>
    </xf>
    <xf numFmtId="167" fontId="19" fillId="11" borderId="10" xfId="1" applyNumberFormat="1" applyFont="1" applyFill="1" applyBorder="1" applyAlignment="1">
      <alignment horizontal="center"/>
    </xf>
    <xf numFmtId="168" fontId="0" fillId="12" borderId="8" xfId="0" applyNumberFormat="1" applyFill="1" applyBorder="1" applyAlignment="1">
      <alignment horizontal="center"/>
    </xf>
    <xf numFmtId="165" fontId="0" fillId="12" borderId="8" xfId="1" applyNumberFormat="1" applyFont="1" applyFill="1" applyBorder="1" applyAlignment="1">
      <alignment horizontal="center"/>
    </xf>
    <xf numFmtId="169" fontId="23" fillId="12" borderId="8" xfId="0" applyNumberFormat="1" applyFont="1" applyFill="1" applyBorder="1" applyAlignment="1">
      <alignment horizontal="center"/>
    </xf>
    <xf numFmtId="1" fontId="23" fillId="12" borderId="8" xfId="0" applyNumberFormat="1" applyFont="1" applyFill="1" applyBorder="1" applyAlignment="1">
      <alignment horizontal="center"/>
    </xf>
    <xf numFmtId="0" fontId="21" fillId="9" borderId="21" xfId="0" applyFont="1" applyFill="1" applyBorder="1" applyAlignment="1">
      <alignment vertical="top" wrapText="1"/>
    </xf>
    <xf numFmtId="0" fontId="16" fillId="9" borderId="22" xfId="3" applyFill="1" applyBorder="1" applyAlignment="1">
      <alignment horizontal="left" vertical="top" wrapText="1"/>
    </xf>
    <xf numFmtId="0" fontId="19" fillId="11" borderId="10" xfId="0" applyFont="1" applyFill="1" applyBorder="1" applyAlignment="1">
      <alignment horizontal="center"/>
    </xf>
    <xf numFmtId="168" fontId="0" fillId="12" borderId="0" xfId="0" applyNumberFormat="1" applyFill="1" applyAlignment="1">
      <alignment horizontal="center"/>
    </xf>
    <xf numFmtId="165" fontId="0" fillId="14" borderId="0" xfId="1" applyNumberFormat="1" applyFont="1" applyFill="1" applyBorder="1" applyAlignment="1">
      <alignment horizontal="center"/>
    </xf>
    <xf numFmtId="168" fontId="0" fillId="14" borderId="0" xfId="0" applyNumberFormat="1" applyFill="1" applyAlignment="1">
      <alignment horizontal="center"/>
    </xf>
    <xf numFmtId="165" fontId="0" fillId="12" borderId="0" xfId="1" applyNumberFormat="1" applyFont="1" applyFill="1" applyBorder="1" applyAlignment="1">
      <alignment horizontal="center"/>
    </xf>
    <xf numFmtId="164" fontId="24" fillId="12" borderId="0" xfId="0" applyNumberFormat="1" applyFont="1" applyFill="1" applyAlignment="1">
      <alignment horizontal="center"/>
    </xf>
    <xf numFmtId="1" fontId="24" fillId="12" borderId="0" xfId="0" applyNumberFormat="1" applyFont="1" applyFill="1" applyAlignment="1">
      <alignment horizontal="center"/>
    </xf>
    <xf numFmtId="165" fontId="0" fillId="12" borderId="0" xfId="1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19" fillId="11" borderId="2" xfId="0" applyFont="1" applyFill="1" applyBorder="1" applyAlignment="1">
      <alignment horizontal="center"/>
    </xf>
    <xf numFmtId="0" fontId="19" fillId="11" borderId="0" xfId="0" applyFont="1" applyFill="1" applyAlignment="1">
      <alignment horizontal="center"/>
    </xf>
    <xf numFmtId="0" fontId="19" fillId="11" borderId="6" xfId="0" applyFont="1" applyFill="1" applyBorder="1" applyAlignment="1">
      <alignment horizontal="center"/>
    </xf>
    <xf numFmtId="169" fontId="24" fillId="12" borderId="0" xfId="0" applyNumberFormat="1" applyFont="1" applyFill="1" applyAlignment="1">
      <alignment horizontal="center"/>
    </xf>
    <xf numFmtId="168" fontId="17" fillId="0" borderId="20" xfId="2" applyNumberFormat="1" applyFont="1" applyFill="1" applyBorder="1"/>
    <xf numFmtId="168" fontId="0" fillId="0" borderId="0" xfId="2" applyNumberFormat="1" applyFont="1" applyBorder="1"/>
    <xf numFmtId="165" fontId="17" fillId="0" borderId="20" xfId="1" applyNumberFormat="1" applyFont="1" applyBorder="1"/>
    <xf numFmtId="0" fontId="18" fillId="15" borderId="20" xfId="0" applyFont="1" applyFill="1" applyBorder="1" applyAlignment="1">
      <alignment horizontal="left" vertical="center" wrapText="1"/>
    </xf>
    <xf numFmtId="164" fontId="18" fillId="0" borderId="20" xfId="0" applyNumberFormat="1" applyFont="1" applyBorder="1" applyAlignment="1">
      <alignment horizontal="left" vertical="center" wrapText="1"/>
    </xf>
    <xf numFmtId="0" fontId="19" fillId="16" borderId="4" xfId="0" applyFont="1" applyFill="1" applyBorder="1" applyAlignment="1">
      <alignment horizontal="center"/>
    </xf>
    <xf numFmtId="0" fontId="19" fillId="16" borderId="8" xfId="0" applyFont="1" applyFill="1" applyBorder="1" applyAlignment="1">
      <alignment horizontal="center"/>
    </xf>
    <xf numFmtId="167" fontId="19" fillId="16" borderId="12" xfId="1" applyNumberFormat="1" applyFont="1" applyFill="1" applyBorder="1" applyAlignment="1">
      <alignment horizontal="center"/>
    </xf>
    <xf numFmtId="1" fontId="0" fillId="12" borderId="8" xfId="0" applyNumberFormat="1" applyFill="1" applyBorder="1" applyAlignment="1">
      <alignment horizontal="center"/>
    </xf>
    <xf numFmtId="0" fontId="19" fillId="16" borderId="2" xfId="0" applyFont="1" applyFill="1" applyBorder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6" borderId="6" xfId="0" applyFont="1" applyFill="1" applyBorder="1" applyAlignment="1">
      <alignment horizontal="center"/>
    </xf>
    <xf numFmtId="165" fontId="16" fillId="0" borderId="0" xfId="3" applyNumberFormat="1" applyBorder="1"/>
    <xf numFmtId="165" fontId="16" fillId="0" borderId="20" xfId="3" applyNumberFormat="1" applyFill="1" applyBorder="1"/>
    <xf numFmtId="165" fontId="25" fillId="14" borderId="0" xfId="1" applyNumberFormat="1" applyFont="1" applyFill="1" applyBorder="1" applyAlignment="1">
      <alignment horizontal="center"/>
    </xf>
    <xf numFmtId="165" fontId="25" fillId="5" borderId="20" xfId="1" applyNumberFormat="1" applyFont="1" applyFill="1" applyBorder="1"/>
    <xf numFmtId="0" fontId="0" fillId="0" borderId="20" xfId="0" applyBorder="1"/>
    <xf numFmtId="165" fontId="0" fillId="14" borderId="20" xfId="1" applyNumberFormat="1" applyFont="1" applyFill="1" applyBorder="1" applyAlignment="1">
      <alignment horizontal="center"/>
    </xf>
    <xf numFmtId="0" fontId="21" fillId="4" borderId="24" xfId="0" applyFont="1" applyFill="1" applyBorder="1" applyAlignment="1">
      <alignment vertical="top" wrapText="1"/>
    </xf>
    <xf numFmtId="0" fontId="16" fillId="4" borderId="25" xfId="3" applyFill="1" applyBorder="1" applyAlignment="1">
      <alignment horizontal="left" vertical="top" wrapText="1"/>
    </xf>
    <xf numFmtId="0" fontId="20" fillId="4" borderId="25" xfId="0" applyFont="1" applyFill="1" applyBorder="1" applyAlignment="1">
      <alignment vertical="top" wrapText="1"/>
    </xf>
    <xf numFmtId="10" fontId="21" fillId="4" borderId="25" xfId="0" applyNumberFormat="1" applyFont="1" applyFill="1" applyBorder="1" applyAlignment="1">
      <alignment vertical="top" wrapText="1"/>
    </xf>
    <xf numFmtId="0" fontId="21" fillId="4" borderId="25" xfId="0" applyFont="1" applyFill="1" applyBorder="1" applyAlignment="1">
      <alignment vertical="top" wrapText="1"/>
    </xf>
    <xf numFmtId="3" fontId="21" fillId="4" borderId="25" xfId="0" applyNumberFormat="1" applyFont="1" applyFill="1" applyBorder="1" applyAlignment="1">
      <alignment vertical="top" wrapTex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29" xfId="0" applyFont="1" applyFill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0" fillId="8" borderId="30" xfId="0" applyFill="1" applyBorder="1"/>
    <xf numFmtId="0" fontId="4" fillId="8" borderId="20" xfId="0" applyFont="1" applyFill="1" applyBorder="1"/>
    <xf numFmtId="0" fontId="0" fillId="8" borderId="20" xfId="0" applyFill="1" applyBorder="1"/>
    <xf numFmtId="9" fontId="0" fillId="8" borderId="20" xfId="2" applyFont="1" applyFill="1" applyBorder="1"/>
    <xf numFmtId="165" fontId="0" fillId="8" borderId="31" xfId="1" applyNumberFormat="1" applyFont="1" applyFill="1" applyBorder="1"/>
    <xf numFmtId="165" fontId="0" fillId="15" borderId="30" xfId="1" applyNumberFormat="1" applyFont="1" applyFill="1" applyBorder="1"/>
    <xf numFmtId="165" fontId="0" fillId="15" borderId="20" xfId="1" applyNumberFormat="1" applyFont="1" applyFill="1" applyBorder="1"/>
    <xf numFmtId="165" fontId="0" fillId="15" borderId="31" xfId="1" applyNumberFormat="1" applyFont="1" applyFill="1" applyBorder="1"/>
    <xf numFmtId="165" fontId="0" fillId="8" borderId="30" xfId="1" applyNumberFormat="1" applyFont="1" applyFill="1" applyBorder="1"/>
    <xf numFmtId="165" fontId="0" fillId="8" borderId="20" xfId="1" applyNumberFormat="1" applyFont="1" applyFill="1" applyBorder="1"/>
    <xf numFmtId="165" fontId="0" fillId="15" borderId="29" xfId="1" applyNumberFormat="1" applyFont="1" applyFill="1" applyBorder="1"/>
    <xf numFmtId="165" fontId="4" fillId="0" borderId="0" xfId="1" applyNumberFormat="1" applyFont="1"/>
    <xf numFmtId="164" fontId="0" fillId="8" borderId="20" xfId="0" applyNumberFormat="1" applyFill="1" applyBorder="1"/>
    <xf numFmtId="165" fontId="0" fillId="15" borderId="34" xfId="1" applyNumberFormat="1" applyFont="1" applyFill="1" applyBorder="1"/>
    <xf numFmtId="165" fontId="0" fillId="15" borderId="35" xfId="1" applyNumberFormat="1" applyFont="1" applyFill="1" applyBorder="1"/>
    <xf numFmtId="165" fontId="0" fillId="15" borderId="36" xfId="1" applyNumberFormat="1" applyFont="1" applyFill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12" fillId="0" borderId="13" xfId="0" applyFont="1" applyBorder="1"/>
    <xf numFmtId="0" fontId="12" fillId="0" borderId="15" xfId="0" applyFont="1" applyBorder="1"/>
    <xf numFmtId="0" fontId="12" fillId="0" borderId="14" xfId="0" applyFont="1" applyBorder="1"/>
    <xf numFmtId="165" fontId="12" fillId="0" borderId="14" xfId="1" applyNumberFormat="1" applyFont="1" applyBorder="1"/>
    <xf numFmtId="9" fontId="12" fillId="0" borderId="14" xfId="0" applyNumberFormat="1" applyFont="1" applyBorder="1"/>
    <xf numFmtId="165" fontId="12" fillId="0" borderId="16" xfId="0" applyNumberFormat="1" applyFont="1" applyBorder="1"/>
    <xf numFmtId="165" fontId="12" fillId="0" borderId="15" xfId="0" applyNumberFormat="1" applyFont="1" applyBorder="1"/>
    <xf numFmtId="165" fontId="12" fillId="0" borderId="14" xfId="0" applyNumberFormat="1" applyFont="1" applyBorder="1"/>
    <xf numFmtId="165" fontId="12" fillId="0" borderId="13" xfId="0" applyNumberFormat="1" applyFont="1" applyBorder="1"/>
    <xf numFmtId="0" fontId="26" fillId="4" borderId="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165" fontId="0" fillId="8" borderId="7" xfId="1" applyNumberFormat="1" applyFont="1" applyFill="1" applyBorder="1"/>
    <xf numFmtId="165" fontId="0" fillId="15" borderId="0" xfId="1" applyNumberFormat="1" applyFont="1" applyFill="1" applyBorder="1"/>
    <xf numFmtId="165" fontId="0" fillId="15" borderId="7" xfId="1" applyNumberFormat="1" applyFont="1" applyFill="1" applyBorder="1"/>
    <xf numFmtId="165" fontId="0" fillId="8" borderId="5" xfId="1" applyNumberFormat="1" applyFont="1" applyFill="1" applyBorder="1"/>
    <xf numFmtId="165" fontId="0" fillId="15" borderId="5" xfId="1" applyNumberFormat="1" applyFont="1" applyFill="1" applyBorder="1"/>
    <xf numFmtId="0" fontId="9" fillId="0" borderId="38" xfId="0" applyFont="1" applyBorder="1" applyAlignment="1">
      <alignment horizontal="center" vertical="center" wrapText="1"/>
    </xf>
    <xf numFmtId="0" fontId="0" fillId="8" borderId="6" xfId="0" applyFill="1" applyBorder="1"/>
    <xf numFmtId="9" fontId="0" fillId="8" borderId="6" xfId="2" applyFont="1" applyFill="1" applyBorder="1"/>
    <xf numFmtId="165" fontId="0" fillId="8" borderId="11" xfId="1" applyNumberFormat="1" applyFont="1" applyFill="1" applyBorder="1"/>
    <xf numFmtId="165" fontId="0" fillId="15" borderId="6" xfId="1" applyNumberFormat="1" applyFont="1" applyFill="1" applyBorder="1"/>
    <xf numFmtId="165" fontId="0" fillId="15" borderId="11" xfId="1" applyNumberFormat="1" applyFont="1" applyFill="1" applyBorder="1"/>
    <xf numFmtId="165" fontId="0" fillId="8" borderId="10" xfId="1" applyNumberFormat="1" applyFont="1" applyFill="1" applyBorder="1"/>
    <xf numFmtId="165" fontId="0" fillId="8" borderId="6" xfId="1" applyNumberFormat="1" applyFont="1" applyFill="1" applyBorder="1"/>
    <xf numFmtId="165" fontId="0" fillId="15" borderId="10" xfId="1" applyNumberFormat="1" applyFont="1" applyFill="1" applyBorder="1"/>
    <xf numFmtId="0" fontId="7" fillId="3" borderId="0" xfId="0" applyFont="1" applyFill="1"/>
    <xf numFmtId="9" fontId="7" fillId="3" borderId="0" xfId="2" applyFont="1" applyFill="1"/>
    <xf numFmtId="165" fontId="7" fillId="3" borderId="0" xfId="1" applyNumberFormat="1" applyFont="1" applyFill="1"/>
    <xf numFmtId="165" fontId="7" fillId="3" borderId="0" xfId="0" applyNumberFormat="1" applyFont="1" applyFill="1"/>
    <xf numFmtId="0" fontId="7" fillId="0" borderId="0" xfId="0" applyFont="1"/>
    <xf numFmtId="0" fontId="26" fillId="4" borderId="15" xfId="0" applyFont="1" applyFill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0" fillId="8" borderId="5" xfId="0" applyFill="1" applyBorder="1"/>
    <xf numFmtId="9" fontId="0" fillId="8" borderId="7" xfId="2" applyFont="1" applyFill="1" applyBorder="1"/>
    <xf numFmtId="165" fontId="0" fillId="15" borderId="1" xfId="1" applyNumberFormat="1" applyFont="1" applyFill="1" applyBorder="1"/>
    <xf numFmtId="165" fontId="0" fillId="15" borderId="2" xfId="1" applyNumberFormat="1" applyFont="1" applyFill="1" applyBorder="1"/>
    <xf numFmtId="165" fontId="0" fillId="15" borderId="3" xfId="1" applyNumberFormat="1" applyFont="1" applyFill="1" applyBorder="1"/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0" fillId="8" borderId="10" xfId="0" applyFill="1" applyBorder="1"/>
    <xf numFmtId="9" fontId="0" fillId="8" borderId="11" xfId="2" applyFont="1" applyFill="1" applyBorder="1"/>
    <xf numFmtId="168" fontId="7" fillId="3" borderId="0" xfId="2" applyNumberFormat="1" applyFont="1" applyFill="1"/>
    <xf numFmtId="0" fontId="9" fillId="5" borderId="0" xfId="0" applyFont="1" applyFill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HAQ by PEP Seeking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162368582752902"/>
                  <c:y val="-4.18483114041591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'[1]Gavi Simplified'!$E$2:$E$26</c:f>
              <c:numCache>
                <c:formatCode>General</c:formatCode>
                <c:ptCount val="25"/>
                <c:pt idx="0">
                  <c:v>55.6</c:v>
                </c:pt>
                <c:pt idx="1">
                  <c:v>33.700000000000003</c:v>
                </c:pt>
                <c:pt idx="2">
                  <c:v>34.299999999999997</c:v>
                </c:pt>
                <c:pt idx="3">
                  <c:v>33.4</c:v>
                </c:pt>
                <c:pt idx="4">
                  <c:v>32.5</c:v>
                </c:pt>
                <c:pt idx="5">
                  <c:v>39.200000000000003</c:v>
                </c:pt>
                <c:pt idx="6">
                  <c:v>38.799999999999997</c:v>
                </c:pt>
                <c:pt idx="7">
                  <c:v>38</c:v>
                </c:pt>
                <c:pt idx="8">
                  <c:v>29</c:v>
                </c:pt>
                <c:pt idx="9">
                  <c:v>29.9</c:v>
                </c:pt>
                <c:pt idx="10">
                  <c:v>23.8</c:v>
                </c:pt>
                <c:pt idx="11">
                  <c:v>31.2</c:v>
                </c:pt>
                <c:pt idx="12">
                  <c:v>36.1</c:v>
                </c:pt>
                <c:pt idx="13">
                  <c:v>29.6</c:v>
                </c:pt>
                <c:pt idx="14">
                  <c:v>31.6</c:v>
                </c:pt>
                <c:pt idx="15">
                  <c:v>32.4</c:v>
                </c:pt>
                <c:pt idx="16">
                  <c:v>44.1</c:v>
                </c:pt>
                <c:pt idx="17">
                  <c:v>42.1</c:v>
                </c:pt>
                <c:pt idx="18">
                  <c:v>60.5</c:v>
                </c:pt>
                <c:pt idx="19">
                  <c:v>40.799999999999997</c:v>
                </c:pt>
                <c:pt idx="20">
                  <c:v>47.4</c:v>
                </c:pt>
                <c:pt idx="21">
                  <c:v>44.6</c:v>
                </c:pt>
                <c:pt idx="22">
                  <c:v>70.2</c:v>
                </c:pt>
                <c:pt idx="23">
                  <c:v>80</c:v>
                </c:pt>
                <c:pt idx="24">
                  <c:v>62.5</c:v>
                </c:pt>
              </c:numCache>
            </c:numRef>
          </c:xVal>
          <c:yVal>
            <c:numRef>
              <c:f>'[1]Gavi Simplified'!$M$2:$M$26</c:f>
              <c:numCache>
                <c:formatCode>General</c:formatCode>
                <c:ptCount val="25"/>
                <c:pt idx="0">
                  <c:v>0.16016084869739497</c:v>
                </c:pt>
                <c:pt idx="1">
                  <c:v>8.7692307692307705E-3</c:v>
                </c:pt>
                <c:pt idx="2">
                  <c:v>0.17317196384695835</c:v>
                </c:pt>
                <c:pt idx="3">
                  <c:v>7.8907075270606419E-2</c:v>
                </c:pt>
                <c:pt idx="4">
                  <c:v>5.5606543872984811E-2</c:v>
                </c:pt>
                <c:pt idx="5">
                  <c:v>0.20587424888665587</c:v>
                </c:pt>
                <c:pt idx="6">
                  <c:v>3.7760369887637008E-2</c:v>
                </c:pt>
                <c:pt idx="7">
                  <c:v>9.4845639438425458E-2</c:v>
                </c:pt>
                <c:pt idx="8">
                  <c:v>5.7706768628041687E-2</c:v>
                </c:pt>
                <c:pt idx="9">
                  <c:v>2.3887155928808822E-2</c:v>
                </c:pt>
                <c:pt idx="10">
                  <c:v>6.8386101143153013E-3</c:v>
                </c:pt>
                <c:pt idx="11">
                  <c:v>2.7662066912801101E-2</c:v>
                </c:pt>
                <c:pt idx="12">
                  <c:v>1.5727885311088048E-2</c:v>
                </c:pt>
                <c:pt idx="13">
                  <c:v>3.005104642465958E-2</c:v>
                </c:pt>
                <c:pt idx="14">
                  <c:v>2.8298490861142379E-2</c:v>
                </c:pt>
                <c:pt idx="15">
                  <c:v>1.4393949686340387E-2</c:v>
                </c:pt>
                <c:pt idx="16">
                  <c:v>0.53767741164791849</c:v>
                </c:pt>
                <c:pt idx="17">
                  <c:v>0.31749095785752024</c:v>
                </c:pt>
                <c:pt idx="18">
                  <c:v>0.22837746172062592</c:v>
                </c:pt>
                <c:pt idx="19">
                  <c:v>0.25567302651615637</c:v>
                </c:pt>
                <c:pt idx="20">
                  <c:v>7.2523531710334058E-2</c:v>
                </c:pt>
                <c:pt idx="21">
                  <c:v>0.13793599256822942</c:v>
                </c:pt>
                <c:pt idx="22">
                  <c:v>0.16834174276092209</c:v>
                </c:pt>
                <c:pt idx="23">
                  <c:v>0.95541401273885351</c:v>
                </c:pt>
                <c:pt idx="24">
                  <c:v>0.83563971054053221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54B-B7AF-383F46CB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19167"/>
        <c:axId val="1759560288"/>
      </c:scatterChart>
      <c:valAx>
        <c:axId val="13292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60288"/>
        <c:crosses val="autoZero"/>
        <c:crossBetween val="midCat"/>
      </c:valAx>
      <c:valAx>
        <c:axId val="17595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 Seeking Rate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HAQ by PEP Seeking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655052493438326"/>
                  <c:y val="-0.15286421790866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'[1]Gavi Simplified'!$E$2:$E$26</c:f>
              <c:numCache>
                <c:formatCode>General</c:formatCode>
                <c:ptCount val="25"/>
                <c:pt idx="0">
                  <c:v>55.6</c:v>
                </c:pt>
                <c:pt idx="1">
                  <c:v>33.700000000000003</c:v>
                </c:pt>
                <c:pt idx="2">
                  <c:v>34.299999999999997</c:v>
                </c:pt>
                <c:pt idx="3">
                  <c:v>33.4</c:v>
                </c:pt>
                <c:pt idx="4">
                  <c:v>32.5</c:v>
                </c:pt>
                <c:pt idx="5">
                  <c:v>39.200000000000003</c:v>
                </c:pt>
                <c:pt idx="6">
                  <c:v>38.799999999999997</c:v>
                </c:pt>
                <c:pt idx="7">
                  <c:v>38</c:v>
                </c:pt>
                <c:pt idx="8">
                  <c:v>29</c:v>
                </c:pt>
                <c:pt idx="9">
                  <c:v>29.9</c:v>
                </c:pt>
                <c:pt idx="10">
                  <c:v>23.8</c:v>
                </c:pt>
                <c:pt idx="11">
                  <c:v>31.2</c:v>
                </c:pt>
                <c:pt idx="12">
                  <c:v>36.1</c:v>
                </c:pt>
                <c:pt idx="13">
                  <c:v>29.6</c:v>
                </c:pt>
                <c:pt idx="14">
                  <c:v>31.6</c:v>
                </c:pt>
                <c:pt idx="15">
                  <c:v>32.4</c:v>
                </c:pt>
                <c:pt idx="16">
                  <c:v>44.1</c:v>
                </c:pt>
                <c:pt idx="17">
                  <c:v>42.1</c:v>
                </c:pt>
                <c:pt idx="18">
                  <c:v>60.5</c:v>
                </c:pt>
                <c:pt idx="19">
                  <c:v>40.799999999999997</c:v>
                </c:pt>
                <c:pt idx="20">
                  <c:v>47.4</c:v>
                </c:pt>
                <c:pt idx="21">
                  <c:v>44.6</c:v>
                </c:pt>
                <c:pt idx="22">
                  <c:v>70.2</c:v>
                </c:pt>
                <c:pt idx="23">
                  <c:v>80</c:v>
                </c:pt>
                <c:pt idx="24">
                  <c:v>62.5</c:v>
                </c:pt>
              </c:numCache>
            </c:numRef>
          </c:xVal>
          <c:yVal>
            <c:numRef>
              <c:f>'[1]Gavi Simplified'!$N$2:$N$26</c:f>
              <c:numCache>
                <c:formatCode>General</c:formatCode>
                <c:ptCount val="25"/>
                <c:pt idx="0">
                  <c:v>480.48254609218486</c:v>
                </c:pt>
                <c:pt idx="1">
                  <c:v>22.8</c:v>
                </c:pt>
                <c:pt idx="2">
                  <c:v>86.585981923479181</c:v>
                </c:pt>
                <c:pt idx="3">
                  <c:v>181.48627312239475</c:v>
                </c:pt>
                <c:pt idx="4">
                  <c:v>44.485235098387847</c:v>
                </c:pt>
                <c:pt idx="5">
                  <c:v>349.98622310731497</c:v>
                </c:pt>
                <c:pt idx="6">
                  <c:v>113.28110966291102</c:v>
                </c:pt>
                <c:pt idx="7">
                  <c:v>265.56779042759126</c:v>
                </c:pt>
                <c:pt idx="8">
                  <c:v>28.853384314020847</c:v>
                </c:pt>
                <c:pt idx="9">
                  <c:v>71.661467786426471</c:v>
                </c:pt>
                <c:pt idx="10">
                  <c:v>5.47088809145224</c:v>
                </c:pt>
                <c:pt idx="11">
                  <c:v>55.324133825602203</c:v>
                </c:pt>
                <c:pt idx="12">
                  <c:v>47.183655933264141</c:v>
                </c:pt>
                <c:pt idx="13">
                  <c:v>30.051046424659578</c:v>
                </c:pt>
                <c:pt idx="14">
                  <c:v>84.895472583427136</c:v>
                </c:pt>
                <c:pt idx="15">
                  <c:v>37.424269184485006</c:v>
                </c:pt>
                <c:pt idx="16">
                  <c:v>337.66141451489278</c:v>
                </c:pt>
                <c:pt idx="17">
                  <c:v>634.98191571504037</c:v>
                </c:pt>
                <c:pt idx="18">
                  <c:v>456.75492344125189</c:v>
                </c:pt>
                <c:pt idx="19">
                  <c:v>767.01907954846911</c:v>
                </c:pt>
                <c:pt idx="20">
                  <c:v>72.523531710334055</c:v>
                </c:pt>
                <c:pt idx="21">
                  <c:v>413.80797770468826</c:v>
                </c:pt>
                <c:pt idx="22">
                  <c:v>168.34174276092207</c:v>
                </c:pt>
                <c:pt idx="23">
                  <c:v>955.41401273885344</c:v>
                </c:pt>
                <c:pt idx="24">
                  <c:v>835.63971054053229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B-4690-887D-ED3ADB34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19167"/>
        <c:axId val="1759560288"/>
      </c:scatterChart>
      <c:valAx>
        <c:axId val="13292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60288"/>
        <c:crosses val="autoZero"/>
        <c:crossBetween val="midCat"/>
      </c:valAx>
      <c:valAx>
        <c:axId val="17595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 Seeking Rate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'[1]Gavi Phase I'!$Q$2</c:f>
              <c:strCache>
                <c:ptCount val="1"/>
                <c:pt idx="0">
                  <c:v>Year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'[1]Gavi Phase I'!$Q$18</c:f>
              <c:numCache>
                <c:formatCode>General</c:formatCode>
                <c:ptCount val="1"/>
                <c:pt idx="0">
                  <c:v>252759.14328465945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5-4B4B-A98C-B21BE1C5617C}"/>
            </c:ext>
          </c:extLst>
        </c:ser>
        <c:ser>
          <c:idx val="1"/>
          <c:order val="1"/>
          <c:tx>
            <c:strRef>
              <c:f>'[1]Gavi Phase I'!$R$2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'[1]Gavi Phase I'!$R$18</c:f>
              <c:numCache>
                <c:formatCode>General</c:formatCode>
                <c:ptCount val="1"/>
                <c:pt idx="0">
                  <c:v>370331.66587763507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5-4B4B-A98C-B21BE1C5617C}"/>
            </c:ext>
          </c:extLst>
        </c:ser>
        <c:ser>
          <c:idx val="2"/>
          <c:order val="2"/>
          <c:tx>
            <c:strRef>
              <c:f>'[1]Gavi Phase I'!$S$2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'[1]Gavi Phase I'!$S$18</c:f>
              <c:numCache>
                <c:formatCode>General</c:formatCode>
                <c:ptCount val="1"/>
                <c:pt idx="0">
                  <c:v>497855.53391563374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5-4B4B-A98C-B21BE1C5617C}"/>
            </c:ext>
          </c:extLst>
        </c:ser>
        <c:ser>
          <c:idx val="3"/>
          <c:order val="3"/>
          <c:tx>
            <c:strRef>
              <c:f>'[1]Gavi Phase I'!$T$2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'[1]Gavi Phase I'!$T$18</c:f>
              <c:numCache>
                <c:formatCode>General</c:formatCode>
                <c:ptCount val="1"/>
                <c:pt idx="0">
                  <c:v>663807.37855417829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5-4B4B-A98C-B21BE1C5617C}"/>
            </c:ext>
          </c:extLst>
        </c:ser>
        <c:ser>
          <c:idx val="4"/>
          <c:order val="4"/>
          <c:tx>
            <c:strRef>
              <c:f>'[1]Gavi Phase I'!$U$2</c:f>
              <c:strCache>
                <c:ptCount val="1"/>
                <c:pt idx="0">
                  <c:v>Year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'[1]Gavi Phase I'!$U$18</c:f>
              <c:numCache>
                <c:formatCode>General</c:formatCode>
                <c:ptCount val="1"/>
                <c:pt idx="0">
                  <c:v>829759.22319272312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5-4B4B-A98C-B21BE1C5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404255"/>
        <c:axId val="1920916015"/>
      </c:barChart>
      <c:catAx>
        <c:axId val="18654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16015"/>
        <c:crosses val="autoZero"/>
        <c:auto val="1"/>
        <c:lblAlgn val="ctr"/>
        <c:lblOffset val="100"/>
        <c:noMultiLvlLbl val="0"/>
      </c:catAx>
      <c:valAx>
        <c:axId val="19209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523753</xdr:colOff>
      <xdr:row>2</xdr:row>
      <xdr:rowOff>162241</xdr:rowOff>
    </xdr:from>
    <xdr:ext cx="8805030" cy="7522652"/>
    <xdr:pic>
      <xdr:nvPicPr>
        <xdr:cNvPr id="2" name="Picture 27">
          <a:extLst>
            <a:ext uri="{FF2B5EF4-FFF2-40B4-BE49-F238E27FC236}">
              <a16:creationId xmlns:a16="http://schemas.microsoft.com/office/drawing/2014/main" id="{501DDB24-22FC-41BC-B324-4322F7B34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3878" y="486091"/>
          <a:ext cx="8805030" cy="7522652"/>
        </a:xfrm>
        <a:prstGeom prst="rect">
          <a:avLst/>
        </a:prstGeom>
      </xdr:spPr>
    </xdr:pic>
    <xdr:clientData/>
  </xdr:oneCellAnchor>
  <xdr:twoCellAnchor editAs="oneCell">
    <xdr:from>
      <xdr:col>55</xdr:col>
      <xdr:colOff>0</xdr:colOff>
      <xdr:row>47</xdr:row>
      <xdr:rowOff>0</xdr:rowOff>
    </xdr:from>
    <xdr:to>
      <xdr:col>69</xdr:col>
      <xdr:colOff>6471</xdr:colOff>
      <xdr:row>68</xdr:row>
      <xdr:rowOff>118036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E10D62-EEF4-4589-85ED-DFE634FB0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29725" y="8610600"/>
          <a:ext cx="8540871" cy="4832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5</xdr:row>
      <xdr:rowOff>100013</xdr:rowOff>
    </xdr:from>
    <xdr:to>
      <xdr:col>24</xdr:col>
      <xdr:colOff>638175</xdr:colOff>
      <xdr:row>10</xdr:row>
      <xdr:rowOff>259556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72389-4504-44D7-9F80-BBE6C0118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321469</xdr:colOff>
      <xdr:row>11</xdr:row>
      <xdr:rowOff>23812</xdr:rowOff>
    </xdr:from>
    <xdr:to>
      <xdr:col>24</xdr:col>
      <xdr:colOff>664244</xdr:colOff>
      <xdr:row>16</xdr:row>
      <xdr:rowOff>183355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BFB80-589B-4672-AA82-ED2459F60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19</xdr:row>
      <xdr:rowOff>0</xdr:rowOff>
    </xdr:from>
    <xdr:to>
      <xdr:col>21</xdr:col>
      <xdr:colOff>514350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8CEF1-8B1E-4D4B-A138-F47DF8E10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838201</xdr:colOff>
      <xdr:row>27</xdr:row>
      <xdr:rowOff>38100</xdr:rowOff>
    </xdr:from>
    <xdr:to>
      <xdr:col>10</xdr:col>
      <xdr:colOff>666749</xdr:colOff>
      <xdr:row>52</xdr:row>
      <xdr:rowOff>76198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70E668-7E14-4514-931F-5A93FC3C9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6" y="5438775"/>
          <a:ext cx="3638548" cy="5457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dc.sharepoint.com/teams/NCEZID-DHCPP-PRB-RABIES-EPI/Shared%20Documents/Gavi%20Vaccine%20Forecasting/Forecast_Tool_RabiesEconRo_GAVI3.0.xlsx" TargetMode="External"/><Relationship Id="rId1" Type="http://schemas.openxmlformats.org/officeDocument/2006/relationships/externalLinkPath" Target="https://cdc.sharepoint.com/teams/NCEZID-DHCPP-PRB-RABIES-EPI/Shared%20Documents/Gavi%20Vaccine%20Forecasting/Forecast_Tool_RabiesEconRo_GAVI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"/>
      <sheetName val="Title"/>
      <sheetName val="Instructions"/>
      <sheetName val="Country_Profile"/>
      <sheetName val="Step1_Inputs"/>
      <sheetName val="Step2_Forecast"/>
      <sheetName val="Forecast Report"/>
      <sheetName val="PEP_and_other_Costs"/>
      <sheetName val="Dog_Vaccination_Cost"/>
      <sheetName val="Vax_cover"/>
      <sheetName val="Probabilities"/>
      <sheetName val="EEM_Estimates"/>
      <sheetName val="Fact_Check"/>
      <sheetName val="Gavi Simplified"/>
      <sheetName val="Gavi Phase I"/>
      <sheetName val="Gavi Phase II"/>
      <sheetName val="Gavi Phase III"/>
      <sheetName val="STARC Inputs"/>
      <sheetName val="Define_program"/>
      <sheetName val="p(rabid)_test"/>
      <sheetName val="Hu_CDR"/>
      <sheetName val="PEP_cover"/>
      <sheetName val="DALY"/>
      <sheetName val="Summary"/>
      <sheetName val="Other_Inputs"/>
      <sheetName val="data"/>
      <sheetName val="data_discounted"/>
      <sheetName val="initial_run"/>
      <sheetName val="no_GAVI"/>
      <sheetName val="GAVI"/>
      <sheetName val="Sheet1"/>
      <sheetName val="option2"/>
      <sheetName val="Other_Inputs_Calculations"/>
    </sheetNames>
    <sheetDataSet>
      <sheetData sheetId="0"/>
      <sheetData sheetId="1"/>
      <sheetData sheetId="2"/>
      <sheetData sheetId="3"/>
      <sheetData sheetId="4">
        <row r="5">
          <cell r="C5">
            <v>500</v>
          </cell>
        </row>
        <row r="15">
          <cell r="J15">
            <v>238649.41305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AZ10" t="str">
            <v>Year 4</v>
          </cell>
          <cell r="BA10" t="str">
            <v>Year 5</v>
          </cell>
        </row>
        <row r="11">
          <cell r="B11" t="str">
            <v>Algeria</v>
          </cell>
          <cell r="C11" t="str">
            <v>Northern Africa</v>
          </cell>
          <cell r="D11">
            <v>45606480</v>
          </cell>
          <cell r="E11" t="str">
            <v>3.38 × 10−3</v>
          </cell>
          <cell r="F11" t="str">
            <v>1.66 × 10−3</v>
          </cell>
          <cell r="G11" t="str">
            <v>4.25 × 10−4</v>
          </cell>
          <cell r="H11" t="str">
            <v>4.50 × 10−3</v>
          </cell>
          <cell r="I11" t="str">
            <v>2.65 × 10−4</v>
          </cell>
          <cell r="J11" t="str">
            <v>1.36 × 10−4</v>
          </cell>
          <cell r="K11" t="str">
            <v>4.80 × 10−5</v>
          </cell>
          <cell r="L11" t="str">
            <v>9.37 × 10−4</v>
          </cell>
          <cell r="M11" t="str">
            <v>4.25</v>
          </cell>
          <cell r="N11" t="str">
            <v>4</v>
          </cell>
          <cell r="O11">
            <v>4.25</v>
          </cell>
          <cell r="P11">
            <v>-4</v>
          </cell>
          <cell r="Q11">
            <v>4.2500000000000003E-4</v>
          </cell>
          <cell r="R11" t="str">
            <v>4.50</v>
          </cell>
          <cell r="S11" t="str">
            <v>3</v>
          </cell>
          <cell r="T11">
            <v>4.5</v>
          </cell>
          <cell r="U11">
            <v>-3</v>
          </cell>
          <cell r="V11">
            <v>4.5000000000000005E-3</v>
          </cell>
          <cell r="W11">
            <v>6.3383211451814039E-2</v>
          </cell>
          <cell r="X11">
            <v>3.3165028744479179E-2</v>
          </cell>
          <cell r="Y11">
            <v>0.1155707752120588</v>
          </cell>
          <cell r="Z11">
            <v>29.461416367353699</v>
          </cell>
          <cell r="AA11">
            <v>15.415576117015929</v>
          </cell>
          <cell r="AB11">
            <v>53.718936772536424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  <cell r="AH11">
            <v>58.7</v>
          </cell>
          <cell r="AZ11">
            <v>60080.575152492311</v>
          </cell>
          <cell r="BA11">
            <v>60080.575152492311</v>
          </cell>
        </row>
        <row r="12">
          <cell r="B12" t="str">
            <v>Afghanistan</v>
          </cell>
          <cell r="C12" t="str">
            <v>Eurasia</v>
          </cell>
          <cell r="D12">
            <v>42239854</v>
          </cell>
          <cell r="E12" t="str">
            <v>5.62 × 10−3</v>
          </cell>
          <cell r="F12" t="str">
            <v>2.76 × 10−3</v>
          </cell>
          <cell r="G12" t="str">
            <v>7.40 × 10−4</v>
          </cell>
          <cell r="H12" t="str">
            <v>7.50 × 10−3</v>
          </cell>
          <cell r="I12" t="str">
            <v>3.86 × 10−4</v>
          </cell>
          <cell r="J12" t="str">
            <v>2.04 × 10−4</v>
          </cell>
          <cell r="K12" t="str">
            <v>7.34 × 10−5</v>
          </cell>
          <cell r="L12" t="str">
            <v>1.43 × 10−3</v>
          </cell>
          <cell r="M12" t="str">
            <v>7.40</v>
          </cell>
          <cell r="N12" t="str">
            <v>4</v>
          </cell>
          <cell r="O12">
            <v>7.4</v>
          </cell>
          <cell r="P12">
            <v>-4</v>
          </cell>
          <cell r="Q12">
            <v>7.400000000000001E-4</v>
          </cell>
          <cell r="R12" t="str">
            <v>7.50</v>
          </cell>
          <cell r="S12" t="str">
            <v>3</v>
          </cell>
          <cell r="T12">
            <v>7.5</v>
          </cell>
          <cell r="U12">
            <v>-3</v>
          </cell>
          <cell r="V12">
            <v>7.4999999999999997E-3</v>
          </cell>
          <cell r="W12">
            <v>1.6055672873069451</v>
          </cell>
          <cell r="X12">
            <v>0.77876946961965432</v>
          </cell>
          <cell r="Y12">
            <v>4.8428007313426766</v>
          </cell>
          <cell r="Z12">
            <v>669.25594511065242</v>
          </cell>
          <cell r="AA12">
            <v>324.61803471833161</v>
          </cell>
          <cell r="AB12">
            <v>2018.6467462684971</v>
          </cell>
          <cell r="AC12">
            <v>270</v>
          </cell>
          <cell r="AD12">
            <v>380</v>
          </cell>
          <cell r="AE12">
            <v>530</v>
          </cell>
          <cell r="AF12" t="e">
            <v>#N/A</v>
          </cell>
          <cell r="AG12" t="e">
            <v>#N/A</v>
          </cell>
          <cell r="AH12">
            <v>28.9</v>
          </cell>
          <cell r="AZ12">
            <v>16087.917525307805</v>
          </cell>
          <cell r="BA12">
            <v>20109.896906634756</v>
          </cell>
        </row>
        <row r="13">
          <cell r="B13" t="str">
            <v>Angola</v>
          </cell>
          <cell r="C13" t="str">
            <v>Gulf of Guinea</v>
          </cell>
          <cell r="D13">
            <v>36684202</v>
          </cell>
          <cell r="E13" t="str">
            <v>5.68 × 10−3</v>
          </cell>
          <cell r="F13" t="str">
            <v>2.85 × 10−3</v>
          </cell>
          <cell r="G13" t="str">
            <v>7.17 × 10−4</v>
          </cell>
          <cell r="H13" t="str">
            <v>7.83 × 10−3</v>
          </cell>
          <cell r="I13" t="str">
            <v>3.89 × 10−4</v>
          </cell>
          <cell r="J13" t="str">
            <v>2.08 × 10−4</v>
          </cell>
          <cell r="K13" t="str">
            <v>7.20 × 10−5</v>
          </cell>
          <cell r="L13" t="str">
            <v>1.45 × 10−3</v>
          </cell>
          <cell r="M13" t="str">
            <v>7.17</v>
          </cell>
          <cell r="N13" t="str">
            <v>4</v>
          </cell>
          <cell r="O13">
            <v>7.17</v>
          </cell>
          <cell r="P13">
            <v>-4</v>
          </cell>
          <cell r="Q13">
            <v>7.1700000000000008E-4</v>
          </cell>
          <cell r="R13" t="str">
            <v>7.83</v>
          </cell>
          <cell r="S13" t="str">
            <v>3</v>
          </cell>
          <cell r="T13">
            <v>7.83</v>
          </cell>
          <cell r="U13">
            <v>-3</v>
          </cell>
          <cell r="V13">
            <v>7.8300000000000002E-3</v>
          </cell>
          <cell r="W13">
            <v>1.235493735290079</v>
          </cell>
          <cell r="X13">
            <v>0.90194985567612174</v>
          </cell>
          <cell r="Y13">
            <v>1.486001116930397</v>
          </cell>
          <cell r="Z13">
            <v>446.74032457020928</v>
          </cell>
          <cell r="AA13">
            <v>326.13469397819267</v>
          </cell>
          <cell r="AB13">
            <v>537.3209125445818</v>
          </cell>
          <cell r="AC13">
            <v>560</v>
          </cell>
          <cell r="AD13">
            <v>795</v>
          </cell>
          <cell r="AE13">
            <v>1070</v>
          </cell>
          <cell r="AF13" t="e">
            <v>#N/A</v>
          </cell>
          <cell r="AG13" t="e">
            <v>#N/A</v>
          </cell>
          <cell r="AH13">
            <v>29.3</v>
          </cell>
          <cell r="AZ13">
            <v>16873.613090148141</v>
          </cell>
          <cell r="BA13">
            <v>21092.016362685179</v>
          </cell>
        </row>
        <row r="14">
          <cell r="B14" t="str">
            <v>Antigua and Barbuda</v>
          </cell>
          <cell r="C14" t="str">
            <v>Caribbean</v>
          </cell>
          <cell r="D14">
            <v>94298</v>
          </cell>
          <cell r="E14" t="str">
            <v>1.20 × 10−3</v>
          </cell>
          <cell r="F14" t="str">
            <v>6.04 × 10−4</v>
          </cell>
          <cell r="G14" t="str">
            <v>1.53 × 10−4</v>
          </cell>
          <cell r="H14" t="str">
            <v>1.61 × 10−3</v>
          </cell>
          <cell r="I14" t="str">
            <v>1.24 × 10−4</v>
          </cell>
          <cell r="J14" t="str">
            <v>6.59 × 10−5</v>
          </cell>
          <cell r="K14" t="str">
            <v>2.29 × 10−5</v>
          </cell>
          <cell r="L14" t="str">
            <v>4.45 × 10−4</v>
          </cell>
          <cell r="M14" t="str">
            <v>1.53</v>
          </cell>
          <cell r="N14" t="str">
            <v>4</v>
          </cell>
          <cell r="O14">
            <v>1.53</v>
          </cell>
          <cell r="P14">
            <v>-4</v>
          </cell>
          <cell r="Q14">
            <v>1.5300000000000001E-4</v>
          </cell>
          <cell r="R14" t="str">
            <v>1.61</v>
          </cell>
          <cell r="S14" t="str">
            <v>3</v>
          </cell>
          <cell r="T14">
            <v>1.61</v>
          </cell>
          <cell r="U14">
            <v>-3</v>
          </cell>
          <cell r="V14">
            <v>1.6100000000000001E-3</v>
          </cell>
          <cell r="W14" t="e">
            <v>#N/A</v>
          </cell>
          <cell r="X14" t="e">
            <v>#N/A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  <cell r="AF14" t="e">
            <v>#N/A</v>
          </cell>
          <cell r="AG14" t="e">
            <v>#N/A</v>
          </cell>
          <cell r="AH14">
            <v>58.2</v>
          </cell>
          <cell r="AZ14">
            <v>122.85372288609952</v>
          </cell>
          <cell r="BA14">
            <v>122.85372288609952</v>
          </cell>
        </row>
        <row r="15">
          <cell r="B15" t="str">
            <v>Armenia</v>
          </cell>
          <cell r="C15" t="str">
            <v>Eurasia</v>
          </cell>
          <cell r="D15">
            <v>2777970</v>
          </cell>
          <cell r="E15" t="str">
            <v>3.62 × 10−3</v>
          </cell>
          <cell r="F15" t="str">
            <v>1.84 × 10−3</v>
          </cell>
          <cell r="G15" t="str">
            <v>4.44 × 10−4</v>
          </cell>
          <cell r="H15" t="str">
            <v>4.87 × 10−3</v>
          </cell>
          <cell r="I15" t="str">
            <v>2.79 × 10−4</v>
          </cell>
          <cell r="J15" t="str">
            <v>1.50 × 10−4</v>
          </cell>
          <cell r="K15" t="str">
            <v>4.98 × 10−5</v>
          </cell>
          <cell r="L15" t="str">
            <v>1.03 × 10−3</v>
          </cell>
          <cell r="M15" t="str">
            <v>4.44</v>
          </cell>
          <cell r="N15" t="str">
            <v>4</v>
          </cell>
          <cell r="O15">
            <v>4.4400000000000004</v>
          </cell>
          <cell r="P15">
            <v>-4</v>
          </cell>
          <cell r="Q15">
            <v>4.4400000000000006E-4</v>
          </cell>
          <cell r="R15" t="str">
            <v>4.87</v>
          </cell>
          <cell r="S15" t="str">
            <v>3</v>
          </cell>
          <cell r="T15">
            <v>4.87</v>
          </cell>
          <cell r="U15">
            <v>-3</v>
          </cell>
          <cell r="V15">
            <v>4.8700000000000002E-3</v>
          </cell>
          <cell r="W15">
            <v>3.0809154164117562E-2</v>
          </cell>
          <cell r="X15">
            <v>1.6170334384536699E-2</v>
          </cell>
          <cell r="Y15">
            <v>6.6231065265835054E-2</v>
          </cell>
          <cell r="Z15">
            <v>0.91862027972826121</v>
          </cell>
          <cell r="AA15">
            <v>0.48214232096391252</v>
          </cell>
          <cell r="AB15">
            <v>1.9747766971175711</v>
          </cell>
          <cell r="AC15">
            <v>35</v>
          </cell>
          <cell r="AD15">
            <v>50</v>
          </cell>
          <cell r="AE15">
            <v>75</v>
          </cell>
          <cell r="AF15" t="e">
            <v>#N/A</v>
          </cell>
          <cell r="AG15" t="e">
            <v>#N/A</v>
          </cell>
          <cell r="AH15">
            <v>63.2</v>
          </cell>
          <cell r="AZ15">
            <v>4008.5029337927513</v>
          </cell>
          <cell r="BA15">
            <v>4008.5029337927513</v>
          </cell>
        </row>
        <row r="16">
          <cell r="B16" t="str">
            <v>Azerbaijan</v>
          </cell>
          <cell r="C16" t="str">
            <v>Eurasia</v>
          </cell>
          <cell r="D16">
            <v>10412651</v>
          </cell>
          <cell r="E16" t="str">
            <v>3.62 × 10−3</v>
          </cell>
          <cell r="F16" t="str">
            <v>1.71 × 10−3</v>
          </cell>
          <cell r="G16" t="str">
            <v>4.33 × 10−4</v>
          </cell>
          <cell r="H16" t="str">
            <v>4.83 × 10−3</v>
          </cell>
          <cell r="I16" t="str">
            <v>2.79 × 10−4</v>
          </cell>
          <cell r="J16" t="str">
            <v>1.41 × 10−4</v>
          </cell>
          <cell r="K16" t="str">
            <v>4.84 × 10−5</v>
          </cell>
          <cell r="L16" t="str">
            <v>1.02 × 10−3</v>
          </cell>
          <cell r="M16" t="str">
            <v>4.33</v>
          </cell>
          <cell r="N16" t="str">
            <v>4</v>
          </cell>
          <cell r="O16">
            <v>4.33</v>
          </cell>
          <cell r="P16">
            <v>-4</v>
          </cell>
          <cell r="Q16">
            <v>4.3300000000000001E-4</v>
          </cell>
          <cell r="R16" t="str">
            <v>4.83</v>
          </cell>
          <cell r="S16" t="str">
            <v>3</v>
          </cell>
          <cell r="T16">
            <v>4.83</v>
          </cell>
          <cell r="U16">
            <v>-3</v>
          </cell>
          <cell r="V16">
            <v>4.8300000000000001E-3</v>
          </cell>
          <cell r="W16">
            <v>5.3406079433376857E-2</v>
          </cell>
          <cell r="X16">
            <v>3.1290257274180652E-2</v>
          </cell>
          <cell r="Y16">
            <v>0.10144248702478439</v>
          </cell>
          <cell r="Z16">
            <v>5.53454866784974</v>
          </cell>
          <cell r="AA16">
            <v>3.2426542736492752</v>
          </cell>
          <cell r="AB16">
            <v>10.512630535382581</v>
          </cell>
          <cell r="AC16">
            <v>120</v>
          </cell>
          <cell r="AD16">
            <v>177</v>
          </cell>
          <cell r="AE16">
            <v>240</v>
          </cell>
          <cell r="AF16" t="e">
            <v>#N/A</v>
          </cell>
          <cell r="AG16" t="e">
            <v>#N/A</v>
          </cell>
          <cell r="AH16">
            <v>53.3</v>
          </cell>
          <cell r="AZ16">
            <v>12008.749459235423</v>
          </cell>
          <cell r="BA16">
            <v>12008.749459235423</v>
          </cell>
        </row>
        <row r="17">
          <cell r="B17" t="str">
            <v>Bahrain</v>
          </cell>
          <cell r="C17" t="str">
            <v>Middle East</v>
          </cell>
          <cell r="D17">
            <v>1485509</v>
          </cell>
          <cell r="E17" t="str">
            <v>3.85 × 10−3</v>
          </cell>
          <cell r="F17" t="str">
            <v>1.86 × 10−3</v>
          </cell>
          <cell r="G17" t="str">
            <v>4.83 × 10−4</v>
          </cell>
          <cell r="H17" t="str">
            <v>5.22 × 10−3</v>
          </cell>
          <cell r="I17" t="str">
            <v>2.92 × 10−4</v>
          </cell>
          <cell r="J17" t="str">
            <v>1.55 × 10−4</v>
          </cell>
          <cell r="K17" t="str">
            <v>5.36 × 10−5</v>
          </cell>
          <cell r="L17" t="str">
            <v>1.08 × 10−3</v>
          </cell>
          <cell r="M17" t="str">
            <v>4.83</v>
          </cell>
          <cell r="N17" t="str">
            <v>4</v>
          </cell>
          <cell r="O17">
            <v>4.83</v>
          </cell>
          <cell r="P17">
            <v>-4</v>
          </cell>
          <cell r="Q17">
            <v>4.8300000000000003E-4</v>
          </cell>
          <cell r="R17" t="str">
            <v>5.22</v>
          </cell>
          <cell r="S17" t="str">
            <v>3</v>
          </cell>
          <cell r="T17">
            <v>5.22</v>
          </cell>
          <cell r="U17">
            <v>-3</v>
          </cell>
          <cell r="V17">
            <v>5.2199999999999998E-3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  <cell r="AH17">
            <v>67.599999999999994</v>
          </cell>
          <cell r="AZ17">
            <v>2313.5282309691129</v>
          </cell>
          <cell r="BA17">
            <v>2313.5282309691129</v>
          </cell>
        </row>
        <row r="18">
          <cell r="B18" t="str">
            <v>Bangladesh</v>
          </cell>
          <cell r="C18" t="str">
            <v>South Asia</v>
          </cell>
          <cell r="D18">
            <v>172954319</v>
          </cell>
          <cell r="E18" t="str">
            <v>5.18 × 10−3</v>
          </cell>
          <cell r="F18" t="str">
            <v>2.45 × 10−3</v>
          </cell>
          <cell r="G18" t="str">
            <v>6.39 × 10−4</v>
          </cell>
          <cell r="H18" t="str">
            <v>6.65 × 10−3</v>
          </cell>
          <cell r="I18" t="str">
            <v>3.63 × 10−4</v>
          </cell>
          <cell r="J18" t="str">
            <v>1.87 × 10−4</v>
          </cell>
          <cell r="K18" t="str">
            <v>6.61 × 10−5</v>
          </cell>
          <cell r="L18" t="str">
            <v>1.30 × 10−3</v>
          </cell>
          <cell r="M18" t="str">
            <v>6.39</v>
          </cell>
          <cell r="N18" t="str">
            <v>4</v>
          </cell>
          <cell r="O18">
            <v>6.39</v>
          </cell>
          <cell r="P18">
            <v>-4</v>
          </cell>
          <cell r="Q18">
            <v>6.3900000000000003E-4</v>
          </cell>
          <cell r="R18" t="str">
            <v>6.65</v>
          </cell>
          <cell r="S18" t="str">
            <v>3</v>
          </cell>
          <cell r="T18">
            <v>6.65</v>
          </cell>
          <cell r="U18">
            <v>-3</v>
          </cell>
          <cell r="V18">
            <v>6.6500000000000005E-3</v>
          </cell>
          <cell r="W18">
            <v>0.63635689189103062</v>
          </cell>
          <cell r="X18">
            <v>0.40153787035181238</v>
          </cell>
          <cell r="Y18">
            <v>1.4084390179306341</v>
          </cell>
          <cell r="Z18">
            <v>1081.4814751943411</v>
          </cell>
          <cell r="AA18">
            <v>682.40915421535772</v>
          </cell>
          <cell r="AB18">
            <v>2393.6264794846011</v>
          </cell>
          <cell r="AC18">
            <v>105</v>
          </cell>
          <cell r="AD18">
            <v>165</v>
          </cell>
          <cell r="AE18">
            <v>230</v>
          </cell>
          <cell r="AF18">
            <v>6.5000000000000002E-2</v>
          </cell>
          <cell r="AG18">
            <v>0.14199999999999999</v>
          </cell>
          <cell r="AH18">
            <v>44.1</v>
          </cell>
          <cell r="AZ18">
            <v>356383.56574981206</v>
          </cell>
          <cell r="BA18">
            <v>445479.45718726504</v>
          </cell>
        </row>
        <row r="19">
          <cell r="B19" t="str">
            <v>Benin</v>
          </cell>
          <cell r="C19" t="str">
            <v>Western Africa</v>
          </cell>
          <cell r="D19">
            <v>13712828</v>
          </cell>
          <cell r="E19" t="str">
            <v>5.64 × 10−3</v>
          </cell>
          <cell r="F19" t="str">
            <v>2.74 × 10−3</v>
          </cell>
          <cell r="G19" t="str">
            <v>7.32 × 10−4</v>
          </cell>
          <cell r="H19" t="str">
            <v>7.53 × 10−3</v>
          </cell>
          <cell r="I19" t="str">
            <v>3.87 × 10−4</v>
          </cell>
          <cell r="J19" t="str">
            <v>2.00 × 10−4</v>
          </cell>
          <cell r="K19" t="str">
            <v>7.08 × 10−5</v>
          </cell>
          <cell r="L19" t="str">
            <v>1.44 × 10−3</v>
          </cell>
          <cell r="M19" t="str">
            <v>7.32</v>
          </cell>
          <cell r="N19" t="str">
            <v>4</v>
          </cell>
          <cell r="O19">
            <v>7.32</v>
          </cell>
          <cell r="P19">
            <v>-4</v>
          </cell>
          <cell r="Q19">
            <v>7.3200000000000001E-4</v>
          </cell>
          <cell r="R19" t="str">
            <v>7.53</v>
          </cell>
          <cell r="S19" t="str">
            <v>3</v>
          </cell>
          <cell r="T19">
            <v>7.53</v>
          </cell>
          <cell r="U19">
            <v>-3</v>
          </cell>
          <cell r="V19">
            <v>7.5300000000000002E-3</v>
          </cell>
          <cell r="W19">
            <v>2.3892222915072558</v>
          </cell>
          <cell r="X19">
            <v>1.687940328887982</v>
          </cell>
          <cell r="Y19">
            <v>2.8350495508433169</v>
          </cell>
          <cell r="Z19">
            <v>313.84715002120907</v>
          </cell>
          <cell r="AA19">
            <v>221.7270714032874</v>
          </cell>
          <cell r="AB19">
            <v>372.41081537865841</v>
          </cell>
          <cell r="AC19">
            <v>220</v>
          </cell>
          <cell r="AD19">
            <v>293</v>
          </cell>
          <cell r="AE19">
            <v>393</v>
          </cell>
          <cell r="AF19">
            <v>1.9</v>
          </cell>
          <cell r="AG19">
            <v>3.39</v>
          </cell>
          <cell r="AH19">
            <v>31.4</v>
          </cell>
          <cell r="AZ19">
            <v>9692.7591484904533</v>
          </cell>
          <cell r="BA19">
            <v>12115.948935613067</v>
          </cell>
        </row>
        <row r="20">
          <cell r="B20" t="str">
            <v>Bhutan</v>
          </cell>
          <cell r="C20" t="str">
            <v>South Asia</v>
          </cell>
          <cell r="D20">
            <v>787424</v>
          </cell>
          <cell r="E20" t="str">
            <v>4.67 × 10−3</v>
          </cell>
          <cell r="F20" t="str">
            <v>2.25 × 10−3</v>
          </cell>
          <cell r="G20" t="str">
            <v>6.11 × 10−4</v>
          </cell>
          <cell r="H20" t="str">
            <v>6.21 × 10−3</v>
          </cell>
          <cell r="I20" t="str">
            <v>3.36 × 10−4</v>
          </cell>
          <cell r="J20" t="str">
            <v>1.74 × 10−4</v>
          </cell>
          <cell r="K20" t="str">
            <v>6.12 × 10−5</v>
          </cell>
          <cell r="L20" t="str">
            <v>1.21 × 10−3</v>
          </cell>
          <cell r="M20" t="str">
            <v>6.11</v>
          </cell>
          <cell r="N20" t="str">
            <v>4</v>
          </cell>
          <cell r="O20">
            <v>6.11</v>
          </cell>
          <cell r="P20">
            <v>-4</v>
          </cell>
          <cell r="Q20">
            <v>6.1100000000000011E-4</v>
          </cell>
          <cell r="R20" t="str">
            <v>6.21</v>
          </cell>
          <cell r="S20" t="str">
            <v>3</v>
          </cell>
          <cell r="T20">
            <v>6.21</v>
          </cell>
          <cell r="U20">
            <v>-3</v>
          </cell>
          <cell r="V20">
            <v>6.2100000000000002E-3</v>
          </cell>
          <cell r="W20">
            <v>0.17338723251323271</v>
          </cell>
          <cell r="X20">
            <v>0.1213363385819298</v>
          </cell>
          <cell r="Y20">
            <v>0.305470197114449</v>
          </cell>
          <cell r="Z20">
            <v>1.3848267079950281</v>
          </cell>
          <cell r="AA20">
            <v>0.96910135702039091</v>
          </cell>
          <cell r="AB20">
            <v>2.439760306043929</v>
          </cell>
          <cell r="AC20">
            <v>2</v>
          </cell>
          <cell r="AD20">
            <v>4</v>
          </cell>
          <cell r="AE20">
            <v>6</v>
          </cell>
          <cell r="AF20">
            <v>0.26500000000000001</v>
          </cell>
          <cell r="AG20">
            <v>0.79400000000000004</v>
          </cell>
          <cell r="AH20">
            <v>42.1</v>
          </cell>
          <cell r="AZ20">
            <v>1468.4785378004262</v>
          </cell>
          <cell r="BA20">
            <v>1835.5981722505328</v>
          </cell>
        </row>
        <row r="21">
          <cell r="B21" t="str">
            <v>Bolivia</v>
          </cell>
          <cell r="C21" t="str">
            <v>Andean Region</v>
          </cell>
          <cell r="D21">
            <v>12388571</v>
          </cell>
          <cell r="E21" t="str">
            <v>3.10 × 10−4</v>
          </cell>
          <cell r="F21" t="str">
            <v>1.45 × 10−4</v>
          </cell>
          <cell r="G21" t="str">
            <v>3.81 × 10−5</v>
          </cell>
          <cell r="H21" t="str">
            <v>3.96 × 10−4</v>
          </cell>
          <cell r="I21" t="str">
            <v>4.53 × 10−5</v>
          </cell>
          <cell r="J21" t="str">
            <v>2.27 × 10−5</v>
          </cell>
          <cell r="K21" t="str">
            <v>8.12 × 10−6</v>
          </cell>
          <cell r="L21" t="str">
            <v>1.66 × 10−4</v>
          </cell>
          <cell r="M21" t="str">
            <v>3.81</v>
          </cell>
          <cell r="N21" t="str">
            <v>5</v>
          </cell>
          <cell r="O21">
            <v>3.81</v>
          </cell>
          <cell r="P21">
            <v>-5</v>
          </cell>
          <cell r="Q21">
            <v>3.8100000000000005E-5</v>
          </cell>
          <cell r="R21" t="str">
            <v>3.96</v>
          </cell>
          <cell r="S21" t="str">
            <v>4</v>
          </cell>
          <cell r="T21">
            <v>3.96</v>
          </cell>
          <cell r="U21">
            <v>-4</v>
          </cell>
          <cell r="V21">
            <v>3.9600000000000003E-4</v>
          </cell>
          <cell r="W21">
            <v>1.6916663988493109E-2</v>
          </cell>
          <cell r="X21">
            <v>9.0671945430929608E-4</v>
          </cell>
          <cell r="Y21">
            <v>0.4300109331506537</v>
          </cell>
          <cell r="Z21">
            <v>2.058938493555738</v>
          </cell>
          <cell r="AA21">
            <v>0.11035743150086411</v>
          </cell>
          <cell r="AB21">
            <v>52.33691840873233</v>
          </cell>
          <cell r="AC21">
            <v>310</v>
          </cell>
          <cell r="AD21">
            <v>430</v>
          </cell>
          <cell r="AE21">
            <v>575</v>
          </cell>
          <cell r="AF21" t="e">
            <v>#N/A</v>
          </cell>
          <cell r="AG21" t="e">
            <v>#N/A</v>
          </cell>
          <cell r="AH21">
            <v>40.5</v>
          </cell>
          <cell r="AZ21">
            <v>21080.166384376702</v>
          </cell>
          <cell r="BA21">
            <v>26350.207980470877</v>
          </cell>
        </row>
        <row r="22">
          <cell r="B22" t="str">
            <v>Botswana</v>
          </cell>
          <cell r="C22" t="str">
            <v>Southern Africa</v>
          </cell>
          <cell r="D22">
            <v>2675352</v>
          </cell>
          <cell r="E22" t="str">
            <v>5.67 × 10−3</v>
          </cell>
          <cell r="F22" t="str">
            <v>2.76 × 10−3</v>
          </cell>
          <cell r="G22" t="str">
            <v>6.65 × 10−4</v>
          </cell>
          <cell r="H22" t="str">
            <v>7.22 × 10−3</v>
          </cell>
          <cell r="I22" t="str">
            <v>3.89 × 10−4</v>
          </cell>
          <cell r="J22" t="str">
            <v>2.01 × 10−4</v>
          </cell>
          <cell r="K22" t="str">
            <v>6.88 × 10−5</v>
          </cell>
          <cell r="L22" t="str">
            <v>1.38 × 10−3</v>
          </cell>
          <cell r="M22" t="str">
            <v>6.65</v>
          </cell>
          <cell r="N22" t="str">
            <v>4</v>
          </cell>
          <cell r="O22">
            <v>6.65</v>
          </cell>
          <cell r="P22">
            <v>-4</v>
          </cell>
          <cell r="Q22">
            <v>6.6500000000000012E-4</v>
          </cell>
          <cell r="R22" t="str">
            <v>7.22</v>
          </cell>
          <cell r="S22" t="str">
            <v>3</v>
          </cell>
          <cell r="T22">
            <v>7.22</v>
          </cell>
          <cell r="U22">
            <v>-3</v>
          </cell>
          <cell r="V22">
            <v>7.2199999999999999E-3</v>
          </cell>
          <cell r="W22">
            <v>0.18716208186659411</v>
          </cell>
          <cell r="X22">
            <v>0.1106062314793828</v>
          </cell>
          <cell r="Y22">
            <v>0.26666626465949889</v>
          </cell>
          <cell r="Z22">
            <v>4.6992305834917953</v>
          </cell>
          <cell r="AA22">
            <v>2.7770805951131039</v>
          </cell>
          <cell r="AB22">
            <v>6.6954067510674617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  <cell r="AH22">
            <v>37.5</v>
          </cell>
          <cell r="AZ22">
            <v>3684.3671467190657</v>
          </cell>
          <cell r="BA22">
            <v>4605.4589333988324</v>
          </cell>
        </row>
        <row r="23">
          <cell r="B23" t="str">
            <v>Brazil</v>
          </cell>
          <cell r="C23" t="str">
            <v>Brazil</v>
          </cell>
          <cell r="D23">
            <v>216422446</v>
          </cell>
          <cell r="E23" t="str">
            <v>5.92 × 10−4</v>
          </cell>
          <cell r="F23" t="str">
            <v>2.90 × 10−4</v>
          </cell>
          <cell r="G23" t="str">
            <v>7.35 × 10−5</v>
          </cell>
          <cell r="H23" t="str">
            <v>7.96 × 10−4</v>
          </cell>
          <cell r="I23" t="str">
            <v>7.31 × 10−5</v>
          </cell>
          <cell r="J23" t="str">
            <v>3.76 × 10−5</v>
          </cell>
          <cell r="K23" t="str">
            <v>1.31 × 10−5</v>
          </cell>
          <cell r="L23" t="str">
            <v>2.71 × 10−4</v>
          </cell>
          <cell r="M23" t="str">
            <v>7.35</v>
          </cell>
          <cell r="N23" t="str">
            <v>5</v>
          </cell>
          <cell r="O23">
            <v>7.35</v>
          </cell>
          <cell r="P23">
            <v>-5</v>
          </cell>
          <cell r="Q23">
            <v>7.3499999999999998E-5</v>
          </cell>
          <cell r="R23" t="str">
            <v>7.96</v>
          </cell>
          <cell r="S23" t="str">
            <v>4</v>
          </cell>
          <cell r="T23">
            <v>7.96</v>
          </cell>
          <cell r="U23">
            <v>-4</v>
          </cell>
          <cell r="V23">
            <v>7.9600000000000005E-4</v>
          </cell>
          <cell r="W23">
            <v>1.8822271766849079E-2</v>
          </cell>
          <cell r="X23">
            <v>4.9069958763474255E-4</v>
          </cell>
          <cell r="Y23">
            <v>0.2694573790827513</v>
          </cell>
          <cell r="Z23">
            <v>40.932035358339249</v>
          </cell>
          <cell r="AA23">
            <v>1.067104604597372</v>
          </cell>
          <cell r="AB23">
            <v>585.97809577940063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  <cell r="AH23">
            <v>53</v>
          </cell>
          <cell r="AZ23">
            <v>247519.61171462963</v>
          </cell>
          <cell r="BA23">
            <v>247519.61171462963</v>
          </cell>
        </row>
        <row r="24">
          <cell r="B24" t="str">
            <v>Burkina Faso</v>
          </cell>
          <cell r="C24" t="str">
            <v>Western Africa</v>
          </cell>
          <cell r="D24">
            <v>23251485</v>
          </cell>
          <cell r="E24" t="str">
            <v>5.64 × 10−3</v>
          </cell>
          <cell r="F24" t="str">
            <v>2.60 × 10−3</v>
          </cell>
          <cell r="G24" t="str">
            <v>6.67 × 10−4</v>
          </cell>
          <cell r="H24" t="str">
            <v>7.19 × 10−3</v>
          </cell>
          <cell r="I24" t="str">
            <v>3.87 × 10−4</v>
          </cell>
          <cell r="J24" t="str">
            <v>1.93 × 10−4</v>
          </cell>
          <cell r="K24" t="str">
            <v>6.74 × 10−5</v>
          </cell>
          <cell r="L24" t="str">
            <v>1.38 × 10−3</v>
          </cell>
          <cell r="M24" t="str">
            <v>6.67</v>
          </cell>
          <cell r="N24" t="str">
            <v>4</v>
          </cell>
          <cell r="O24">
            <v>6.67</v>
          </cell>
          <cell r="P24">
            <v>-4</v>
          </cell>
          <cell r="Q24">
            <v>6.6700000000000006E-4</v>
          </cell>
          <cell r="R24" t="str">
            <v>7.19</v>
          </cell>
          <cell r="S24" t="str">
            <v>3</v>
          </cell>
          <cell r="T24">
            <v>7.19</v>
          </cell>
          <cell r="U24">
            <v>-3</v>
          </cell>
          <cell r="V24">
            <v>7.1900000000000002E-3</v>
          </cell>
          <cell r="W24">
            <v>3.473203456091865</v>
          </cell>
          <cell r="X24">
            <v>2.3678632816257852</v>
          </cell>
          <cell r="Y24">
            <v>4.1448676686035233</v>
          </cell>
          <cell r="Z24">
            <v>789.59243135829468</v>
          </cell>
          <cell r="AA24">
            <v>538.30619176185758</v>
          </cell>
          <cell r="AB24">
            <v>942.2874822869228</v>
          </cell>
          <cell r="AC24">
            <v>380</v>
          </cell>
          <cell r="AD24">
            <v>560</v>
          </cell>
          <cell r="AE24">
            <v>775</v>
          </cell>
          <cell r="AF24">
            <v>1.92</v>
          </cell>
          <cell r="AG24">
            <v>3.91</v>
          </cell>
          <cell r="AH24">
            <v>28.5</v>
          </cell>
          <cell r="AZ24">
            <v>6991.0058404160382</v>
          </cell>
          <cell r="BA24">
            <v>8738.7573005200484</v>
          </cell>
        </row>
        <row r="25">
          <cell r="B25" t="str">
            <v>Burundi</v>
          </cell>
          <cell r="C25" t="str">
            <v>Gulf of Guinea</v>
          </cell>
          <cell r="D25">
            <v>13238559</v>
          </cell>
          <cell r="E25" t="str">
            <v>5.68 × 10−3</v>
          </cell>
          <cell r="F25" t="str">
            <v>2.77 × 10−3</v>
          </cell>
          <cell r="G25" t="str">
            <v>7.19 × 10−4</v>
          </cell>
          <cell r="H25" t="str">
            <v>7.40 × 10−3</v>
          </cell>
          <cell r="I25" t="str">
            <v>3.89 × 10−4</v>
          </cell>
          <cell r="J25" t="str">
            <v>1.99 × 10−4</v>
          </cell>
          <cell r="K25" t="str">
            <v>7.13 × 10−5</v>
          </cell>
          <cell r="L25" t="str">
            <v>1.43 × 10−3</v>
          </cell>
          <cell r="M25" t="str">
            <v>7.19</v>
          </cell>
          <cell r="N25" t="str">
            <v>4</v>
          </cell>
          <cell r="O25">
            <v>7.19</v>
          </cell>
          <cell r="P25">
            <v>-4</v>
          </cell>
          <cell r="Q25">
            <v>7.1900000000000002E-4</v>
          </cell>
          <cell r="R25" t="str">
            <v>7.40</v>
          </cell>
          <cell r="S25" t="str">
            <v>3</v>
          </cell>
          <cell r="T25">
            <v>7.4</v>
          </cell>
          <cell r="U25">
            <v>-3</v>
          </cell>
          <cell r="V25">
            <v>7.4000000000000003E-3</v>
          </cell>
          <cell r="W25">
            <v>2.269569196047486</v>
          </cell>
          <cell r="X25">
            <v>1.610791831323263</v>
          </cell>
          <cell r="Y25">
            <v>2.6936402440920122</v>
          </cell>
          <cell r="Z25">
            <v>296.01740972084087</v>
          </cell>
          <cell r="AA25">
            <v>210.0938038541415</v>
          </cell>
          <cell r="AB25">
            <v>351.32852929294347</v>
          </cell>
          <cell r="AC25">
            <v>310</v>
          </cell>
          <cell r="AD25">
            <v>455</v>
          </cell>
          <cell r="AE25">
            <v>610</v>
          </cell>
          <cell r="AF25" t="e">
            <v>#N/A</v>
          </cell>
          <cell r="AG25" t="e">
            <v>#N/A</v>
          </cell>
          <cell r="AH25">
            <v>25.8</v>
          </cell>
          <cell r="AZ25">
            <v>1120.087008538904</v>
          </cell>
          <cell r="BA25">
            <v>1400.1087606736301</v>
          </cell>
        </row>
        <row r="26">
          <cell r="B26" t="str">
            <v>Cambodia</v>
          </cell>
          <cell r="C26" t="str">
            <v>Western Pacific</v>
          </cell>
          <cell r="D26">
            <v>16944826</v>
          </cell>
          <cell r="E26" t="str">
            <v>5.66 × 10−3</v>
          </cell>
          <cell r="F26" t="str">
            <v>2.81 × 10−3</v>
          </cell>
          <cell r="G26" t="str">
            <v>7.12 × 10−4</v>
          </cell>
          <cell r="H26" t="str">
            <v>7.66 × 10−3</v>
          </cell>
          <cell r="I26" t="str">
            <v>3.88 × 10−4</v>
          </cell>
          <cell r="J26" t="str">
            <v>2.03 × 10−4</v>
          </cell>
          <cell r="K26" t="str">
            <v>7.10 × 10−5</v>
          </cell>
          <cell r="L26" t="str">
            <v>1.44 × 10−3</v>
          </cell>
          <cell r="M26" t="str">
            <v>7.12</v>
          </cell>
          <cell r="N26" t="str">
            <v>4</v>
          </cell>
          <cell r="O26">
            <v>7.12</v>
          </cell>
          <cell r="P26">
            <v>-4</v>
          </cell>
          <cell r="Q26">
            <v>7.1200000000000007E-4</v>
          </cell>
          <cell r="R26" t="str">
            <v>7.66</v>
          </cell>
          <cell r="S26" t="str">
            <v>3</v>
          </cell>
          <cell r="T26">
            <v>7.66</v>
          </cell>
          <cell r="U26">
            <v>-3</v>
          </cell>
          <cell r="V26">
            <v>7.6600000000000001E-3</v>
          </cell>
          <cell r="W26">
            <v>0.23187037109352709</v>
          </cell>
          <cell r="X26">
            <v>0.16422744766005901</v>
          </cell>
          <cell r="Y26">
            <v>0.41816511698798547</v>
          </cell>
          <cell r="Z26">
            <v>40.487529443425487</v>
          </cell>
          <cell r="AA26">
            <v>28.676210725833759</v>
          </cell>
          <cell r="AB26">
            <v>73.016972398924821</v>
          </cell>
          <cell r="AC26">
            <v>540</v>
          </cell>
          <cell r="AD26">
            <v>800</v>
          </cell>
          <cell r="AE26">
            <v>1050</v>
          </cell>
          <cell r="AF26">
            <v>3.2</v>
          </cell>
          <cell r="AG26">
            <v>6.4</v>
          </cell>
          <cell r="AH26">
            <v>38</v>
          </cell>
          <cell r="AZ26">
            <v>24281.725224463491</v>
          </cell>
          <cell r="BA26">
            <v>30352.156530579363</v>
          </cell>
        </row>
        <row r="27">
          <cell r="B27" t="str">
            <v>Cameroon</v>
          </cell>
          <cell r="C27" t="str">
            <v>Western Africa</v>
          </cell>
          <cell r="D27">
            <v>28647293</v>
          </cell>
          <cell r="E27" t="str">
            <v>5.64 × 10−3</v>
          </cell>
          <cell r="F27" t="str">
            <v>2.82 × 10−3</v>
          </cell>
          <cell r="G27" t="str">
            <v>6.95 × 10−4</v>
          </cell>
          <cell r="H27" t="str">
            <v>7.68 × 10−3</v>
          </cell>
          <cell r="I27" t="str">
            <v>3.87 × 10−4</v>
          </cell>
          <cell r="J27" t="str">
            <v>2.08 × 10−4</v>
          </cell>
          <cell r="K27" t="str">
            <v>7.01 × 10−5</v>
          </cell>
          <cell r="L27" t="str">
            <v>1.40 × 10−3</v>
          </cell>
          <cell r="M27" t="str">
            <v>6.95</v>
          </cell>
          <cell r="N27" t="str">
            <v>4</v>
          </cell>
          <cell r="O27">
            <v>6.95</v>
          </cell>
          <cell r="P27">
            <v>-4</v>
          </cell>
          <cell r="Q27">
            <v>6.9500000000000009E-4</v>
          </cell>
          <cell r="R27" t="str">
            <v>7.68</v>
          </cell>
          <cell r="S27" t="str">
            <v>3</v>
          </cell>
          <cell r="T27">
            <v>7.68</v>
          </cell>
          <cell r="U27">
            <v>-3</v>
          </cell>
          <cell r="V27">
            <v>7.6800000000000002E-3</v>
          </cell>
          <cell r="W27">
            <v>0.80570209560623063</v>
          </cell>
          <cell r="X27">
            <v>0.57884486537680246</v>
          </cell>
          <cell r="Y27">
            <v>0.98750589980275105</v>
          </cell>
          <cell r="Z27">
            <v>230.8876561561087</v>
          </cell>
          <cell r="AA27">
            <v>165.8778535809665</v>
          </cell>
          <cell r="AB27">
            <v>282.98663226664581</v>
          </cell>
          <cell r="AC27">
            <v>510</v>
          </cell>
          <cell r="AD27">
            <v>750</v>
          </cell>
          <cell r="AE27">
            <v>1010</v>
          </cell>
          <cell r="AF27">
            <v>2.21</v>
          </cell>
          <cell r="AG27">
            <v>4.1399999999999997</v>
          </cell>
          <cell r="AH27">
            <v>33.700000000000003</v>
          </cell>
          <cell r="AZ27">
            <v>29845.790216503367</v>
          </cell>
          <cell r="BA27">
            <v>37307.23777062921</v>
          </cell>
        </row>
        <row r="28">
          <cell r="B28" t="str">
            <v>Central African Republic</v>
          </cell>
          <cell r="C28" t="str">
            <v>Gulf of Guinea</v>
          </cell>
          <cell r="D28">
            <v>5742315</v>
          </cell>
          <cell r="E28" t="str">
            <v>5.68 × 10−3</v>
          </cell>
          <cell r="F28" t="str">
            <v>2.88 × 10−3</v>
          </cell>
          <cell r="G28" t="str">
            <v>7.50 × 10−4</v>
          </cell>
          <cell r="H28" t="str">
            <v>7.83 × 10−3</v>
          </cell>
          <cell r="I28" t="str">
            <v>3.89 × 10−4</v>
          </cell>
          <cell r="J28" t="str">
            <v>2.08 × 10−4</v>
          </cell>
          <cell r="K28" t="str">
            <v>7.42 × 10−5</v>
          </cell>
          <cell r="L28" t="str">
            <v>1.49 × 10−3</v>
          </cell>
          <cell r="M28" t="str">
            <v>7.50</v>
          </cell>
          <cell r="N28" t="str">
            <v>4</v>
          </cell>
          <cell r="O28">
            <v>7.5</v>
          </cell>
          <cell r="P28">
            <v>-4</v>
          </cell>
          <cell r="Q28">
            <v>7.5000000000000002E-4</v>
          </cell>
          <cell r="R28" t="str">
            <v>7.83</v>
          </cell>
          <cell r="S28" t="str">
            <v>3</v>
          </cell>
          <cell r="T28">
            <v>7.83</v>
          </cell>
          <cell r="U28">
            <v>-3</v>
          </cell>
          <cell r="V28">
            <v>7.8300000000000002E-3</v>
          </cell>
          <cell r="W28">
            <v>5.300670419689343</v>
          </cell>
          <cell r="X28">
            <v>3.5649496288353522</v>
          </cell>
          <cell r="Y28">
            <v>6.5394859179951084</v>
          </cell>
          <cell r="Z28">
            <v>268.8043681628331</v>
          </cell>
          <cell r="AA28">
            <v>180.7835531429956</v>
          </cell>
          <cell r="AB28">
            <v>331.62642479466621</v>
          </cell>
          <cell r="AC28">
            <v>98</v>
          </cell>
          <cell r="AD28">
            <v>149</v>
          </cell>
          <cell r="AE28">
            <v>200</v>
          </cell>
          <cell r="AF28">
            <v>1.96</v>
          </cell>
          <cell r="AG28">
            <v>4</v>
          </cell>
          <cell r="AH28">
            <v>15.2</v>
          </cell>
          <cell r="AZ28">
            <v>485.84535752252771</v>
          </cell>
          <cell r="BA28">
            <v>607.3066969031596</v>
          </cell>
        </row>
        <row r="29">
          <cell r="B29" t="str">
            <v>Chad</v>
          </cell>
          <cell r="C29" t="str">
            <v>Western Africa</v>
          </cell>
          <cell r="D29">
            <v>18278568</v>
          </cell>
          <cell r="E29" t="str">
            <v>5.64 × 10−3</v>
          </cell>
          <cell r="F29" t="str">
            <v>2.61 × 10−3</v>
          </cell>
          <cell r="G29" t="str">
            <v>6.67 × 10−4</v>
          </cell>
          <cell r="H29" t="str">
            <v>7.16 × 10−3</v>
          </cell>
          <cell r="I29" t="str">
            <v>3.87 × 10−4</v>
          </cell>
          <cell r="J29" t="str">
            <v>1.91 × 10−4</v>
          </cell>
          <cell r="K29" t="str">
            <v>6.90 × 10−5</v>
          </cell>
          <cell r="L29" t="str">
            <v>1.38 × 10−3</v>
          </cell>
          <cell r="M29" t="str">
            <v>6.67</v>
          </cell>
          <cell r="N29" t="str">
            <v>4</v>
          </cell>
          <cell r="O29">
            <v>6.67</v>
          </cell>
          <cell r="P29">
            <v>-4</v>
          </cell>
          <cell r="Q29">
            <v>6.6700000000000006E-4</v>
          </cell>
          <cell r="R29" t="str">
            <v>7.16</v>
          </cell>
          <cell r="S29" t="str">
            <v>3</v>
          </cell>
          <cell r="T29">
            <v>7.16</v>
          </cell>
          <cell r="U29">
            <v>-3</v>
          </cell>
          <cell r="V29">
            <v>7.1600000000000006E-3</v>
          </cell>
          <cell r="W29">
            <v>6.2683734028926494</v>
          </cell>
          <cell r="X29">
            <v>4.2960282039678868</v>
          </cell>
          <cell r="Y29">
            <v>7.9460347640099096</v>
          </cell>
          <cell r="Z29">
            <v>1124.4552669815471</v>
          </cell>
          <cell r="AA29">
            <v>770.64514676546867</v>
          </cell>
          <cell r="AB29">
            <v>1425.4033810248491</v>
          </cell>
          <cell r="AC29">
            <v>310</v>
          </cell>
          <cell r="AD29">
            <v>470</v>
          </cell>
          <cell r="AE29">
            <v>648</v>
          </cell>
          <cell r="AF29">
            <v>2.0499999999999998</v>
          </cell>
          <cell r="AG29">
            <v>4.29</v>
          </cell>
          <cell r="AH29">
            <v>23.8</v>
          </cell>
          <cell r="AZ29">
            <v>1546.5117126036857</v>
          </cell>
          <cell r="BA29">
            <v>1933.1396407546072</v>
          </cell>
        </row>
        <row r="30">
          <cell r="B30" t="str">
            <v>China</v>
          </cell>
          <cell r="C30" t="str">
            <v>China</v>
          </cell>
          <cell r="D30">
            <v>1425671352</v>
          </cell>
          <cell r="E30" t="str">
            <v>4.25 × 10−3</v>
          </cell>
          <cell r="F30" t="str">
            <v>1.86 × 10−3</v>
          </cell>
          <cell r="G30" t="str">
            <v>4.76 × 10−4</v>
          </cell>
          <cell r="H30" t="str">
            <v>5.10 × 10−3</v>
          </cell>
          <cell r="I30" t="str">
            <v>3.14 × 10−4</v>
          </cell>
          <cell r="J30" t="str">
            <v>1.51 × 10−4</v>
          </cell>
          <cell r="K30" t="str">
            <v>5.30 × 10−5</v>
          </cell>
          <cell r="L30" t="str">
            <v>1.06 × 10−3</v>
          </cell>
          <cell r="M30" t="str">
            <v>4.76</v>
          </cell>
          <cell r="N30" t="str">
            <v>4</v>
          </cell>
          <cell r="O30">
            <v>4.76</v>
          </cell>
          <cell r="P30">
            <v>-4</v>
          </cell>
          <cell r="Q30">
            <v>4.7600000000000002E-4</v>
          </cell>
          <cell r="R30" t="str">
            <v>5.10</v>
          </cell>
          <cell r="S30" t="str">
            <v>3</v>
          </cell>
          <cell r="T30">
            <v>5.0999999999999996</v>
          </cell>
          <cell r="U30">
            <v>-3</v>
          </cell>
          <cell r="V30">
            <v>5.0999999999999995E-3</v>
          </cell>
          <cell r="W30">
            <v>3.4991267205434357E-2</v>
          </cell>
          <cell r="X30">
            <v>1.883369227162927E-2</v>
          </cell>
          <cell r="Y30">
            <v>7.2755878389809125E-2</v>
          </cell>
          <cell r="Z30">
            <v>496.10547091745451</v>
          </cell>
          <cell r="AA30">
            <v>267.02370390518348</v>
          </cell>
          <cell r="AB30">
            <v>1031.531356057422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  <cell r="AH30">
            <v>70.2</v>
          </cell>
          <cell r="AZ30">
            <v>2311822.3774839984</v>
          </cell>
          <cell r="BA30">
            <v>2311822.3774839984</v>
          </cell>
        </row>
        <row r="31">
          <cell r="B31" t="str">
            <v>Colombia</v>
          </cell>
          <cell r="C31" t="str">
            <v>Andean Region</v>
          </cell>
          <cell r="D31">
            <v>52085168</v>
          </cell>
          <cell r="E31" t="str">
            <v>4.41 × 10−4</v>
          </cell>
          <cell r="F31" t="str">
            <v>2.18 × 10−4</v>
          </cell>
          <cell r="G31" t="str">
            <v>5.62 × 10−5</v>
          </cell>
          <cell r="H31" t="str">
            <v>6.28 × 10−4</v>
          </cell>
          <cell r="I31" t="str">
            <v>5.89 × 10−5</v>
          </cell>
          <cell r="J31" t="str">
            <v>3.11 × 10−5</v>
          </cell>
          <cell r="K31" t="str">
            <v>1.09 × 10−5</v>
          </cell>
          <cell r="L31" t="str">
            <v>2.31 × 10−4</v>
          </cell>
          <cell r="M31" t="str">
            <v>5.62</v>
          </cell>
          <cell r="N31" t="str">
            <v>5</v>
          </cell>
          <cell r="O31">
            <v>5.62</v>
          </cell>
          <cell r="P31">
            <v>-5</v>
          </cell>
          <cell r="Q31">
            <v>5.6200000000000004E-5</v>
          </cell>
          <cell r="R31" t="str">
            <v>6.28</v>
          </cell>
          <cell r="S31" t="str">
            <v>4</v>
          </cell>
          <cell r="T31">
            <v>6.28</v>
          </cell>
          <cell r="U31">
            <v>-4</v>
          </cell>
          <cell r="V31">
            <v>6.2800000000000009E-4</v>
          </cell>
          <cell r="W31">
            <v>1.8627553466643361E-2</v>
          </cell>
          <cell r="X31">
            <v>6.4974515572119079E-4</v>
          </cell>
          <cell r="Y31">
            <v>0.32823987761142348</v>
          </cell>
          <cell r="Z31">
            <v>9.8963622124981416</v>
          </cell>
          <cell r="AA31">
            <v>0.34519366262174012</v>
          </cell>
          <cell r="AB31">
            <v>174.3857950667344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  <cell r="AH31">
            <v>61.1</v>
          </cell>
          <cell r="AZ31">
            <v>72164.204753582584</v>
          </cell>
          <cell r="BA31">
            <v>72164.204753582584</v>
          </cell>
        </row>
        <row r="32">
          <cell r="B32" t="str">
            <v>Congo</v>
          </cell>
          <cell r="C32" t="str">
            <v>Gulf of Guinea</v>
          </cell>
          <cell r="D32">
            <v>6106869</v>
          </cell>
          <cell r="E32" t="str">
            <v>5.72 × 10−3</v>
          </cell>
          <cell r="F32" t="str">
            <v>2.75 × 10−3</v>
          </cell>
          <cell r="G32" t="str">
            <v>6.90 × 10−4</v>
          </cell>
          <cell r="H32" t="str">
            <v>7.74 × 10−3</v>
          </cell>
          <cell r="I32" t="str">
            <v>3.91 × 10−4</v>
          </cell>
          <cell r="J32" t="str">
            <v>2.03 × 10−4</v>
          </cell>
          <cell r="K32" t="str">
            <v>6.97 × 10−5</v>
          </cell>
          <cell r="L32" t="str">
            <v>1.42 × 10−3</v>
          </cell>
          <cell r="M32" t="str">
            <v>6.90</v>
          </cell>
          <cell r="N32" t="str">
            <v>4</v>
          </cell>
          <cell r="O32">
            <v>6.9</v>
          </cell>
          <cell r="P32">
            <v>-4</v>
          </cell>
          <cell r="Q32">
            <v>6.9000000000000008E-4</v>
          </cell>
          <cell r="R32" t="str">
            <v>7.74</v>
          </cell>
          <cell r="S32" t="str">
            <v>3</v>
          </cell>
          <cell r="T32">
            <v>7.74</v>
          </cell>
          <cell r="U32">
            <v>-3</v>
          </cell>
          <cell r="V32">
            <v>7.7400000000000004E-3</v>
          </cell>
          <cell r="W32">
            <v>0.38231764372875371</v>
          </cell>
          <cell r="X32">
            <v>0.25219229298770462</v>
          </cell>
          <cell r="Y32">
            <v>0.49563526117691592</v>
          </cell>
          <cell r="Z32">
            <v>22.761915389713671</v>
          </cell>
          <cell r="AA32">
            <v>15.014686685495191</v>
          </cell>
          <cell r="AB32">
            <v>29.50846779928278</v>
          </cell>
          <cell r="AC32">
            <v>93</v>
          </cell>
          <cell r="AD32">
            <v>133</v>
          </cell>
          <cell r="AE32">
            <v>178</v>
          </cell>
          <cell r="AF32" t="e">
            <v>#N/A</v>
          </cell>
          <cell r="AG32" t="e">
            <v>#N/A</v>
          </cell>
          <cell r="AH32">
            <v>34</v>
          </cell>
          <cell r="AZ32">
            <v>6618.8464355764681</v>
          </cell>
          <cell r="BA32">
            <v>8273.5580444705847</v>
          </cell>
        </row>
        <row r="33">
          <cell r="B33" t="str">
            <v>Cuba</v>
          </cell>
          <cell r="C33" t="str">
            <v>Caribbean</v>
          </cell>
          <cell r="D33">
            <v>11194449</v>
          </cell>
          <cell r="E33" t="str">
            <v>7.57 × 10−4</v>
          </cell>
          <cell r="F33" t="str">
            <v>3.74 × 10−4</v>
          </cell>
          <cell r="G33" t="str">
            <v>9.46 × 10−5</v>
          </cell>
          <cell r="H33" t="str">
            <v>1.03 × 10−3</v>
          </cell>
          <cell r="I33" t="str">
            <v>8.77 × 10−5</v>
          </cell>
          <cell r="J33" t="str">
            <v>4.56 × 10−5</v>
          </cell>
          <cell r="K33" t="str">
            <v>1.63 × 10−5</v>
          </cell>
          <cell r="L33" t="str">
            <v>3.22 × 10−4</v>
          </cell>
          <cell r="M33" t="str">
            <v>9.46</v>
          </cell>
          <cell r="N33" t="str">
            <v>5</v>
          </cell>
          <cell r="O33">
            <v>9.4600000000000009</v>
          </cell>
          <cell r="P33">
            <v>-5</v>
          </cell>
          <cell r="Q33">
            <v>9.4600000000000023E-5</v>
          </cell>
          <cell r="R33" t="str">
            <v>1.03</v>
          </cell>
          <cell r="S33" t="str">
            <v>3</v>
          </cell>
          <cell r="T33">
            <v>1.03</v>
          </cell>
          <cell r="U33">
            <v>-3</v>
          </cell>
          <cell r="V33">
            <v>1.0300000000000001E-3</v>
          </cell>
          <cell r="W33">
            <v>1.9758302085670669E-3</v>
          </cell>
          <cell r="X33">
            <v>7.1017735923866755E-5</v>
          </cell>
          <cell r="Y33">
            <v>8.5648419694931754E-2</v>
          </cell>
          <cell r="Z33">
            <v>0.2235627832509125</v>
          </cell>
          <cell r="AA33">
            <v>8.035570381744692E-3</v>
          </cell>
          <cell r="AB33">
            <v>9.6910144429504292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  <cell r="AH33">
            <v>66.2</v>
          </cell>
          <cell r="AZ33">
            <v>17035.875827994059</v>
          </cell>
          <cell r="BA33">
            <v>17035.875827994059</v>
          </cell>
        </row>
        <row r="34">
          <cell r="B34" t="str">
            <v>Democratic Republic of Congo</v>
          </cell>
          <cell r="C34" t="str">
            <v>Gulf of Guinea</v>
          </cell>
          <cell r="D34">
            <v>102262808</v>
          </cell>
          <cell r="E34" t="str">
            <v>5.68 × 10−3</v>
          </cell>
          <cell r="F34" t="str">
            <v>2.87 × 10−3</v>
          </cell>
          <cell r="G34" t="str">
            <v>7.08 × 10−4</v>
          </cell>
          <cell r="H34" t="str">
            <v>7.66 × 10−3</v>
          </cell>
          <cell r="I34" t="str">
            <v>3.89 × 10−4</v>
          </cell>
          <cell r="J34" t="str">
            <v>2.07 × 10−4</v>
          </cell>
          <cell r="K34" t="str">
            <v>7.01 × 10−5</v>
          </cell>
          <cell r="L34" t="str">
            <v>1.45 × 10−3</v>
          </cell>
          <cell r="M34" t="str">
            <v>7.08</v>
          </cell>
          <cell r="N34" t="str">
            <v>4</v>
          </cell>
          <cell r="O34">
            <v>7.08</v>
          </cell>
          <cell r="P34">
            <v>-4</v>
          </cell>
          <cell r="Q34">
            <v>7.0800000000000008E-4</v>
          </cell>
          <cell r="R34" t="str">
            <v>7.66</v>
          </cell>
          <cell r="S34" t="str">
            <v>3</v>
          </cell>
          <cell r="T34">
            <v>7.66</v>
          </cell>
          <cell r="U34">
            <v>-3</v>
          </cell>
          <cell r="V34">
            <v>7.6600000000000001E-3</v>
          </cell>
          <cell r="W34">
            <v>3.0906909184644049</v>
          </cell>
          <cell r="X34">
            <v>2.129886154940047</v>
          </cell>
          <cell r="Y34">
            <v>3.675783479511483</v>
          </cell>
          <cell r="Z34">
            <v>3041.0915844068609</v>
          </cell>
          <cell r="AA34">
            <v>2095.7057927846831</v>
          </cell>
          <cell r="AB34">
            <v>3616.7945940055588</v>
          </cell>
          <cell r="AC34">
            <v>1520</v>
          </cell>
          <cell r="AD34">
            <v>2296</v>
          </cell>
          <cell r="AE34">
            <v>3175</v>
          </cell>
          <cell r="AF34" t="e">
            <v>#N/A</v>
          </cell>
          <cell r="AG34" t="e">
            <v>#N/A</v>
          </cell>
          <cell r="AH34">
            <v>29</v>
          </cell>
        </row>
        <row r="35">
          <cell r="B35" t="str">
            <v>Djibouti</v>
          </cell>
          <cell r="C35" t="str">
            <v>Northern Africa</v>
          </cell>
          <cell r="D35">
            <v>1136455</v>
          </cell>
          <cell r="E35" t="str">
            <v>5.72 × 10−3</v>
          </cell>
          <cell r="F35" t="str">
            <v>2.70 × 10−3</v>
          </cell>
          <cell r="G35" t="str">
            <v>7.22 × 10−4</v>
          </cell>
          <cell r="H35" t="str">
            <v>7.63 × 10−3</v>
          </cell>
          <cell r="I35" t="str">
            <v>3.91 × 10−4</v>
          </cell>
          <cell r="J35" t="str">
            <v>1.99 × 10−4</v>
          </cell>
          <cell r="K35" t="str">
            <v>7.08 × 10−5</v>
          </cell>
          <cell r="L35" t="str">
            <v>1.42 × 10−3</v>
          </cell>
          <cell r="M35" t="str">
            <v>7.22</v>
          </cell>
          <cell r="N35" t="str">
            <v>4</v>
          </cell>
          <cell r="O35">
            <v>7.22</v>
          </cell>
          <cell r="P35">
            <v>-4</v>
          </cell>
          <cell r="Q35">
            <v>7.2199999999999999E-4</v>
          </cell>
          <cell r="R35" t="str">
            <v>7.63</v>
          </cell>
          <cell r="S35" t="str">
            <v>3</v>
          </cell>
          <cell r="T35">
            <v>7.63</v>
          </cell>
          <cell r="U35">
            <v>-3</v>
          </cell>
          <cell r="V35">
            <v>7.6299999999999996E-3</v>
          </cell>
          <cell r="W35">
            <v>0.86211543134117197</v>
          </cell>
          <cell r="X35">
            <v>0.62214656916959243</v>
          </cell>
          <cell r="Y35">
            <v>1.0529355182222819</v>
          </cell>
          <cell r="Z35">
            <v>8.9135787440853189</v>
          </cell>
          <cell r="AA35">
            <v>6.4324941104796203</v>
          </cell>
          <cell r="AB35">
            <v>10.886504652303829</v>
          </cell>
          <cell r="AC35">
            <v>14</v>
          </cell>
          <cell r="AD35">
            <v>20</v>
          </cell>
          <cell r="AE35">
            <v>27</v>
          </cell>
          <cell r="AF35" t="e">
            <v>#N/A</v>
          </cell>
          <cell r="AG35" t="e">
            <v>#N/A</v>
          </cell>
          <cell r="AH35">
            <v>32.6</v>
          </cell>
        </row>
        <row r="36">
          <cell r="B36" t="str">
            <v>Dominican Republic</v>
          </cell>
          <cell r="C36" t="str">
            <v>Caribbean</v>
          </cell>
          <cell r="D36">
            <v>11332972</v>
          </cell>
          <cell r="E36" t="str">
            <v>3.13 × 10−3</v>
          </cell>
          <cell r="F36" t="str">
            <v>1.56 × 10−3</v>
          </cell>
          <cell r="G36" t="str">
            <v>3.96 × 10−4</v>
          </cell>
          <cell r="H36" t="str">
            <v>4.23 × 10−3</v>
          </cell>
          <cell r="I36" t="str">
            <v>2.50 × 10−4</v>
          </cell>
          <cell r="J36" t="str">
            <v>1.33 × 10−4</v>
          </cell>
          <cell r="K36" t="str">
            <v>4.56 × 10−5</v>
          </cell>
          <cell r="L36" t="str">
            <v>8.98 × 10−4</v>
          </cell>
          <cell r="M36" t="str">
            <v>3.96</v>
          </cell>
          <cell r="N36" t="str">
            <v>4</v>
          </cell>
          <cell r="O36">
            <v>3.96</v>
          </cell>
          <cell r="P36">
            <v>-4</v>
          </cell>
          <cell r="Q36">
            <v>3.9600000000000003E-4</v>
          </cell>
          <cell r="R36" t="str">
            <v>4.23</v>
          </cell>
          <cell r="S36" t="str">
            <v>3</v>
          </cell>
          <cell r="T36">
            <v>4.2300000000000004</v>
          </cell>
          <cell r="U36">
            <v>-3</v>
          </cell>
          <cell r="V36">
            <v>4.2300000000000003E-3</v>
          </cell>
          <cell r="W36">
            <v>1.786330862158661E-2</v>
          </cell>
          <cell r="X36">
            <v>7.8708746952712216E-4</v>
          </cell>
          <cell r="Y36">
            <v>0.38061799029640658</v>
          </cell>
          <cell r="Z36">
            <v>1.9999008613640861</v>
          </cell>
          <cell r="AA36">
            <v>8.8119000887326104E-2</v>
          </cell>
          <cell r="AB36">
            <v>42.612388486900677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  <cell r="AH36">
            <v>45.4</v>
          </cell>
        </row>
        <row r="37">
          <cell r="B37" t="str">
            <v>Ecuador</v>
          </cell>
          <cell r="C37" t="str">
            <v>Andean Region</v>
          </cell>
          <cell r="D37">
            <v>18190484</v>
          </cell>
          <cell r="E37" t="str">
            <v>2.88 × 10−4</v>
          </cell>
          <cell r="F37" t="str">
            <v>1.77 × 10−4</v>
          </cell>
          <cell r="G37" t="str">
            <v>4.48 × 10−5</v>
          </cell>
          <cell r="H37" t="str">
            <v>5.01 × 10−4</v>
          </cell>
          <cell r="I37" t="str">
            <v>4.30 × 10−5</v>
          </cell>
          <cell r="J37" t="str">
            <v>2.61 × 10−5</v>
          </cell>
          <cell r="K37" t="str">
            <v>9.18 × 10−6</v>
          </cell>
          <cell r="L37" t="str">
            <v>1.93 × 10−4</v>
          </cell>
          <cell r="M37" t="str">
            <v>4.48</v>
          </cell>
          <cell r="N37" t="str">
            <v>5</v>
          </cell>
          <cell r="O37">
            <v>4.4800000000000004</v>
          </cell>
          <cell r="P37">
            <v>-5</v>
          </cell>
          <cell r="Q37">
            <v>4.4800000000000005E-5</v>
          </cell>
          <cell r="R37" t="str">
            <v>5.01</v>
          </cell>
          <cell r="S37" t="str">
            <v>4</v>
          </cell>
          <cell r="T37">
            <v>5.01</v>
          </cell>
          <cell r="U37">
            <v>-4</v>
          </cell>
          <cell r="V37">
            <v>5.0100000000000003E-4</v>
          </cell>
          <cell r="W37">
            <v>1.882657496343523E-2</v>
          </cell>
          <cell r="X37">
            <v>4.9281980366950586E-4</v>
          </cell>
          <cell r="Y37">
            <v>0.27024278330646823</v>
          </cell>
          <cell r="Z37">
            <v>3.4961607556959189</v>
          </cell>
          <cell r="AA37">
            <v>9.1518359582953457E-2</v>
          </cell>
          <cell r="AB37">
            <v>50.185029159106982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  <cell r="AH37">
            <v>52.9</v>
          </cell>
        </row>
        <row r="38">
          <cell r="B38" t="str">
            <v>Egypt</v>
          </cell>
          <cell r="C38" t="str">
            <v>Northern Africa</v>
          </cell>
          <cell r="D38">
            <v>112716598</v>
          </cell>
          <cell r="E38" t="str">
            <v>3.38 × 10−3</v>
          </cell>
          <cell r="F38" t="str">
            <v>1.66 × 10−3</v>
          </cell>
          <cell r="G38" t="str">
            <v>4.30 × 10−4</v>
          </cell>
          <cell r="H38" t="str">
            <v>4.43 × 10−3</v>
          </cell>
          <cell r="I38" t="str">
            <v>2.65 × 10−4</v>
          </cell>
          <cell r="J38" t="str">
            <v>1.37 × 10−4</v>
          </cell>
          <cell r="K38" t="str">
            <v>4.78 × 10−5</v>
          </cell>
          <cell r="L38" t="str">
            <v>9.86 × 10−4</v>
          </cell>
          <cell r="M38" t="str">
            <v>4.30</v>
          </cell>
          <cell r="N38" t="str">
            <v>4</v>
          </cell>
          <cell r="O38">
            <v>4.3</v>
          </cell>
          <cell r="P38">
            <v>-4</v>
          </cell>
          <cell r="Q38">
            <v>4.2999999999999999E-4</v>
          </cell>
          <cell r="R38" t="str">
            <v>4.43</v>
          </cell>
          <cell r="S38" t="str">
            <v>3</v>
          </cell>
          <cell r="T38">
            <v>4.43</v>
          </cell>
          <cell r="U38">
            <v>-3</v>
          </cell>
          <cell r="V38">
            <v>4.4299999999999999E-3</v>
          </cell>
          <cell r="W38">
            <v>8.8069891080024207E-2</v>
          </cell>
          <cell r="X38">
            <v>4.7272999291209608E-2</v>
          </cell>
          <cell r="Y38">
            <v>0.14683659257180101</v>
          </cell>
          <cell r="Z38">
            <v>95.610659123512221</v>
          </cell>
          <cell r="AA38">
            <v>51.32063370977697</v>
          </cell>
          <cell r="AB38">
            <v>159.40911504573029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  <cell r="AH38">
            <v>51.6</v>
          </cell>
        </row>
        <row r="39">
          <cell r="B39" t="str">
            <v>El Salvador</v>
          </cell>
          <cell r="C39" t="str">
            <v>Central America</v>
          </cell>
          <cell r="D39">
            <v>6364943</v>
          </cell>
          <cell r="E39" t="str">
            <v>7.14 × 10−4</v>
          </cell>
          <cell r="F39" t="str">
            <v>3.53 × 10−4</v>
          </cell>
          <cell r="G39" t="str">
            <v>9.17 × 10−5</v>
          </cell>
          <cell r="H39" t="str">
            <v>9.57 × 10−4</v>
          </cell>
          <cell r="I39" t="str">
            <v>8.40 × 10−5</v>
          </cell>
          <cell r="J39" t="str">
            <v>4.42 × 10−5</v>
          </cell>
          <cell r="K39" t="str">
            <v>1.55 × 10−5</v>
          </cell>
          <cell r="L39" t="str">
            <v>3.13 × 10−4</v>
          </cell>
          <cell r="M39" t="str">
            <v>9.17</v>
          </cell>
          <cell r="N39" t="str">
            <v>5</v>
          </cell>
          <cell r="O39">
            <v>9.17</v>
          </cell>
          <cell r="P39">
            <v>-5</v>
          </cell>
          <cell r="Q39">
            <v>9.1700000000000006E-5</v>
          </cell>
          <cell r="R39" t="str">
            <v>9.57</v>
          </cell>
          <cell r="S39" t="str">
            <v>4</v>
          </cell>
          <cell r="T39">
            <v>9.57</v>
          </cell>
          <cell r="U39">
            <v>-4</v>
          </cell>
          <cell r="V39">
            <v>9.5700000000000006E-4</v>
          </cell>
          <cell r="W39">
            <v>1.824821591732452E-2</v>
          </cell>
          <cell r="X39">
            <v>7.271159759414163E-4</v>
          </cell>
          <cell r="Y39">
            <v>0.35737972162107912</v>
          </cell>
          <cell r="Z39">
            <v>1.2018517779965019</v>
          </cell>
          <cell r="AA39">
            <v>4.7888825540758878E-2</v>
          </cell>
          <cell r="AB39">
            <v>23.537503928940971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  <cell r="AH39">
            <v>54.7</v>
          </cell>
        </row>
        <row r="40">
          <cell r="B40" t="str">
            <v>Equatorial Guinea</v>
          </cell>
          <cell r="C40" t="str">
            <v>Gulf of Guinea</v>
          </cell>
          <cell r="D40">
            <v>1714671</v>
          </cell>
          <cell r="E40" t="str">
            <v>5.68 × 10−3</v>
          </cell>
          <cell r="F40" t="str">
            <v>2.90 × 10−3</v>
          </cell>
          <cell r="G40" t="str">
            <v>7.45 × 10−4</v>
          </cell>
          <cell r="H40" t="str">
            <v>7.75 × 10−3</v>
          </cell>
          <cell r="I40" t="str">
            <v>3.89 × 10−4</v>
          </cell>
          <cell r="J40" t="str">
            <v>2.09 × 10−4</v>
          </cell>
          <cell r="K40" t="str">
            <v>7.44 × 10−5</v>
          </cell>
          <cell r="L40" t="str">
            <v>1.48 × 10−3</v>
          </cell>
          <cell r="M40" t="str">
            <v>7.45</v>
          </cell>
          <cell r="N40" t="str">
            <v>4</v>
          </cell>
          <cell r="O40">
            <v>7.45</v>
          </cell>
          <cell r="P40">
            <v>-4</v>
          </cell>
          <cell r="Q40">
            <v>7.45E-4</v>
          </cell>
          <cell r="R40" t="str">
            <v>7.75</v>
          </cell>
          <cell r="S40" t="str">
            <v>3</v>
          </cell>
          <cell r="T40">
            <v>7.75</v>
          </cell>
          <cell r="U40">
            <v>-3</v>
          </cell>
          <cell r="V40">
            <v>7.7499999999999999E-3</v>
          </cell>
          <cell r="W40">
            <v>0.39931753468769748</v>
          </cell>
          <cell r="X40">
            <v>0.2650748800786657</v>
          </cell>
          <cell r="Y40">
            <v>0.51544811236768839</v>
          </cell>
          <cell r="Z40">
            <v>6.2203336098308313</v>
          </cell>
          <cell r="AA40">
            <v>4.1291805203714764</v>
          </cell>
          <cell r="AB40">
            <v>8.0293474214503924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  <cell r="AH40">
            <v>42.4</v>
          </cell>
        </row>
        <row r="41">
          <cell r="B41" t="str">
            <v>Eritrea</v>
          </cell>
          <cell r="C41" t="str">
            <v>Northern Africa</v>
          </cell>
          <cell r="D41">
            <v>3748901</v>
          </cell>
          <cell r="E41" t="str">
            <v>5.72 × 10−3</v>
          </cell>
          <cell r="F41" t="str">
            <v>2.81 × 10−3</v>
          </cell>
          <cell r="G41" t="str">
            <v>7.38 × 10−4</v>
          </cell>
          <cell r="H41" t="str">
            <v>7.60 × 10−3</v>
          </cell>
          <cell r="I41" t="str">
            <v>3.91 × 10−4</v>
          </cell>
          <cell r="J41" t="str">
            <v>2.02 × 10−4</v>
          </cell>
          <cell r="K41" t="str">
            <v>7.26 × 10−5</v>
          </cell>
          <cell r="L41" t="str">
            <v>1.41 × 10−3</v>
          </cell>
          <cell r="M41" t="str">
            <v>7.38</v>
          </cell>
          <cell r="N41" t="str">
            <v>4</v>
          </cell>
          <cell r="O41">
            <v>7.38</v>
          </cell>
          <cell r="P41">
            <v>-4</v>
          </cell>
          <cell r="Q41">
            <v>7.3800000000000005E-4</v>
          </cell>
          <cell r="R41" t="str">
            <v>7.60</v>
          </cell>
          <cell r="S41" t="str">
            <v>3</v>
          </cell>
          <cell r="T41">
            <v>7.6</v>
          </cell>
          <cell r="U41">
            <v>-3</v>
          </cell>
          <cell r="V41">
            <v>7.6E-3</v>
          </cell>
          <cell r="W41">
            <v>0.69767632957236059</v>
          </cell>
          <cell r="X41">
            <v>0.49541697163894521</v>
          </cell>
          <cell r="Y41">
            <v>0.86218119139426663</v>
          </cell>
          <cell r="Z41">
            <v>25.260528259521749</v>
          </cell>
          <cell r="AA41">
            <v>17.937392859526991</v>
          </cell>
          <cell r="AB41">
            <v>31.21669953084475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  <cell r="AH41">
            <v>25.6</v>
          </cell>
        </row>
        <row r="42">
          <cell r="B42" t="str">
            <v>Eswatini</v>
          </cell>
          <cell r="C42" t="str">
            <v>Southern Africa</v>
          </cell>
          <cell r="D42">
            <v>1210822</v>
          </cell>
          <cell r="E42" t="str">
            <v>5.67 × 10−3</v>
          </cell>
          <cell r="F42" t="str">
            <v>2.70 × 10−3</v>
          </cell>
          <cell r="G42" t="str">
            <v>6.50 × 10−4</v>
          </cell>
          <cell r="H42" t="str">
            <v>7.09 × 10−3</v>
          </cell>
          <cell r="I42" t="str">
            <v>3.89 × 10−4</v>
          </cell>
          <cell r="J42" t="str">
            <v>1.96 × 10−4</v>
          </cell>
          <cell r="K42" t="str">
            <v>6.76 × 10−5</v>
          </cell>
          <cell r="L42" t="str">
            <v>1.35 × 10−3</v>
          </cell>
          <cell r="M42" t="str">
            <v>6.50</v>
          </cell>
          <cell r="N42" t="str">
            <v>4</v>
          </cell>
          <cell r="O42">
            <v>6.5</v>
          </cell>
          <cell r="P42">
            <v>-4</v>
          </cell>
          <cell r="Q42">
            <v>6.5000000000000008E-4</v>
          </cell>
          <cell r="R42" t="str">
            <v>7.09</v>
          </cell>
          <cell r="S42" t="str">
            <v>3</v>
          </cell>
          <cell r="T42">
            <v>7.09</v>
          </cell>
          <cell r="U42">
            <v>-3</v>
          </cell>
          <cell r="V42">
            <v>7.0899999999999999E-3</v>
          </cell>
          <cell r="W42">
            <v>0.24243496744345511</v>
          </cell>
          <cell r="X42">
            <v>0.14910802974994911</v>
          </cell>
          <cell r="Y42">
            <v>0.33196140311611011</v>
          </cell>
          <cell r="Z42">
            <v>2.9016896039402278</v>
          </cell>
          <cell r="AA42">
            <v>1.7846650767915779</v>
          </cell>
          <cell r="AB42">
            <v>3.9732261500441091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  <cell r="AH42">
            <v>32.5</v>
          </cell>
        </row>
        <row r="43">
          <cell r="B43" t="str">
            <v>Ethiopia</v>
          </cell>
          <cell r="C43" t="str">
            <v>Southern Africa</v>
          </cell>
          <cell r="D43">
            <v>126527060</v>
          </cell>
          <cell r="E43" t="str">
            <v>5.67 × 10−3</v>
          </cell>
          <cell r="F43" t="str">
            <v>2.70 × 10−3</v>
          </cell>
          <cell r="G43" t="str">
            <v>6.90 × 10−4</v>
          </cell>
          <cell r="H43" t="str">
            <v>7.08 × 10−3</v>
          </cell>
          <cell r="I43" t="str">
            <v>3.89 × 10−4</v>
          </cell>
          <cell r="J43" t="str">
            <v>1.94 × 10−4</v>
          </cell>
          <cell r="K43" t="str">
            <v>6.85 × 10−5</v>
          </cell>
          <cell r="L43" t="str">
            <v>1.42 × 10−3</v>
          </cell>
          <cell r="M43" t="str">
            <v>6.90</v>
          </cell>
          <cell r="N43" t="str">
            <v>4</v>
          </cell>
          <cell r="O43">
            <v>6.9</v>
          </cell>
          <cell r="P43">
            <v>-4</v>
          </cell>
          <cell r="Q43">
            <v>6.9000000000000008E-4</v>
          </cell>
          <cell r="R43" t="str">
            <v>7.08</v>
          </cell>
          <cell r="S43" t="str">
            <v>3</v>
          </cell>
          <cell r="T43">
            <v>7.08</v>
          </cell>
          <cell r="U43">
            <v>-3</v>
          </cell>
          <cell r="V43">
            <v>7.0800000000000004E-3</v>
          </cell>
          <cell r="W43">
            <v>1.9328633452018069</v>
          </cell>
          <cell r="X43">
            <v>1.3892513834499349</v>
          </cell>
          <cell r="Y43">
            <v>2.2980461987414391</v>
          </cell>
          <cell r="Z43">
            <v>2398.6547128326051</v>
          </cell>
          <cell r="AA43">
            <v>1724.0403396824099</v>
          </cell>
          <cell r="AB43">
            <v>2851.841211952149</v>
          </cell>
          <cell r="AC43">
            <v>2510</v>
          </cell>
          <cell r="AD43">
            <v>3670</v>
          </cell>
          <cell r="AE43">
            <v>4940</v>
          </cell>
          <cell r="AF43">
            <v>2.3199999999999998</v>
          </cell>
          <cell r="AG43">
            <v>4.57</v>
          </cell>
          <cell r="AH43">
            <v>31.2</v>
          </cell>
        </row>
        <row r="44">
          <cell r="B44" t="str">
            <v>Gabon</v>
          </cell>
          <cell r="C44" t="str">
            <v>Gulf of Guinea</v>
          </cell>
          <cell r="D44">
            <v>2436566</v>
          </cell>
          <cell r="E44" t="str">
            <v>5.64 × 10−3</v>
          </cell>
          <cell r="F44" t="str">
            <v>2.90 × 10−3</v>
          </cell>
          <cell r="G44" t="str">
            <v>7.05 × 10−4</v>
          </cell>
          <cell r="H44" t="str">
            <v>7.73 × 10−3</v>
          </cell>
          <cell r="I44" t="str">
            <v>3.87 × 10−4</v>
          </cell>
          <cell r="J44" t="str">
            <v>2.07 × 10−4</v>
          </cell>
          <cell r="K44" t="str">
            <v>7.06 × 10−5</v>
          </cell>
          <cell r="L44" t="str">
            <v>1.46 × 10−3</v>
          </cell>
          <cell r="M44" t="str">
            <v>7.05</v>
          </cell>
          <cell r="N44" t="str">
            <v>4</v>
          </cell>
          <cell r="O44">
            <v>7.05</v>
          </cell>
          <cell r="P44">
            <v>-4</v>
          </cell>
          <cell r="Q44">
            <v>7.0500000000000001E-4</v>
          </cell>
          <cell r="R44" t="str">
            <v>7.73</v>
          </cell>
          <cell r="S44" t="str">
            <v>3</v>
          </cell>
          <cell r="T44">
            <v>7.73</v>
          </cell>
          <cell r="U44">
            <v>-3</v>
          </cell>
          <cell r="V44">
            <v>7.7300000000000008E-3</v>
          </cell>
          <cell r="W44">
            <v>9.5809395639634171E-2</v>
          </cell>
          <cell r="X44">
            <v>5.186303682377353E-2</v>
          </cell>
          <cell r="Y44">
            <v>0.15644982994416121</v>
          </cell>
          <cell r="Z44">
            <v>2.2961986713595239</v>
          </cell>
          <cell r="AA44">
            <v>1.242966156423128</v>
          </cell>
          <cell r="AB44">
            <v>3.749526747913198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  <cell r="AH44">
            <v>39.6</v>
          </cell>
        </row>
        <row r="45">
          <cell r="B45" t="str">
            <v>Gambia</v>
          </cell>
          <cell r="C45" t="str">
            <v>Western Africa</v>
          </cell>
          <cell r="D45">
            <v>2773168</v>
          </cell>
          <cell r="E45" t="str">
            <v>5.64 × 10−3</v>
          </cell>
          <cell r="F45" t="str">
            <v>2.79 × 10−3</v>
          </cell>
          <cell r="G45" t="str">
            <v>7.02 × 10−4</v>
          </cell>
          <cell r="H45" t="str">
            <v>7.46 × 10−3</v>
          </cell>
          <cell r="I45" t="str">
            <v>3.87 × 10−4</v>
          </cell>
          <cell r="J45" t="str">
            <v>2.03 × 10−4</v>
          </cell>
          <cell r="K45" t="str">
            <v>7.09 × 10−5</v>
          </cell>
          <cell r="L45" t="str">
            <v>1.38 × 10−3</v>
          </cell>
          <cell r="M45" t="str">
            <v>7.02</v>
          </cell>
          <cell r="N45" t="str">
            <v>4</v>
          </cell>
          <cell r="O45">
            <v>7.02</v>
          </cell>
          <cell r="P45">
            <v>-4</v>
          </cell>
          <cell r="Q45">
            <v>7.0200000000000004E-4</v>
          </cell>
          <cell r="R45" t="str">
            <v>7.46</v>
          </cell>
          <cell r="S45" t="str">
            <v>3</v>
          </cell>
          <cell r="T45">
            <v>7.46</v>
          </cell>
          <cell r="U45">
            <v>-3</v>
          </cell>
          <cell r="V45">
            <v>7.4600000000000005E-3</v>
          </cell>
          <cell r="W45">
            <v>0.90565771523377725</v>
          </cell>
          <cell r="X45">
            <v>0.65541202904347062</v>
          </cell>
          <cell r="Y45">
            <v>1.103432246317908</v>
          </cell>
          <cell r="Z45">
            <v>23.85822560258022</v>
          </cell>
          <cell r="AA45">
            <v>17.2658696420729</v>
          </cell>
          <cell r="AB45">
            <v>29.06830585881886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  <cell r="AH45">
            <v>34.700000000000003</v>
          </cell>
        </row>
        <row r="46">
          <cell r="B46" t="str">
            <v>Georgia</v>
          </cell>
          <cell r="C46" t="str">
            <v>Eurasia</v>
          </cell>
          <cell r="D46">
            <v>3728282</v>
          </cell>
          <cell r="E46" t="str">
            <v>3.62 × 10−3</v>
          </cell>
          <cell r="F46" t="str">
            <v>1.76 × 10−3</v>
          </cell>
          <cell r="G46" t="str">
            <v>4.60 × 10−4</v>
          </cell>
          <cell r="H46" t="str">
            <v>4.87 × 10−3</v>
          </cell>
          <cell r="I46" t="str">
            <v>2.79 × 10−4</v>
          </cell>
          <cell r="J46" t="str">
            <v>1.45 × 10−4</v>
          </cell>
          <cell r="K46" t="str">
            <v>5.05 × 10−5</v>
          </cell>
          <cell r="L46" t="str">
            <v>1.03 × 10−3</v>
          </cell>
          <cell r="M46" t="str">
            <v>4.60</v>
          </cell>
          <cell r="N46" t="str">
            <v>4</v>
          </cell>
          <cell r="O46">
            <v>4.5999999999999996</v>
          </cell>
          <cell r="P46">
            <v>-4</v>
          </cell>
          <cell r="Q46">
            <v>4.5999999999999996E-4</v>
          </cell>
          <cell r="R46" t="str">
            <v>4.87</v>
          </cell>
          <cell r="S46" t="str">
            <v>3</v>
          </cell>
          <cell r="T46">
            <v>4.87</v>
          </cell>
          <cell r="U46">
            <v>-3</v>
          </cell>
          <cell r="V46">
            <v>4.8700000000000002E-3</v>
          </cell>
          <cell r="W46">
            <v>2.7776246009974769E-2</v>
          </cell>
          <cell r="X46">
            <v>1.428834197327219E-2</v>
          </cell>
          <cell r="Y46">
            <v>6.1477123971663043E-2</v>
          </cell>
          <cell r="Z46">
            <v>1.026553274810764</v>
          </cell>
          <cell r="AA46">
            <v>0.52806791238136719</v>
          </cell>
          <cell r="AB46">
            <v>2.2720688359540979</v>
          </cell>
          <cell r="AC46" t="e">
            <v>#N/A</v>
          </cell>
          <cell r="AD46" t="e">
            <v>#N/A</v>
          </cell>
          <cell r="AE46" t="e">
            <v>#N/A</v>
          </cell>
          <cell r="AF46" t="e">
            <v>#N/A</v>
          </cell>
          <cell r="AG46" t="e">
            <v>#N/A</v>
          </cell>
          <cell r="AH46">
            <v>57.7</v>
          </cell>
        </row>
        <row r="47">
          <cell r="B47" t="str">
            <v>Ghana</v>
          </cell>
          <cell r="C47" t="str">
            <v>Western Africa</v>
          </cell>
          <cell r="D47">
            <v>34121985</v>
          </cell>
          <cell r="E47" t="str">
            <v>5.64 × 10−3</v>
          </cell>
          <cell r="F47" t="str">
            <v>2.74 × 10−3</v>
          </cell>
          <cell r="G47" t="str">
            <v>6.84 × 10−4</v>
          </cell>
          <cell r="H47" t="str">
            <v>7.45 × 10−3</v>
          </cell>
          <cell r="I47" t="str">
            <v>3.87 × 10−4</v>
          </cell>
          <cell r="J47" t="str">
            <v>2.02 × 10−4</v>
          </cell>
          <cell r="K47" t="str">
            <v>6.92 × 10−5</v>
          </cell>
          <cell r="L47" t="str">
            <v>1.40 × 10−3</v>
          </cell>
          <cell r="M47" t="str">
            <v>6.84</v>
          </cell>
          <cell r="N47" t="str">
            <v>4</v>
          </cell>
          <cell r="O47">
            <v>6.84</v>
          </cell>
          <cell r="P47">
            <v>-4</v>
          </cell>
          <cell r="Q47">
            <v>6.8400000000000004E-4</v>
          </cell>
          <cell r="R47" t="str">
            <v>7.45</v>
          </cell>
          <cell r="S47" t="str">
            <v>3</v>
          </cell>
          <cell r="T47">
            <v>7.45</v>
          </cell>
          <cell r="U47">
            <v>-3</v>
          </cell>
          <cell r="V47">
            <v>7.45E-3</v>
          </cell>
          <cell r="W47">
            <v>0.1987423146319176</v>
          </cell>
          <cell r="X47">
            <v>0.11852562030020899</v>
          </cell>
          <cell r="Y47">
            <v>0.28039754501014202</v>
          </cell>
          <cell r="Z47">
            <v>65.854630170506923</v>
          </cell>
          <cell r="AA47">
            <v>39.274277876135052</v>
          </cell>
          <cell r="AB47">
            <v>92.911651258364955</v>
          </cell>
          <cell r="AC47">
            <v>460</v>
          </cell>
          <cell r="AD47">
            <v>680</v>
          </cell>
          <cell r="AE47">
            <v>900</v>
          </cell>
          <cell r="AF47">
            <v>2.4791161412018323</v>
          </cell>
          <cell r="AG47">
            <v>4.8504446240905414</v>
          </cell>
          <cell r="AH47">
            <v>36.1</v>
          </cell>
        </row>
        <row r="48">
          <cell r="B48" t="str">
            <v>Guatemala</v>
          </cell>
          <cell r="C48" t="str">
            <v>Central America</v>
          </cell>
          <cell r="D48">
            <v>18092026</v>
          </cell>
          <cell r="E48" t="str">
            <v>8.27 × 10−4</v>
          </cell>
          <cell r="F48" t="str">
            <v>4.01 × 10−4</v>
          </cell>
          <cell r="G48" t="str">
            <v>1.05 × 10−4</v>
          </cell>
          <cell r="H48" t="str">
            <v>1.07 × 10−3</v>
          </cell>
          <cell r="I48" t="str">
            <v>9.37 × 10−5</v>
          </cell>
          <cell r="J48" t="str">
            <v>4.87 × 10−5</v>
          </cell>
          <cell r="K48" t="str">
            <v>1.72 × 10−5</v>
          </cell>
          <cell r="L48" t="str">
            <v>3.46 × 10−4</v>
          </cell>
          <cell r="M48" t="str">
            <v>1.05</v>
          </cell>
          <cell r="N48" t="str">
            <v>4</v>
          </cell>
          <cell r="O48">
            <v>1.05</v>
          </cell>
          <cell r="P48">
            <v>-4</v>
          </cell>
          <cell r="Q48">
            <v>1.05E-4</v>
          </cell>
          <cell r="R48" t="str">
            <v>1.07</v>
          </cell>
          <cell r="S48" t="str">
            <v>3</v>
          </cell>
          <cell r="T48">
            <v>1.07</v>
          </cell>
          <cell r="U48">
            <v>-3</v>
          </cell>
          <cell r="V48">
            <v>1.07E-3</v>
          </cell>
          <cell r="W48">
            <v>1.6137724056359881E-2</v>
          </cell>
          <cell r="X48">
            <v>1.1697187623567059E-3</v>
          </cell>
          <cell r="Y48">
            <v>0.62383589656856953</v>
          </cell>
          <cell r="Z48">
            <v>2.8507101493558911</v>
          </cell>
          <cell r="AA48">
            <v>0.2066294563035444</v>
          </cell>
          <cell r="AB48">
            <v>110.19988417633741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  <cell r="AH48">
            <v>43.6</v>
          </cell>
        </row>
        <row r="49">
          <cell r="B49" t="str">
            <v>Guinea</v>
          </cell>
          <cell r="C49" t="str">
            <v>Western Africa</v>
          </cell>
          <cell r="D49">
            <v>14190612</v>
          </cell>
          <cell r="E49" t="str">
            <v>5.64 × 10−3</v>
          </cell>
          <cell r="F49" t="str">
            <v>2.70 × 10−3</v>
          </cell>
          <cell r="G49" t="str">
            <v>6.92 × 10−4</v>
          </cell>
          <cell r="H49" t="str">
            <v>7.24 × 10−3</v>
          </cell>
          <cell r="I49" t="str">
            <v>3.87 × 10−4</v>
          </cell>
          <cell r="J49" t="str">
            <v>1.98 × 10−4</v>
          </cell>
          <cell r="K49" t="str">
            <v>6.90 × 10−5</v>
          </cell>
          <cell r="L49" t="str">
            <v>1.35 × 10−3</v>
          </cell>
          <cell r="M49" t="str">
            <v>6.92</v>
          </cell>
          <cell r="N49" t="str">
            <v>4</v>
          </cell>
          <cell r="O49">
            <v>6.92</v>
          </cell>
          <cell r="P49">
            <v>-4</v>
          </cell>
          <cell r="Q49">
            <v>6.9200000000000002E-4</v>
          </cell>
          <cell r="R49" t="str">
            <v>7.24</v>
          </cell>
          <cell r="S49" t="str">
            <v>3</v>
          </cell>
          <cell r="T49">
            <v>7.24</v>
          </cell>
          <cell r="U49">
            <v>-3</v>
          </cell>
          <cell r="V49">
            <v>7.2400000000000008E-3</v>
          </cell>
          <cell r="W49">
            <v>3.7729650093961382</v>
          </cell>
          <cell r="X49">
            <v>2.5551830358872381</v>
          </cell>
          <cell r="Y49">
            <v>4.5189378888268372</v>
          </cell>
          <cell r="Z49">
            <v>538.85595227344709</v>
          </cell>
          <cell r="AA49">
            <v>364.9319791217315</v>
          </cell>
          <cell r="AB49">
            <v>645.39601435054828</v>
          </cell>
          <cell r="AC49">
            <v>305</v>
          </cell>
          <cell r="AD49">
            <v>455</v>
          </cell>
          <cell r="AE49">
            <v>610</v>
          </cell>
          <cell r="AF49">
            <v>2.4900000000000002</v>
          </cell>
          <cell r="AG49">
            <v>4.9800000000000004</v>
          </cell>
          <cell r="AH49">
            <v>25.7</v>
          </cell>
        </row>
        <row r="50">
          <cell r="B50" t="str">
            <v>Guinea-Bissau</v>
          </cell>
          <cell r="C50" t="str">
            <v>Western Africa</v>
          </cell>
          <cell r="D50">
            <v>2150842</v>
          </cell>
          <cell r="E50" t="str">
            <v>5.64 × 10−3</v>
          </cell>
          <cell r="F50" t="str">
            <v>2.67 × 10−3</v>
          </cell>
          <cell r="G50" t="str">
            <v>7.21 × 10−4</v>
          </cell>
          <cell r="H50" t="str">
            <v>7.13 × 10−3</v>
          </cell>
          <cell r="I50" t="str">
            <v>3.87 × 10−4</v>
          </cell>
          <cell r="J50" t="str">
            <v>1.96 × 10−4</v>
          </cell>
          <cell r="K50" t="str">
            <v>7.15 × 10−5</v>
          </cell>
          <cell r="L50" t="str">
            <v>1.36 × 10−3</v>
          </cell>
          <cell r="M50" t="str">
            <v>7.21</v>
          </cell>
          <cell r="N50" t="str">
            <v>4</v>
          </cell>
          <cell r="O50">
            <v>7.21</v>
          </cell>
          <cell r="P50">
            <v>-4</v>
          </cell>
          <cell r="Q50">
            <v>7.2100000000000007E-4</v>
          </cell>
          <cell r="R50" t="str">
            <v>7.13</v>
          </cell>
          <cell r="S50" t="str">
            <v>3</v>
          </cell>
          <cell r="T50">
            <v>7.13</v>
          </cell>
          <cell r="U50">
            <v>-3</v>
          </cell>
          <cell r="V50">
            <v>7.1300000000000001E-3</v>
          </cell>
          <cell r="W50">
            <v>2.308678413003828</v>
          </cell>
          <cell r="X50">
            <v>1.636087835863133</v>
          </cell>
          <cell r="Y50">
            <v>2.7398074503536209</v>
          </cell>
          <cell r="Z50">
            <v>48.868792814297997</v>
          </cell>
          <cell r="AA50">
            <v>34.631777655321301</v>
          </cell>
          <cell r="AB50">
            <v>57.994687301725612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  <cell r="AH50">
            <v>24.3</v>
          </cell>
        </row>
        <row r="51">
          <cell r="B51" t="str">
            <v>Haiti</v>
          </cell>
          <cell r="C51" t="str">
            <v>Caribbean</v>
          </cell>
          <cell r="D51">
            <v>11724763</v>
          </cell>
          <cell r="E51" t="str">
            <v>2.75 × 10−3</v>
          </cell>
          <cell r="F51" t="str">
            <v>1.34 × 10−3</v>
          </cell>
          <cell r="G51" t="str">
            <v>3.41 × 10−4</v>
          </cell>
          <cell r="H51" t="str">
            <v>3.64 × 10−3</v>
          </cell>
          <cell r="I51" t="str">
            <v>2.28 × 10−4</v>
          </cell>
          <cell r="J51" t="str">
            <v>1.17 × 10−4</v>
          </cell>
          <cell r="K51" t="str">
            <v>4.13 × 10−5</v>
          </cell>
          <cell r="L51" t="str">
            <v>8.32 × 10−4</v>
          </cell>
          <cell r="M51" t="str">
            <v>3.41</v>
          </cell>
          <cell r="N51" t="str">
            <v>4</v>
          </cell>
          <cell r="O51">
            <v>3.41</v>
          </cell>
          <cell r="P51">
            <v>-4</v>
          </cell>
          <cell r="Q51">
            <v>3.4100000000000005E-4</v>
          </cell>
          <cell r="R51" t="str">
            <v>3.64</v>
          </cell>
          <cell r="S51" t="str">
            <v>3</v>
          </cell>
          <cell r="T51">
            <v>3.64</v>
          </cell>
          <cell r="U51">
            <v>-3</v>
          </cell>
          <cell r="V51">
            <v>3.64E-3</v>
          </cell>
          <cell r="W51">
            <v>1.1233172713233439</v>
          </cell>
          <cell r="X51">
            <v>2.3470394628895171E-3</v>
          </cell>
          <cell r="Y51">
            <v>2.0442808350455981</v>
          </cell>
          <cell r="Z51">
            <v>132.96516936488359</v>
          </cell>
          <cell r="AA51">
            <v>0.27781509966594292</v>
          </cell>
          <cell r="AB51">
            <v>241.97807191284721</v>
          </cell>
          <cell r="AC51">
            <v>240</v>
          </cell>
          <cell r="AD51">
            <v>330</v>
          </cell>
          <cell r="AE51">
            <v>470</v>
          </cell>
          <cell r="AF51">
            <v>2.21</v>
          </cell>
          <cell r="AG51">
            <v>4.33</v>
          </cell>
          <cell r="AH51">
            <v>24.5</v>
          </cell>
        </row>
        <row r="52">
          <cell r="B52" t="str">
            <v>Honduras</v>
          </cell>
          <cell r="C52" t="str">
            <v>Central America</v>
          </cell>
          <cell r="D52">
            <v>10593798</v>
          </cell>
          <cell r="E52" t="str">
            <v>1.93 × 10−4</v>
          </cell>
          <cell r="F52" t="str">
            <v>9.00 × 10−5</v>
          </cell>
          <cell r="G52" t="str">
            <v>2.24 × 10−5</v>
          </cell>
          <cell r="H52" t="str">
            <v>2.53 × 10−4</v>
          </cell>
          <cell r="I52" t="str">
            <v>3.20 × 10−5</v>
          </cell>
          <cell r="J52" t="str">
            <v>1.60 × 10−5</v>
          </cell>
          <cell r="K52" t="str">
            <v>5.49 × 10−6</v>
          </cell>
          <cell r="L52" t="str">
            <v>1.20 × 10−4</v>
          </cell>
          <cell r="M52" t="str">
            <v>2.24</v>
          </cell>
          <cell r="N52" t="str">
            <v>5</v>
          </cell>
          <cell r="O52">
            <v>2.2400000000000002</v>
          </cell>
          <cell r="P52">
            <v>-5</v>
          </cell>
          <cell r="Q52">
            <v>2.2400000000000002E-5</v>
          </cell>
          <cell r="R52" t="str">
            <v>2.53</v>
          </cell>
          <cell r="S52" t="str">
            <v>4</v>
          </cell>
          <cell r="T52">
            <v>2.5299999999999998</v>
          </cell>
          <cell r="U52">
            <v>-4</v>
          </cell>
          <cell r="V52">
            <v>2.5299999999999997E-4</v>
          </cell>
          <cell r="W52">
            <v>1.559436743311581E-2</v>
          </cell>
          <cell r="X52">
            <v>1.053865713252425E-3</v>
          </cell>
          <cell r="Y52">
            <v>0.50292112704570502</v>
          </cell>
          <cell r="Z52">
            <v>1.622068153686816</v>
          </cell>
          <cell r="AA52">
            <v>0.1096191954602193</v>
          </cell>
          <cell r="AB52">
            <v>52.311986843709057</v>
          </cell>
          <cell r="AC52">
            <v>260</v>
          </cell>
          <cell r="AD52">
            <v>370</v>
          </cell>
          <cell r="AE52">
            <v>500</v>
          </cell>
          <cell r="AF52" t="e">
            <v>#N/A</v>
          </cell>
          <cell r="AG52" t="e">
            <v>#N/A</v>
          </cell>
          <cell r="AH52">
            <v>40</v>
          </cell>
        </row>
        <row r="53">
          <cell r="B53" t="str">
            <v>India</v>
          </cell>
          <cell r="C53" t="str">
            <v>India</v>
          </cell>
          <cell r="D53">
            <v>1428627663</v>
          </cell>
          <cell r="E53" t="str">
            <v>4.18 × 10−3</v>
          </cell>
          <cell r="F53" t="str">
            <v>2.02 × 10−3</v>
          </cell>
          <cell r="G53" t="str">
            <v>4.89 × 10−4</v>
          </cell>
          <cell r="H53" t="str">
            <v>5.52 × 10−3</v>
          </cell>
          <cell r="I53" t="str">
            <v>3.10 × 10−4</v>
          </cell>
          <cell r="J53" t="str">
            <v>1.58 × 10−4</v>
          </cell>
          <cell r="K53" t="str">
            <v>5.41 × 10−5</v>
          </cell>
          <cell r="L53" t="str">
            <v>1.12 × 10−3</v>
          </cell>
          <cell r="M53" t="str">
            <v>4.89</v>
          </cell>
          <cell r="N53" t="str">
            <v>4</v>
          </cell>
          <cell r="O53">
            <v>4.8899999999999997</v>
          </cell>
          <cell r="P53">
            <v>-4</v>
          </cell>
          <cell r="Q53">
            <v>4.8899999999999996E-4</v>
          </cell>
          <cell r="R53" t="str">
            <v>5.52</v>
          </cell>
          <cell r="S53" t="str">
            <v>3</v>
          </cell>
          <cell r="T53">
            <v>5.52</v>
          </cell>
          <cell r="U53">
            <v>-3</v>
          </cell>
          <cell r="V53">
            <v>5.5199999999999997E-3</v>
          </cell>
          <cell r="W53">
            <v>0.39273552038136178</v>
          </cell>
          <cell r="X53">
            <v>0.27043576903744238</v>
          </cell>
          <cell r="Y53">
            <v>0.77049402915895626</v>
          </cell>
          <cell r="Z53">
            <v>5587.6471637891591</v>
          </cell>
          <cell r="AA53">
            <v>3847.6266582199319</v>
          </cell>
          <cell r="AB53">
            <v>10962.208797834121</v>
          </cell>
          <cell r="AC53">
            <v>10000</v>
          </cell>
          <cell r="AD53">
            <v>14660</v>
          </cell>
          <cell r="AE53">
            <v>20870</v>
          </cell>
          <cell r="AF53" t="e">
            <v>#N/A</v>
          </cell>
          <cell r="AG53" t="e">
            <v>#N/A</v>
          </cell>
          <cell r="AH53">
            <v>39.200000000000003</v>
          </cell>
        </row>
        <row r="54">
          <cell r="B54" t="str">
            <v>Indonesia</v>
          </cell>
          <cell r="C54" t="str">
            <v>Indonesia</v>
          </cell>
          <cell r="D54">
            <v>277534122</v>
          </cell>
          <cell r="E54" t="str">
            <v>3.38 × 10−3</v>
          </cell>
          <cell r="F54" t="str">
            <v>1.65 × 10−3</v>
          </cell>
          <cell r="G54" t="str">
            <v>4.20 × 10−4</v>
          </cell>
          <cell r="H54" t="str">
            <v>4.52 × 10−3</v>
          </cell>
          <cell r="I54" t="str">
            <v>2.65 × 10−4</v>
          </cell>
          <cell r="J54" t="str">
            <v>1.36 × 10−4</v>
          </cell>
          <cell r="K54" t="str">
            <v>4.72 × 10−5</v>
          </cell>
          <cell r="L54" t="str">
            <v>9.80 × 10−4</v>
          </cell>
          <cell r="M54" t="str">
            <v>4.20</v>
          </cell>
          <cell r="N54" t="str">
            <v>4</v>
          </cell>
          <cell r="O54">
            <v>4.2</v>
          </cell>
          <cell r="P54">
            <v>-4</v>
          </cell>
          <cell r="Q54">
            <v>4.2000000000000002E-4</v>
          </cell>
          <cell r="R54" t="str">
            <v>4.52</v>
          </cell>
          <cell r="S54" t="str">
            <v>3</v>
          </cell>
          <cell r="T54">
            <v>4.5199999999999996</v>
          </cell>
          <cell r="U54">
            <v>-3</v>
          </cell>
          <cell r="V54">
            <v>4.5199999999999997E-3</v>
          </cell>
          <cell r="W54">
            <v>8.1512472764484437E-2</v>
          </cell>
          <cell r="X54">
            <v>5.1722875593377772E-2</v>
          </cell>
          <cell r="Y54">
            <v>0.14613020818948619</v>
          </cell>
          <cell r="Z54">
            <v>230.46636948600801</v>
          </cell>
          <cell r="AA54">
            <v>146.23999190680939</v>
          </cell>
          <cell r="AB54">
            <v>413.16497232236088</v>
          </cell>
          <cell r="AC54">
            <v>2300</v>
          </cell>
          <cell r="AD54">
            <v>3270</v>
          </cell>
          <cell r="AE54">
            <v>4390</v>
          </cell>
          <cell r="AF54">
            <v>0.87</v>
          </cell>
          <cell r="AG54">
            <v>1.66</v>
          </cell>
          <cell r="AH54">
            <v>40.9</v>
          </cell>
        </row>
        <row r="55">
          <cell r="B55" t="str">
            <v>Iran</v>
          </cell>
          <cell r="C55" t="str">
            <v>Middle East</v>
          </cell>
          <cell r="D55">
            <v>89172767</v>
          </cell>
          <cell r="E55" t="str">
            <v>3.88 × 10−3</v>
          </cell>
          <cell r="F55" t="str">
            <v>1.94 × 10−3</v>
          </cell>
          <cell r="G55" t="str">
            <v>4.87 × 10−4</v>
          </cell>
          <cell r="H55" t="str">
            <v>5.33 × 10−3</v>
          </cell>
          <cell r="I55" t="str">
            <v>2.93 × 10−4</v>
          </cell>
          <cell r="J55" t="str">
            <v>1.55 × 10−4</v>
          </cell>
          <cell r="K55" t="str">
            <v>5.23 × 10−5</v>
          </cell>
          <cell r="L55" t="str">
            <v>1.03 × 10−3</v>
          </cell>
          <cell r="M55" t="str">
            <v>4.87</v>
          </cell>
          <cell r="N55" t="str">
            <v>4</v>
          </cell>
          <cell r="O55">
            <v>4.87</v>
          </cell>
          <cell r="P55">
            <v>-4</v>
          </cell>
          <cell r="Q55">
            <v>4.8700000000000002E-4</v>
          </cell>
          <cell r="R55" t="str">
            <v>5.33</v>
          </cell>
          <cell r="S55" t="str">
            <v>3</v>
          </cell>
          <cell r="T55">
            <v>5.33</v>
          </cell>
          <cell r="U55">
            <v>-3</v>
          </cell>
          <cell r="V55">
            <v>5.3300000000000005E-3</v>
          </cell>
          <cell r="W55">
            <v>0.13320693485286331</v>
          </cell>
          <cell r="X55">
            <v>9.0924427185574766E-2</v>
          </cell>
          <cell r="Y55">
            <v>0.2331167504877619</v>
          </cell>
          <cell r="Z55">
            <v>116.5433175231324</v>
          </cell>
          <cell r="AA55">
            <v>79.550170565835145</v>
          </cell>
          <cell r="AB55">
            <v>203.95484290713009</v>
          </cell>
          <cell r="AC55" t="e">
            <v>#N/A</v>
          </cell>
          <cell r="AD55" t="e">
            <v>#N/A</v>
          </cell>
          <cell r="AE55" t="e">
            <v>#N/A</v>
          </cell>
          <cell r="AF55" t="e">
            <v>#N/A</v>
          </cell>
          <cell r="AG55" t="e">
            <v>#N/A</v>
          </cell>
          <cell r="AH55">
            <v>63.7</v>
          </cell>
        </row>
        <row r="56">
          <cell r="B56" t="str">
            <v>Iraq</v>
          </cell>
          <cell r="C56" t="str">
            <v>Middle East</v>
          </cell>
          <cell r="D56">
            <v>45504560</v>
          </cell>
          <cell r="E56" t="str">
            <v>3.85 × 10−3</v>
          </cell>
          <cell r="F56" t="str">
            <v>1.86 × 10−3</v>
          </cell>
          <cell r="G56" t="str">
            <v>4.70 × 10−4</v>
          </cell>
          <cell r="H56" t="str">
            <v>5.07 × 10−3</v>
          </cell>
          <cell r="I56" t="str">
            <v>2.92 × 10−4</v>
          </cell>
          <cell r="J56" t="str">
            <v>1.49 × 10−4</v>
          </cell>
          <cell r="K56" t="str">
            <v>5.19 × 10−5</v>
          </cell>
          <cell r="L56" t="str">
            <v>1.03 × 10−3</v>
          </cell>
          <cell r="M56" t="str">
            <v>4.70</v>
          </cell>
          <cell r="N56" t="str">
            <v>4</v>
          </cell>
          <cell r="O56">
            <v>4.7</v>
          </cell>
          <cell r="P56">
            <v>-4</v>
          </cell>
          <cell r="Q56">
            <v>4.7000000000000004E-4</v>
          </cell>
          <cell r="R56" t="str">
            <v>5.07</v>
          </cell>
          <cell r="S56" t="str">
            <v>3</v>
          </cell>
          <cell r="T56">
            <v>5.07</v>
          </cell>
          <cell r="U56">
            <v>-3</v>
          </cell>
          <cell r="V56">
            <v>5.0700000000000007E-3</v>
          </cell>
          <cell r="W56">
            <v>0.4182237960510386</v>
          </cell>
          <cell r="X56">
            <v>0.28567458120747219</v>
          </cell>
          <cell r="Y56">
            <v>0.83164419991475547</v>
          </cell>
          <cell r="Z56">
            <v>179.73509672160219</v>
          </cell>
          <cell r="AA56">
            <v>122.7709876124843</v>
          </cell>
          <cell r="AB56">
            <v>357.40589636701719</v>
          </cell>
          <cell r="AC56" t="e">
            <v>#N/A</v>
          </cell>
          <cell r="AD56" t="e">
            <v>#N/A</v>
          </cell>
          <cell r="AE56" t="e">
            <v>#N/A</v>
          </cell>
          <cell r="AF56" t="e">
            <v>#N/A</v>
          </cell>
          <cell r="AG56" t="e">
            <v>#N/A</v>
          </cell>
          <cell r="AH56">
            <v>57.4</v>
          </cell>
        </row>
        <row r="57">
          <cell r="B57" t="str">
            <v>Israel</v>
          </cell>
          <cell r="C57" t="str">
            <v>Middle East</v>
          </cell>
          <cell r="D57">
            <v>9174520</v>
          </cell>
          <cell r="E57" t="str">
            <v>8.20 × 10−4</v>
          </cell>
          <cell r="F57" t="str">
            <v>4.02 × 10−4</v>
          </cell>
          <cell r="G57" t="str">
            <v>1.02 × 10−4</v>
          </cell>
          <cell r="H57" t="str">
            <v>1.11 × 10−3</v>
          </cell>
          <cell r="I57" t="str">
            <v>9.30 × 10−5</v>
          </cell>
          <cell r="J57" t="str">
            <v>4.75 × 10−5</v>
          </cell>
          <cell r="K57" t="str">
            <v>1.69 × 10−5</v>
          </cell>
          <cell r="L57" t="str">
            <v>3.48 × 10−4</v>
          </cell>
          <cell r="M57" t="str">
            <v>1.02</v>
          </cell>
          <cell r="N57" t="str">
            <v>4</v>
          </cell>
          <cell r="O57">
            <v>1.02</v>
          </cell>
          <cell r="P57">
            <v>-4</v>
          </cell>
          <cell r="Q57">
            <v>1.0200000000000001E-4</v>
          </cell>
          <cell r="R57" t="str">
            <v>1.11</v>
          </cell>
          <cell r="S57" t="str">
            <v>3</v>
          </cell>
          <cell r="T57">
            <v>1.1100000000000001</v>
          </cell>
          <cell r="U57">
            <v>-3</v>
          </cell>
          <cell r="V57">
            <v>1.1100000000000001E-3</v>
          </cell>
          <cell r="W57">
            <v>3.0666687209834849E-2</v>
          </cell>
          <cell r="X57">
            <v>1.6080955179682908E-2</v>
          </cell>
          <cell r="Y57">
            <v>6.6008265187810791E-2</v>
          </cell>
          <cell r="Z57">
            <v>2.9935866772711961</v>
          </cell>
          <cell r="AA57">
            <v>1.569772856595202</v>
          </cell>
          <cell r="AB57">
            <v>6.4435216593151754</v>
          </cell>
          <cell r="AC57" t="e">
            <v>#N/A</v>
          </cell>
          <cell r="AD57" t="e">
            <v>#N/A</v>
          </cell>
          <cell r="AE57" t="e">
            <v>#N/A</v>
          </cell>
          <cell r="AF57" t="e">
            <v>#N/A</v>
          </cell>
          <cell r="AG57" t="e">
            <v>#N/A</v>
          </cell>
          <cell r="AH57">
            <v>83.1</v>
          </cell>
        </row>
        <row r="58">
          <cell r="B58" t="str">
            <v>Ivory Coast</v>
          </cell>
          <cell r="C58" t="str">
            <v>Western Africa</v>
          </cell>
          <cell r="D58">
            <v>28873034</v>
          </cell>
          <cell r="E58" t="str">
            <v>5.64 × 10−3</v>
          </cell>
          <cell r="F58" t="str">
            <v>2.68 × 10−3</v>
          </cell>
          <cell r="G58" t="str">
            <v>7.05 × 10−4</v>
          </cell>
          <cell r="H58" t="str">
            <v>7.52 × 10−3</v>
          </cell>
          <cell r="I58" t="str">
            <v>3.87 × 10−4</v>
          </cell>
          <cell r="J58" t="str">
            <v>1.97 × 10−4</v>
          </cell>
          <cell r="K58" t="str">
            <v>7.12 × 10−5</v>
          </cell>
          <cell r="L58" t="str">
            <v>1.44 × 10−3</v>
          </cell>
          <cell r="M58" t="str">
            <v>7.05</v>
          </cell>
          <cell r="N58" t="str">
            <v>4</v>
          </cell>
          <cell r="O58">
            <v>7.05</v>
          </cell>
          <cell r="P58">
            <v>-4</v>
          </cell>
          <cell r="Q58">
            <v>7.0500000000000001E-4</v>
          </cell>
          <cell r="R58" t="str">
            <v>7.52</v>
          </cell>
          <cell r="S58" t="str">
            <v>3</v>
          </cell>
          <cell r="T58">
            <v>7.52</v>
          </cell>
          <cell r="U58">
            <v>-3</v>
          </cell>
          <cell r="V58">
            <v>7.5199999999999998E-3</v>
          </cell>
          <cell r="W58">
            <v>1.543047408856892</v>
          </cell>
          <cell r="X58">
            <v>1.1223031095532261</v>
          </cell>
          <cell r="Y58">
            <v>1.843292156121775</v>
          </cell>
          <cell r="Z58">
            <v>438.85726126918041</v>
          </cell>
          <cell r="AA58">
            <v>319.19360749731368</v>
          </cell>
          <cell r="AB58">
            <v>524.24970400218524</v>
          </cell>
          <cell r="AC58">
            <v>405</v>
          </cell>
          <cell r="AD58">
            <v>575</v>
          </cell>
          <cell r="AE58">
            <v>820</v>
          </cell>
          <cell r="AF58">
            <v>1.63</v>
          </cell>
          <cell r="AG58">
            <v>3.3</v>
          </cell>
          <cell r="AH58">
            <v>34.299999999999997</v>
          </cell>
        </row>
        <row r="59">
          <cell r="B59" t="str">
            <v>Jordan</v>
          </cell>
          <cell r="C59" t="str">
            <v>Middle East</v>
          </cell>
          <cell r="D59">
            <v>11337052</v>
          </cell>
          <cell r="E59" t="str">
            <v>3.85 × 10−3</v>
          </cell>
          <cell r="F59" t="str">
            <v>1.93 × 10−3</v>
          </cell>
          <cell r="G59" t="str">
            <v>4.80 × 10−4</v>
          </cell>
          <cell r="H59" t="str">
            <v>5.22 × 10−3</v>
          </cell>
          <cell r="I59" t="str">
            <v>2.92 × 10−4</v>
          </cell>
          <cell r="J59" t="str">
            <v>1.51 × 10−4</v>
          </cell>
          <cell r="K59" t="str">
            <v>5.32 × 10−5</v>
          </cell>
          <cell r="L59" t="str">
            <v>1.10 × 10−3</v>
          </cell>
          <cell r="M59" t="str">
            <v>4.80</v>
          </cell>
          <cell r="N59" t="str">
            <v>4</v>
          </cell>
          <cell r="O59">
            <v>4.8</v>
          </cell>
          <cell r="P59">
            <v>-4</v>
          </cell>
          <cell r="Q59">
            <v>4.8000000000000001E-4</v>
          </cell>
          <cell r="R59" t="str">
            <v>5.22</v>
          </cell>
          <cell r="S59" t="str">
            <v>3</v>
          </cell>
          <cell r="T59">
            <v>5.22</v>
          </cell>
          <cell r="U59">
            <v>-3</v>
          </cell>
          <cell r="V59">
            <v>5.2199999999999998E-3</v>
          </cell>
          <cell r="W59">
            <v>3.7956473609542261E-2</v>
          </cell>
          <cell r="X59">
            <v>2.076510743938919E-2</v>
          </cell>
          <cell r="Y59">
            <v>7.737056756519281E-2</v>
          </cell>
          <cell r="Z59">
            <v>4.0619436384964454</v>
          </cell>
          <cell r="AA59">
            <v>2.2221952685540658</v>
          </cell>
          <cell r="AB59">
            <v>8.2798757324306731</v>
          </cell>
          <cell r="AC59" t="e">
            <v>#N/A</v>
          </cell>
          <cell r="AD59" t="e">
            <v>#N/A</v>
          </cell>
          <cell r="AE59" t="e">
            <v>#N/A</v>
          </cell>
          <cell r="AF59" t="e">
            <v>#N/A</v>
          </cell>
          <cell r="AG59" t="e">
            <v>#N/A</v>
          </cell>
          <cell r="AH59">
            <v>65.099999999999994</v>
          </cell>
        </row>
        <row r="60">
          <cell r="B60" t="str">
            <v>Kazakhstan</v>
          </cell>
          <cell r="C60" t="str">
            <v>Eurasia</v>
          </cell>
          <cell r="D60">
            <v>19606633</v>
          </cell>
          <cell r="E60" t="str">
            <v>3.62 × 10−3</v>
          </cell>
          <cell r="F60" t="str">
            <v>1.75 × 10−3</v>
          </cell>
          <cell r="G60" t="str">
            <v>4.47 × 10−4</v>
          </cell>
          <cell r="H60" t="str">
            <v>4.76 × 10−3</v>
          </cell>
          <cell r="I60" t="str">
            <v>2.79 × 10−4</v>
          </cell>
          <cell r="J60" t="str">
            <v>1.44 × 10−4</v>
          </cell>
          <cell r="K60" t="str">
            <v>5.15 × 10−5</v>
          </cell>
          <cell r="L60" t="str">
            <v>1.02 × 10−3</v>
          </cell>
          <cell r="M60" t="str">
            <v>4.47</v>
          </cell>
          <cell r="N60" t="str">
            <v>4</v>
          </cell>
          <cell r="O60">
            <v>4.47</v>
          </cell>
          <cell r="P60">
            <v>-4</v>
          </cell>
          <cell r="Q60">
            <v>4.4700000000000002E-4</v>
          </cell>
          <cell r="R60" t="str">
            <v>4.76</v>
          </cell>
          <cell r="S60" t="str">
            <v>3</v>
          </cell>
          <cell r="T60">
            <v>4.76</v>
          </cell>
          <cell r="U60">
            <v>-3</v>
          </cell>
          <cell r="V60">
            <v>4.7599999999999995E-3</v>
          </cell>
          <cell r="W60">
            <v>2.1548854831153812E-2</v>
          </cell>
          <cell r="X60">
            <v>1.057557354070375E-2</v>
          </cell>
          <cell r="Y60">
            <v>5.1605697179417029E-2</v>
          </cell>
          <cell r="Z60">
            <v>4.1995410105532294</v>
          </cell>
          <cell r="AA60">
            <v>2.0610169376656842</v>
          </cell>
          <cell r="AB60">
            <v>10.057158182245219</v>
          </cell>
          <cell r="AC60" t="e">
            <v>#N/A</v>
          </cell>
          <cell r="AD60" t="e">
            <v>#N/A</v>
          </cell>
          <cell r="AE60" t="e">
            <v>#N/A</v>
          </cell>
          <cell r="AF60" t="e">
            <v>#N/A</v>
          </cell>
          <cell r="AG60" t="e">
            <v>#N/A</v>
          </cell>
          <cell r="AH60">
            <v>59.5</v>
          </cell>
        </row>
        <row r="61">
          <cell r="B61" t="str">
            <v>Kenya</v>
          </cell>
          <cell r="C61" t="str">
            <v>Southern Africa</v>
          </cell>
          <cell r="D61">
            <v>55100586</v>
          </cell>
          <cell r="E61" t="str">
            <v>5.67 × 10−3</v>
          </cell>
          <cell r="F61" t="str">
            <v>2.64 × 10−3</v>
          </cell>
          <cell r="G61" t="str">
            <v>7.20 × 10−4</v>
          </cell>
          <cell r="H61" t="str">
            <v>7.05 × 10−3</v>
          </cell>
          <cell r="I61" t="str">
            <v>3.89 × 10−4</v>
          </cell>
          <cell r="J61" t="str">
            <v>1.96 × 10−4</v>
          </cell>
          <cell r="K61" t="str">
            <v>7.06 × 10−5</v>
          </cell>
          <cell r="L61" t="str">
            <v>1.37 × 10−3</v>
          </cell>
          <cell r="M61" t="str">
            <v>7.20</v>
          </cell>
          <cell r="N61" t="str">
            <v>4</v>
          </cell>
          <cell r="O61">
            <v>7.2</v>
          </cell>
          <cell r="P61">
            <v>-4</v>
          </cell>
          <cell r="Q61">
            <v>7.2000000000000005E-4</v>
          </cell>
          <cell r="R61" t="str">
            <v>7.05</v>
          </cell>
          <cell r="S61" t="str">
            <v>3</v>
          </cell>
          <cell r="T61">
            <v>7.05</v>
          </cell>
          <cell r="U61">
            <v>-3</v>
          </cell>
          <cell r="V61">
            <v>7.0499999999999998E-3</v>
          </cell>
          <cell r="W61">
            <v>0.48610075599727132</v>
          </cell>
          <cell r="X61">
            <v>0.33151796525761729</v>
          </cell>
          <cell r="Y61">
            <v>0.61645468396870173</v>
          </cell>
          <cell r="Z61">
            <v>279.59050556298013</v>
          </cell>
          <cell r="AA61">
            <v>190.6791428855708</v>
          </cell>
          <cell r="AB61">
            <v>354.56615654480481</v>
          </cell>
          <cell r="AC61">
            <v>1460</v>
          </cell>
          <cell r="AD61">
            <v>2055</v>
          </cell>
          <cell r="AE61">
            <v>2725</v>
          </cell>
          <cell r="AF61">
            <v>2.7</v>
          </cell>
          <cell r="AG61">
            <v>5</v>
          </cell>
          <cell r="AH61">
            <v>33.4</v>
          </cell>
        </row>
        <row r="62">
          <cell r="B62" t="str">
            <v>Kuwait</v>
          </cell>
          <cell r="C62" t="str">
            <v>Middle East</v>
          </cell>
          <cell r="D62">
            <v>4310108</v>
          </cell>
          <cell r="E62" t="str">
            <v>3.85 × 10−3</v>
          </cell>
          <cell r="F62" t="str">
            <v>1.94 × 10−3</v>
          </cell>
          <cell r="G62" t="str">
            <v>4.79 × 10−4</v>
          </cell>
          <cell r="H62" t="str">
            <v>5.13 × 10−3</v>
          </cell>
          <cell r="I62" t="str">
            <v>2.92 × 10−4</v>
          </cell>
          <cell r="J62" t="str">
            <v>1.51 × 10−4</v>
          </cell>
          <cell r="K62" t="str">
            <v>5.31 × 10−5</v>
          </cell>
          <cell r="L62" t="str">
            <v>1.04 × 10−3</v>
          </cell>
          <cell r="M62" t="str">
            <v>4.79</v>
          </cell>
          <cell r="N62" t="str">
            <v>4</v>
          </cell>
          <cell r="O62">
            <v>4.79</v>
          </cell>
          <cell r="P62">
            <v>-4</v>
          </cell>
          <cell r="Q62">
            <v>4.7900000000000004E-4</v>
          </cell>
          <cell r="R62" t="str">
            <v>5.13</v>
          </cell>
          <cell r="S62" t="str">
            <v>3</v>
          </cell>
          <cell r="T62">
            <v>5.13</v>
          </cell>
          <cell r="U62">
            <v>-3</v>
          </cell>
          <cell r="V62">
            <v>5.13E-3</v>
          </cell>
          <cell r="W62">
            <v>1.9934167804048709E-2</v>
          </cell>
          <cell r="X62">
            <v>9.6506131831000912E-3</v>
          </cell>
          <cell r="Y62">
            <v>4.9008338358299847E-2</v>
          </cell>
          <cell r="Z62">
            <v>0.89616954016401928</v>
          </cell>
          <cell r="AA62">
            <v>0.43385736809354369</v>
          </cell>
          <cell r="AB62">
            <v>2.2032412129007941</v>
          </cell>
          <cell r="AC62" t="e">
            <v>#N/A</v>
          </cell>
          <cell r="AD62" t="e">
            <v>#N/A</v>
          </cell>
          <cell r="AE62" t="e">
            <v>#N/A</v>
          </cell>
          <cell r="AF62" t="e">
            <v>#N/A</v>
          </cell>
          <cell r="AG62" t="e">
            <v>#N/A</v>
          </cell>
          <cell r="AH62">
            <v>77</v>
          </cell>
        </row>
        <row r="63">
          <cell r="B63" t="str">
            <v>Kyrgyzstan</v>
          </cell>
          <cell r="C63" t="str">
            <v>Eurasia</v>
          </cell>
          <cell r="D63">
            <v>6735347</v>
          </cell>
          <cell r="E63" t="str">
            <v>3.62 × 10−3</v>
          </cell>
          <cell r="F63" t="str">
            <v>1.77 × 10−3</v>
          </cell>
          <cell r="G63" t="str">
            <v>4.50 × 10−4</v>
          </cell>
          <cell r="H63" t="str">
            <v>4.83 × 10−3</v>
          </cell>
          <cell r="I63" t="str">
            <v>2.79 × 10−4</v>
          </cell>
          <cell r="J63" t="str">
            <v>1.44 × 10−4</v>
          </cell>
          <cell r="K63" t="str">
            <v>5.02 × 10−5</v>
          </cell>
          <cell r="L63" t="str">
            <v>1.04 × 10−3</v>
          </cell>
          <cell r="M63" t="str">
            <v>4.50</v>
          </cell>
          <cell r="N63" t="str">
            <v>4</v>
          </cell>
          <cell r="O63">
            <v>4.5</v>
          </cell>
          <cell r="P63">
            <v>-4</v>
          </cell>
          <cell r="Q63">
            <v>4.5000000000000004E-4</v>
          </cell>
          <cell r="R63" t="str">
            <v>4.83</v>
          </cell>
          <cell r="S63" t="str">
            <v>3</v>
          </cell>
          <cell r="T63">
            <v>4.83</v>
          </cell>
          <cell r="U63">
            <v>-3</v>
          </cell>
          <cell r="V63">
            <v>4.8300000000000001E-3</v>
          </cell>
          <cell r="W63" t="e">
            <v>#N/A</v>
          </cell>
          <cell r="X63" t="e">
            <v>#N/A</v>
          </cell>
          <cell r="Y63" t="e">
            <v>#N/A</v>
          </cell>
          <cell r="Z63" t="e">
            <v>#N/A</v>
          </cell>
          <cell r="AA63" t="e">
            <v>#N/A</v>
          </cell>
          <cell r="AB63" t="e">
            <v>#N/A</v>
          </cell>
          <cell r="AC63">
            <v>50</v>
          </cell>
          <cell r="AD63">
            <v>70</v>
          </cell>
          <cell r="AE63">
            <v>95</v>
          </cell>
          <cell r="AF63" t="e">
            <v>#N/A</v>
          </cell>
          <cell r="AG63" t="e">
            <v>#N/A</v>
          </cell>
          <cell r="AH63">
            <v>54.2</v>
          </cell>
        </row>
        <row r="64">
          <cell r="B64" t="str">
            <v>Laos</v>
          </cell>
          <cell r="C64" t="str">
            <v>Western Pacific</v>
          </cell>
          <cell r="D64">
            <v>7633779</v>
          </cell>
          <cell r="E64" t="str">
            <v>5.58 × 10−3</v>
          </cell>
          <cell r="F64" t="str">
            <v>2.77 × 10−3</v>
          </cell>
          <cell r="G64" t="str">
            <v>6.78 × 10−4</v>
          </cell>
          <cell r="H64" t="str">
            <v>7.40 × 10−3</v>
          </cell>
          <cell r="I64" t="str">
            <v>3.84 × 10−4</v>
          </cell>
          <cell r="J64" t="str">
            <v>2.03 × 10−4</v>
          </cell>
          <cell r="K64" t="str">
            <v>6.98 × 10−5</v>
          </cell>
          <cell r="L64" t="str">
            <v>1.43 × 10−3</v>
          </cell>
          <cell r="M64" t="str">
            <v>6.78</v>
          </cell>
          <cell r="N64" t="str">
            <v>4</v>
          </cell>
          <cell r="O64">
            <v>6.78</v>
          </cell>
          <cell r="P64">
            <v>-4</v>
          </cell>
          <cell r="Q64">
            <v>6.7800000000000011E-4</v>
          </cell>
          <cell r="R64" t="str">
            <v>7.40</v>
          </cell>
          <cell r="S64" t="str">
            <v>3</v>
          </cell>
          <cell r="T64">
            <v>7.4</v>
          </cell>
          <cell r="U64">
            <v>-3</v>
          </cell>
          <cell r="V64">
            <v>7.4000000000000003E-3</v>
          </cell>
          <cell r="W64">
            <v>0.22136577474030431</v>
          </cell>
          <cell r="X64">
            <v>0.1566756434122536</v>
          </cell>
          <cell r="Y64">
            <v>0.397289984968625</v>
          </cell>
          <cell r="Z64">
            <v>16.855967961587542</v>
          </cell>
          <cell r="AA64">
            <v>11.93011715029688</v>
          </cell>
          <cell r="AB64">
            <v>30.251773409629362</v>
          </cell>
          <cell r="AC64">
            <v>55</v>
          </cell>
          <cell r="AD64">
            <v>80</v>
          </cell>
          <cell r="AE64">
            <v>110</v>
          </cell>
          <cell r="AF64" t="e">
            <v>#N/A</v>
          </cell>
          <cell r="AG64" t="e">
            <v>#N/A</v>
          </cell>
          <cell r="AH64">
            <v>33</v>
          </cell>
        </row>
        <row r="65">
          <cell r="B65" t="str">
            <v>Lebanon</v>
          </cell>
          <cell r="C65" t="str">
            <v>Middle East</v>
          </cell>
          <cell r="D65">
            <v>5353930</v>
          </cell>
          <cell r="E65" t="str">
            <v>3.85 × 10−3</v>
          </cell>
          <cell r="F65" t="str">
            <v>1.85 × 10−3</v>
          </cell>
          <cell r="G65" t="str">
            <v>4.65 × 10−4</v>
          </cell>
          <cell r="H65" t="str">
            <v>5.20 × 10−3</v>
          </cell>
          <cell r="I65" t="str">
            <v>2.92 × 10−4</v>
          </cell>
          <cell r="J65" t="str">
            <v>1.50 × 10−4</v>
          </cell>
          <cell r="K65" t="str">
            <v>5.24 × 10−5</v>
          </cell>
          <cell r="L65" t="str">
            <v>1.07 × 10−3</v>
          </cell>
          <cell r="M65" t="str">
            <v>4.65</v>
          </cell>
          <cell r="N65" t="str">
            <v>4</v>
          </cell>
          <cell r="O65">
            <v>4.6500000000000004</v>
          </cell>
          <cell r="P65">
            <v>-4</v>
          </cell>
          <cell r="Q65">
            <v>4.6500000000000008E-4</v>
          </cell>
          <cell r="R65" t="str">
            <v>5.20</v>
          </cell>
          <cell r="S65" t="str">
            <v>3</v>
          </cell>
          <cell r="T65">
            <v>5.2</v>
          </cell>
          <cell r="U65">
            <v>-3</v>
          </cell>
          <cell r="V65">
            <v>5.2000000000000006E-3</v>
          </cell>
          <cell r="W65">
            <v>6.2135834826045802E-2</v>
          </cell>
          <cell r="X65">
            <v>3.7500149898538011E-2</v>
          </cell>
          <cell r="Y65">
            <v>0.1151623789514313</v>
          </cell>
          <cell r="Z65">
            <v>4.2767590835928848</v>
          </cell>
          <cell r="AA65">
            <v>2.581104883577428</v>
          </cell>
          <cell r="AB65">
            <v>7.9265330810723551</v>
          </cell>
          <cell r="AC65" t="e">
            <v>#N/A</v>
          </cell>
          <cell r="AD65" t="e">
            <v>#N/A</v>
          </cell>
          <cell r="AE65" t="e">
            <v>#N/A</v>
          </cell>
          <cell r="AF65" t="e">
            <v>#N/A</v>
          </cell>
          <cell r="AG65" t="e">
            <v>#N/A</v>
          </cell>
          <cell r="AH65">
            <v>68.2</v>
          </cell>
        </row>
        <row r="66">
          <cell r="B66" t="str">
            <v>Lesotho</v>
          </cell>
          <cell r="C66" t="str">
            <v>Southern Africa</v>
          </cell>
          <cell r="D66">
            <v>2330318</v>
          </cell>
          <cell r="E66" t="str">
            <v>5.67 × 10−3</v>
          </cell>
          <cell r="F66" t="str">
            <v>2.67 × 10−3</v>
          </cell>
          <cell r="G66" t="str">
            <v>6.85 × 10−4</v>
          </cell>
          <cell r="H66" t="str">
            <v>7.17 × 10−3</v>
          </cell>
          <cell r="I66" t="str">
            <v>3.89 × 10−4</v>
          </cell>
          <cell r="J66" t="str">
            <v>1.92 × 10−4</v>
          </cell>
          <cell r="K66" t="str">
            <v>6.76 × 10−5</v>
          </cell>
          <cell r="L66" t="str">
            <v>1.33 × 10−3</v>
          </cell>
          <cell r="M66" t="str">
            <v>6.85</v>
          </cell>
          <cell r="N66" t="str">
            <v>4</v>
          </cell>
          <cell r="O66">
            <v>6.85</v>
          </cell>
          <cell r="P66">
            <v>-4</v>
          </cell>
          <cell r="Q66">
            <v>6.8499999999999995E-4</v>
          </cell>
          <cell r="R66" t="str">
            <v>7.17</v>
          </cell>
          <cell r="S66" t="str">
            <v>3</v>
          </cell>
          <cell r="T66">
            <v>7.17</v>
          </cell>
          <cell r="U66">
            <v>-3</v>
          </cell>
          <cell r="V66">
            <v>7.1700000000000002E-3</v>
          </cell>
          <cell r="W66">
            <v>1.5196147925245851</v>
          </cell>
          <cell r="X66">
            <v>1.105834658801117</v>
          </cell>
          <cell r="Y66">
            <v>1.8160350467336199</v>
          </cell>
          <cell r="Z66">
            <v>33.354482277984467</v>
          </cell>
          <cell r="AA66">
            <v>24.2722976314842</v>
          </cell>
          <cell r="AB66">
            <v>39.8606996197</v>
          </cell>
          <cell r="AC66">
            <v>53</v>
          </cell>
          <cell r="AD66">
            <v>76</v>
          </cell>
          <cell r="AE66">
            <v>105</v>
          </cell>
          <cell r="AF66" t="e">
            <v>#N/A</v>
          </cell>
          <cell r="AG66" t="e">
            <v>#N/A</v>
          </cell>
          <cell r="AH66">
            <v>26.3</v>
          </cell>
        </row>
        <row r="67">
          <cell r="B67" t="str">
            <v>Liberia</v>
          </cell>
          <cell r="C67" t="str">
            <v>Western Africa</v>
          </cell>
          <cell r="D67">
            <v>5418377</v>
          </cell>
          <cell r="E67" t="str">
            <v>5.64 × 10−3</v>
          </cell>
          <cell r="F67" t="str">
            <v>2.59 × 10−3</v>
          </cell>
          <cell r="G67" t="str">
            <v>6.55 × 10−4</v>
          </cell>
          <cell r="H67" t="str">
            <v>7.31 × 10−3</v>
          </cell>
          <cell r="I67" t="str">
            <v>3.87 × 10−4</v>
          </cell>
          <cell r="J67" t="str">
            <v>1.97 × 10−4</v>
          </cell>
          <cell r="K67" t="str">
            <v>6.66 × 10−5</v>
          </cell>
          <cell r="L67" t="str">
            <v>1.39 × 10−3</v>
          </cell>
          <cell r="M67" t="str">
            <v>6.55</v>
          </cell>
          <cell r="N67" t="str">
            <v>4</v>
          </cell>
          <cell r="O67">
            <v>6.55</v>
          </cell>
          <cell r="P67">
            <v>-4</v>
          </cell>
          <cell r="Q67">
            <v>6.5499999999999998E-4</v>
          </cell>
          <cell r="R67" t="str">
            <v>7.31</v>
          </cell>
          <cell r="S67" t="str">
            <v>3</v>
          </cell>
          <cell r="T67">
            <v>7.31</v>
          </cell>
          <cell r="U67">
            <v>-3</v>
          </cell>
          <cell r="V67">
            <v>7.3099999999999997E-3</v>
          </cell>
          <cell r="W67">
            <v>2.9565576204840358</v>
          </cell>
          <cell r="X67">
            <v>2.0462680869850729</v>
          </cell>
          <cell r="Y67">
            <v>3.5132407509717138</v>
          </cell>
          <cell r="Z67">
            <v>160.67321536499111</v>
          </cell>
          <cell r="AA67">
            <v>111.2038103897445</v>
          </cell>
          <cell r="AB67">
            <v>190.92598902825571</v>
          </cell>
          <cell r="AC67">
            <v>38</v>
          </cell>
          <cell r="AD67">
            <v>60</v>
          </cell>
          <cell r="AE67">
            <v>80</v>
          </cell>
          <cell r="AF67" t="e">
            <v>#N/A</v>
          </cell>
          <cell r="AG67" t="e">
            <v>#N/A</v>
          </cell>
          <cell r="AH67">
            <v>35.700000000000003</v>
          </cell>
        </row>
        <row r="68">
          <cell r="B68" t="str">
            <v>Libya</v>
          </cell>
          <cell r="C68" t="str">
            <v>Northern Africa</v>
          </cell>
          <cell r="D68">
            <v>6888388</v>
          </cell>
          <cell r="E68" t="str">
            <v>3.38 × 10−3</v>
          </cell>
          <cell r="F68" t="str">
            <v>1.63 × 10−3</v>
          </cell>
          <cell r="G68" t="str">
            <v>4.15 × 10−4</v>
          </cell>
          <cell r="H68" t="str">
            <v>4.55 × 10−3</v>
          </cell>
          <cell r="I68" t="str">
            <v>2.65 × 10−4</v>
          </cell>
          <cell r="J68" t="str">
            <v>1.36 × 10−4</v>
          </cell>
          <cell r="K68" t="str">
            <v>4.72 × 10−5</v>
          </cell>
          <cell r="L68" t="str">
            <v>9.78 × 10−4</v>
          </cell>
          <cell r="M68" t="str">
            <v>4.15</v>
          </cell>
          <cell r="N68" t="str">
            <v>4</v>
          </cell>
          <cell r="O68">
            <v>4.1500000000000004</v>
          </cell>
          <cell r="P68">
            <v>-4</v>
          </cell>
          <cell r="Q68">
            <v>4.1500000000000006E-4</v>
          </cell>
          <cell r="R68" t="str">
            <v>4.55</v>
          </cell>
          <cell r="S68" t="str">
            <v>3</v>
          </cell>
          <cell r="T68">
            <v>4.55</v>
          </cell>
          <cell r="U68">
            <v>-3</v>
          </cell>
          <cell r="V68">
            <v>4.5500000000000002E-3</v>
          </cell>
          <cell r="W68">
            <v>0.21615741687845261</v>
          </cell>
          <cell r="X68">
            <v>0.13058979956369449</v>
          </cell>
          <cell r="Y68">
            <v>0.30099127286823701</v>
          </cell>
          <cell r="Z68">
            <v>15.530428093860539</v>
          </cell>
          <cell r="AA68">
            <v>9.3825857155576902</v>
          </cell>
          <cell r="AB68">
            <v>21.625551358194851</v>
          </cell>
          <cell r="AC68" t="e">
            <v>#N/A</v>
          </cell>
          <cell r="AD68" t="e">
            <v>#N/A</v>
          </cell>
          <cell r="AE68" t="e">
            <v>#N/A</v>
          </cell>
          <cell r="AF68" t="e">
            <v>#N/A</v>
          </cell>
          <cell r="AG68" t="e">
            <v>#N/A</v>
          </cell>
          <cell r="AH68">
            <v>59.5</v>
          </cell>
        </row>
        <row r="69">
          <cell r="B69" t="str">
            <v>Madagascar</v>
          </cell>
          <cell r="C69" t="str">
            <v>Southern Africa</v>
          </cell>
          <cell r="D69">
            <v>30325732</v>
          </cell>
          <cell r="E69" t="str">
            <v>5.67 × 10−3</v>
          </cell>
          <cell r="F69" t="str">
            <v>2.66 × 10−3</v>
          </cell>
          <cell r="G69" t="str">
            <v>6.54 × 10−4</v>
          </cell>
          <cell r="H69" t="str">
            <v>7.15 × 10−3</v>
          </cell>
          <cell r="I69" t="str">
            <v>3.89 × 10−4</v>
          </cell>
          <cell r="J69" t="str">
            <v>1.97 × 10−4</v>
          </cell>
          <cell r="K69" t="str">
            <v>6.77 × 10−5</v>
          </cell>
          <cell r="L69" t="str">
            <v>1.35 × 10−3</v>
          </cell>
          <cell r="M69" t="str">
            <v>6.54</v>
          </cell>
          <cell r="N69" t="str">
            <v>4</v>
          </cell>
          <cell r="O69">
            <v>6.54</v>
          </cell>
          <cell r="P69">
            <v>-4</v>
          </cell>
          <cell r="Q69">
            <v>6.5400000000000007E-4</v>
          </cell>
          <cell r="R69" t="str">
            <v>7.15</v>
          </cell>
          <cell r="S69" t="str">
            <v>3</v>
          </cell>
          <cell r="T69">
            <v>7.15</v>
          </cell>
          <cell r="U69">
            <v>-3</v>
          </cell>
          <cell r="V69">
            <v>7.1500000000000001E-3</v>
          </cell>
          <cell r="W69">
            <v>1.7985163433864291</v>
          </cell>
          <cell r="X69">
            <v>1.298665927512541</v>
          </cell>
          <cell r="Y69">
            <v>2.1409973833312641</v>
          </cell>
          <cell r="Z69">
            <v>538.67347585058087</v>
          </cell>
          <cell r="AA69">
            <v>388.96332063610942</v>
          </cell>
          <cell r="AB69">
            <v>641.24994276921757</v>
          </cell>
          <cell r="AC69">
            <v>610</v>
          </cell>
          <cell r="AD69">
            <v>870</v>
          </cell>
          <cell r="AE69">
            <v>1170</v>
          </cell>
          <cell r="AF69">
            <v>2.33</v>
          </cell>
          <cell r="AG69">
            <v>4.47</v>
          </cell>
          <cell r="AH69">
            <v>29</v>
          </cell>
        </row>
        <row r="70">
          <cell r="B70" t="str">
            <v>Malawi</v>
          </cell>
          <cell r="C70" t="str">
            <v>Southern Africa</v>
          </cell>
          <cell r="D70">
            <v>20931751</v>
          </cell>
          <cell r="E70" t="str">
            <v>5.67 × 10−3</v>
          </cell>
          <cell r="F70" t="str">
            <v>2.66 × 10−3</v>
          </cell>
          <cell r="G70" t="str">
            <v>6.59 × 10−4</v>
          </cell>
          <cell r="H70" t="str">
            <v>7.27 × 10−3</v>
          </cell>
          <cell r="I70" t="str">
            <v>3.89 × 10−4</v>
          </cell>
          <cell r="J70" t="str">
            <v>2.00 × 10−4</v>
          </cell>
          <cell r="K70" t="str">
            <v>6.75 × 10−5</v>
          </cell>
          <cell r="L70" t="str">
            <v>1.34 × 10−3</v>
          </cell>
          <cell r="M70" t="str">
            <v>6.59</v>
          </cell>
          <cell r="N70" t="str">
            <v>4</v>
          </cell>
          <cell r="O70">
            <v>6.59</v>
          </cell>
          <cell r="P70">
            <v>-4</v>
          </cell>
          <cell r="Q70">
            <v>6.5899999999999997E-4</v>
          </cell>
          <cell r="R70" t="str">
            <v>7.27</v>
          </cell>
          <cell r="S70" t="str">
            <v>3</v>
          </cell>
          <cell r="T70">
            <v>7.27</v>
          </cell>
          <cell r="U70">
            <v>-3</v>
          </cell>
          <cell r="V70">
            <v>7.2699999999999996E-3</v>
          </cell>
          <cell r="W70">
            <v>2.2367372046096858</v>
          </cell>
          <cell r="X70">
            <v>1.589492776875487</v>
          </cell>
          <cell r="Y70">
            <v>2.654921341198571</v>
          </cell>
          <cell r="Z70">
            <v>462.45718334167941</v>
          </cell>
          <cell r="AA70">
            <v>328.63599309783609</v>
          </cell>
          <cell r="AB70">
            <v>548.91895342647354</v>
          </cell>
          <cell r="AC70">
            <v>500</v>
          </cell>
          <cell r="AD70">
            <v>750</v>
          </cell>
          <cell r="AE70">
            <v>980</v>
          </cell>
          <cell r="AF70">
            <v>2.79</v>
          </cell>
          <cell r="AG70">
            <v>5.48</v>
          </cell>
          <cell r="AH70">
            <v>29.9</v>
          </cell>
        </row>
        <row r="71">
          <cell r="B71" t="str">
            <v>Malaysia</v>
          </cell>
          <cell r="C71" t="str">
            <v>South East Asia</v>
          </cell>
          <cell r="D71">
            <v>34308525</v>
          </cell>
          <cell r="E71" t="str">
            <v>2.38 × 10−3</v>
          </cell>
          <cell r="F71" t="str">
            <v>1.16 × 10−3</v>
          </cell>
          <cell r="G71" t="str">
            <v>3.06 × 10−4</v>
          </cell>
          <cell r="H71" t="str">
            <v>3.24 × 10−3</v>
          </cell>
          <cell r="I71" t="str">
            <v>2.05 × 10−4</v>
          </cell>
          <cell r="J71" t="str">
            <v>1.06 × 10−4</v>
          </cell>
          <cell r="K71" t="str">
            <v>3.65 × 10−5</v>
          </cell>
          <cell r="L71" t="str">
            <v>7.62 × 10−4</v>
          </cell>
          <cell r="M71" t="str">
            <v>3.06</v>
          </cell>
          <cell r="N71" t="str">
            <v>4</v>
          </cell>
          <cell r="O71">
            <v>3.06</v>
          </cell>
          <cell r="P71">
            <v>-4</v>
          </cell>
          <cell r="Q71">
            <v>3.0600000000000001E-4</v>
          </cell>
          <cell r="R71" t="str">
            <v>3.24</v>
          </cell>
          <cell r="S71" t="str">
            <v>3</v>
          </cell>
          <cell r="T71">
            <v>3.24</v>
          </cell>
          <cell r="U71">
            <v>-3</v>
          </cell>
          <cell r="V71">
            <v>3.2400000000000003E-3</v>
          </cell>
          <cell r="W71">
            <v>2.606182873198281E-2</v>
          </cell>
          <cell r="X71">
            <v>1.3244784055164089E-2</v>
          </cell>
          <cell r="Y71">
            <v>5.8777328431404798E-2</v>
          </cell>
          <cell r="Z71">
            <v>8.7775739296960928</v>
          </cell>
          <cell r="AA71">
            <v>4.4608178659540219</v>
          </cell>
          <cell r="AB71">
            <v>19.796091479319291</v>
          </cell>
          <cell r="AC71" t="e">
            <v>#N/A</v>
          </cell>
          <cell r="AD71" t="e">
            <v>#N/A</v>
          </cell>
          <cell r="AE71" t="e">
            <v>#N/A</v>
          </cell>
          <cell r="AF71" t="e">
            <v>#N/A</v>
          </cell>
          <cell r="AG71" t="e">
            <v>#N/A</v>
          </cell>
          <cell r="AH71">
            <v>55.4</v>
          </cell>
        </row>
        <row r="72">
          <cell r="B72" t="str">
            <v>Mali</v>
          </cell>
          <cell r="C72" t="str">
            <v>Western Africa</v>
          </cell>
          <cell r="D72">
            <v>23293698</v>
          </cell>
          <cell r="E72" t="str">
            <v>5.64 × 10−3</v>
          </cell>
          <cell r="F72" t="str">
            <v>2.77 × 10−3</v>
          </cell>
          <cell r="G72" t="str">
            <v>6.95 × 10−4</v>
          </cell>
          <cell r="H72" t="str">
            <v>7.31 × 10−3</v>
          </cell>
          <cell r="I72" t="str">
            <v>3.87 × 10−4</v>
          </cell>
          <cell r="J72" t="str">
            <v>2.02 × 10−4</v>
          </cell>
          <cell r="K72" t="str">
            <v>7.22 × 10−5</v>
          </cell>
          <cell r="L72" t="str">
            <v>1.36 × 10−3</v>
          </cell>
          <cell r="M72" t="str">
            <v>6.95</v>
          </cell>
          <cell r="N72" t="str">
            <v>4</v>
          </cell>
          <cell r="O72">
            <v>6.95</v>
          </cell>
          <cell r="P72">
            <v>-4</v>
          </cell>
          <cell r="Q72">
            <v>6.9500000000000009E-4</v>
          </cell>
          <cell r="R72" t="str">
            <v>7.31</v>
          </cell>
          <cell r="S72" t="str">
            <v>3</v>
          </cell>
          <cell r="T72">
            <v>7.31</v>
          </cell>
          <cell r="U72">
            <v>-3</v>
          </cell>
          <cell r="V72">
            <v>7.3099999999999997E-3</v>
          </cell>
          <cell r="W72">
            <v>3.3915585624081679</v>
          </cell>
          <cell r="X72">
            <v>2.317041811604728</v>
          </cell>
          <cell r="Y72">
            <v>4.0440080190191363</v>
          </cell>
          <cell r="Z72">
            <v>750.29406349111218</v>
          </cell>
          <cell r="AA72">
            <v>512.58519766597442</v>
          </cell>
          <cell r="AB72">
            <v>894.63152516702746</v>
          </cell>
          <cell r="AC72">
            <v>260</v>
          </cell>
          <cell r="AD72">
            <v>370</v>
          </cell>
          <cell r="AE72">
            <v>510</v>
          </cell>
          <cell r="AF72">
            <v>1.35</v>
          </cell>
          <cell r="AG72">
            <v>2.64</v>
          </cell>
          <cell r="AH72">
            <v>29.6</v>
          </cell>
        </row>
        <row r="73">
          <cell r="B73" t="str">
            <v>Mauritania</v>
          </cell>
          <cell r="C73" t="str">
            <v>Western Africa</v>
          </cell>
          <cell r="D73">
            <v>4862989</v>
          </cell>
          <cell r="E73" t="str">
            <v>5.64 × 10−3</v>
          </cell>
          <cell r="F73" t="str">
            <v>2.81 × 10−3</v>
          </cell>
          <cell r="G73" t="str">
            <v>7.02 × 10−4</v>
          </cell>
          <cell r="H73" t="str">
            <v>7.52 × 10−3</v>
          </cell>
          <cell r="I73" t="str">
            <v>3.87 × 10−4</v>
          </cell>
          <cell r="J73" t="str">
            <v>2.00 × 10−4</v>
          </cell>
          <cell r="K73" t="str">
            <v>6.95 × 10−5</v>
          </cell>
          <cell r="L73" t="str">
            <v>1.36 × 10−3</v>
          </cell>
          <cell r="M73" t="str">
            <v>7.02</v>
          </cell>
          <cell r="N73" t="str">
            <v>4</v>
          </cell>
          <cell r="O73">
            <v>7.02</v>
          </cell>
          <cell r="P73">
            <v>-4</v>
          </cell>
          <cell r="Q73">
            <v>7.0200000000000004E-4</v>
          </cell>
          <cell r="R73" t="str">
            <v>7.52</v>
          </cell>
          <cell r="S73" t="str">
            <v>3</v>
          </cell>
          <cell r="T73">
            <v>7.52</v>
          </cell>
          <cell r="U73">
            <v>-3</v>
          </cell>
          <cell r="V73">
            <v>7.5199999999999998E-3</v>
          </cell>
          <cell r="W73">
            <v>1.881134092435085</v>
          </cell>
          <cell r="X73">
            <v>1.354535785808535</v>
          </cell>
          <cell r="Y73">
            <v>2.237529471996377</v>
          </cell>
          <cell r="Z73">
            <v>94.860416122570598</v>
          </cell>
          <cell r="AA73">
            <v>68.305512515793637</v>
          </cell>
          <cell r="AB73">
            <v>112.83245445056779</v>
          </cell>
          <cell r="AC73">
            <v>65</v>
          </cell>
          <cell r="AD73">
            <v>101</v>
          </cell>
          <cell r="AE73">
            <v>132</v>
          </cell>
          <cell r="AF73" t="e">
            <v>#N/A</v>
          </cell>
          <cell r="AG73" t="e">
            <v>#N/A</v>
          </cell>
          <cell r="AH73">
            <v>42.1</v>
          </cell>
        </row>
        <row r="74">
          <cell r="B74" t="str">
            <v>Mongolia</v>
          </cell>
          <cell r="C74" t="str">
            <v>Eurasia</v>
          </cell>
          <cell r="D74">
            <v>3447157</v>
          </cell>
          <cell r="E74" t="str">
            <v>4.18 × 10−3</v>
          </cell>
          <cell r="F74" t="str">
            <v>2.14 × 10−3</v>
          </cell>
          <cell r="G74" t="str">
            <v>5.60 × 10−4</v>
          </cell>
          <cell r="H74" t="str">
            <v>5.74 × 10−3</v>
          </cell>
          <cell r="I74" t="str">
            <v>3.10 × 10−4</v>
          </cell>
          <cell r="J74" t="str">
            <v>1.70 × 10−4</v>
          </cell>
          <cell r="K74" t="str">
            <v>5.84 × 10−5</v>
          </cell>
          <cell r="L74" t="str">
            <v>1.14 × 10−3</v>
          </cell>
          <cell r="M74" t="str">
            <v>5.60</v>
          </cell>
          <cell r="N74" t="str">
            <v>4</v>
          </cell>
          <cell r="O74">
            <v>5.6</v>
          </cell>
          <cell r="P74">
            <v>-4</v>
          </cell>
          <cell r="Q74">
            <v>5.5999999999999995E-4</v>
          </cell>
          <cell r="R74" t="str">
            <v>5.74</v>
          </cell>
          <cell r="S74" t="str">
            <v>3</v>
          </cell>
          <cell r="T74">
            <v>5.74</v>
          </cell>
          <cell r="U74">
            <v>-3</v>
          </cell>
          <cell r="V74">
            <v>5.7400000000000003E-3</v>
          </cell>
          <cell r="W74">
            <v>5.5613765683786578E-2</v>
          </cell>
          <cell r="X74">
            <v>3.2845788699822631E-2</v>
          </cell>
          <cell r="Y74">
            <v>0.1049010064687473</v>
          </cell>
          <cell r="Z74">
            <v>1.920165318927088</v>
          </cell>
          <cell r="AA74">
            <v>1.1340599500636519</v>
          </cell>
          <cell r="AB74">
            <v>3.621895983219817</v>
          </cell>
          <cell r="AC74">
            <v>30</v>
          </cell>
          <cell r="AD74">
            <v>43</v>
          </cell>
          <cell r="AE74">
            <v>58</v>
          </cell>
          <cell r="AF74" t="e">
            <v>#N/A</v>
          </cell>
          <cell r="AG74" t="e">
            <v>#N/A</v>
          </cell>
          <cell r="AH74">
            <v>47.4</v>
          </cell>
        </row>
        <row r="75">
          <cell r="B75" t="str">
            <v>Morocco</v>
          </cell>
          <cell r="C75" t="str">
            <v>Northern Africa</v>
          </cell>
          <cell r="D75">
            <v>37840044</v>
          </cell>
          <cell r="E75" t="str">
            <v>4.27 × 10−3</v>
          </cell>
          <cell r="F75" t="str">
            <v>2.17 × 10−3</v>
          </cell>
          <cell r="G75" t="str">
            <v>5.38 × 10−4</v>
          </cell>
          <cell r="H75" t="str">
            <v>5.87 × 10−3</v>
          </cell>
          <cell r="I75" t="str">
            <v>3.15 × 10−4</v>
          </cell>
          <cell r="J75" t="str">
            <v>1.64 × 10−4</v>
          </cell>
          <cell r="K75" t="str">
            <v>5.74 × 10−5</v>
          </cell>
          <cell r="L75" t="str">
            <v>1.20 × 10−3</v>
          </cell>
          <cell r="M75" t="str">
            <v>5.38</v>
          </cell>
          <cell r="N75" t="str">
            <v>4</v>
          </cell>
          <cell r="O75">
            <v>5.38</v>
          </cell>
          <cell r="P75">
            <v>-4</v>
          </cell>
          <cell r="Q75">
            <v>5.3800000000000007E-4</v>
          </cell>
          <cell r="R75" t="str">
            <v>5.87</v>
          </cell>
          <cell r="S75" t="str">
            <v>3</v>
          </cell>
          <cell r="T75">
            <v>5.87</v>
          </cell>
          <cell r="U75">
            <v>-3</v>
          </cell>
          <cell r="V75">
            <v>5.8700000000000002E-3</v>
          </cell>
          <cell r="W75">
            <v>7.6064658634557733E-2</v>
          </cell>
          <cell r="X75">
            <v>4.0305896454063322E-2</v>
          </cell>
          <cell r="Y75">
            <v>0.1317650508577875</v>
          </cell>
          <cell r="Z75">
            <v>29.1221287364136</v>
          </cell>
          <cell r="AA75">
            <v>15.43152268665424</v>
          </cell>
          <cell r="AB75">
            <v>50.447590811867748</v>
          </cell>
          <cell r="AC75" t="e">
            <v>#N/A</v>
          </cell>
          <cell r="AD75" t="e">
            <v>#N/A</v>
          </cell>
          <cell r="AE75" t="e">
            <v>#N/A</v>
          </cell>
          <cell r="AF75" t="e">
            <v>#N/A</v>
          </cell>
          <cell r="AG75" t="e">
            <v>#N/A</v>
          </cell>
          <cell r="AH75">
            <v>48.5</v>
          </cell>
        </row>
        <row r="76">
          <cell r="B76" t="str">
            <v>Mozambique</v>
          </cell>
          <cell r="C76" t="str">
            <v>Southern Africa</v>
          </cell>
          <cell r="D76">
            <v>33897354</v>
          </cell>
          <cell r="E76" t="str">
            <v>4.67 × 10−3</v>
          </cell>
          <cell r="F76" t="str">
            <v>2.24 × 10−3</v>
          </cell>
          <cell r="G76" t="str">
            <v>5.78 × 10−4</v>
          </cell>
          <cell r="H76" t="str">
            <v>6.15 × 10−3</v>
          </cell>
          <cell r="I76" t="str">
            <v>3.36 × 10−4</v>
          </cell>
          <cell r="J76" t="str">
            <v>1.71 × 10−4</v>
          </cell>
          <cell r="K76" t="str">
            <v>5.96 × 10−5</v>
          </cell>
          <cell r="L76" t="str">
            <v>1.25 × 10−3</v>
          </cell>
          <cell r="M76" t="str">
            <v>5.78</v>
          </cell>
          <cell r="N76" t="str">
            <v>4</v>
          </cell>
          <cell r="O76">
            <v>5.78</v>
          </cell>
          <cell r="P76">
            <v>-4</v>
          </cell>
          <cell r="Q76">
            <v>5.7800000000000006E-4</v>
          </cell>
          <cell r="R76" t="str">
            <v>6.15</v>
          </cell>
          <cell r="S76" t="str">
            <v>3</v>
          </cell>
          <cell r="T76">
            <v>6.15</v>
          </cell>
          <cell r="U76">
            <v>-3</v>
          </cell>
          <cell r="V76">
            <v>6.1500000000000001E-3</v>
          </cell>
          <cell r="W76">
            <v>2.423739204700107</v>
          </cell>
          <cell r="X76">
            <v>1.710067095816888</v>
          </cell>
          <cell r="Y76">
            <v>2.8759350878780738</v>
          </cell>
          <cell r="Z76">
            <v>825.38387635235802</v>
          </cell>
          <cell r="AA76">
            <v>582.34887880299163</v>
          </cell>
          <cell r="AB76">
            <v>979.37535786333581</v>
          </cell>
          <cell r="AC76">
            <v>860</v>
          </cell>
          <cell r="AD76">
            <v>1290</v>
          </cell>
          <cell r="AE76">
            <v>1680</v>
          </cell>
          <cell r="AF76" t="e">
            <v>#N/A</v>
          </cell>
          <cell r="AG76" t="e">
            <v>#N/A</v>
          </cell>
          <cell r="AH76">
            <v>25.1</v>
          </cell>
        </row>
        <row r="77">
          <cell r="B77" t="str">
            <v>Myanmar</v>
          </cell>
          <cell r="C77" t="str">
            <v>Western Pacific</v>
          </cell>
          <cell r="D77">
            <v>54577997</v>
          </cell>
          <cell r="E77" t="str">
            <v>5.66 × 10−3</v>
          </cell>
          <cell r="F77" t="str">
            <v>2.90 × 10−3</v>
          </cell>
          <cell r="G77" t="str">
            <v>7.19 × 10−4</v>
          </cell>
          <cell r="H77" t="str">
            <v>7.67 × 10−3</v>
          </cell>
          <cell r="I77" t="str">
            <v>3.88 × 10−4</v>
          </cell>
          <cell r="J77" t="str">
            <v>2.08 × 10−4</v>
          </cell>
          <cell r="K77" t="str">
            <v>7.33 × 10−5</v>
          </cell>
          <cell r="L77" t="str">
            <v>1.43 × 10−3</v>
          </cell>
          <cell r="M77" t="str">
            <v>7.19</v>
          </cell>
          <cell r="N77" t="str">
            <v>4</v>
          </cell>
          <cell r="O77">
            <v>7.19</v>
          </cell>
          <cell r="P77">
            <v>-4</v>
          </cell>
          <cell r="Q77">
            <v>7.1900000000000002E-4</v>
          </cell>
          <cell r="R77" t="str">
            <v>7.67</v>
          </cell>
          <cell r="S77" t="str">
            <v>3</v>
          </cell>
          <cell r="T77">
            <v>7.67</v>
          </cell>
          <cell r="U77">
            <v>-3</v>
          </cell>
          <cell r="V77">
            <v>7.6699999999999997E-3</v>
          </cell>
          <cell r="W77">
            <v>0.95217219747572712</v>
          </cell>
          <cell r="X77">
            <v>0.53787922874723326</v>
          </cell>
          <cell r="Y77">
            <v>2.39126379350098</v>
          </cell>
          <cell r="Z77">
            <v>527.60321396090535</v>
          </cell>
          <cell r="AA77">
            <v>298.04147880203948</v>
          </cell>
          <cell r="AB77">
            <v>1325.010818656702</v>
          </cell>
          <cell r="AC77">
            <v>407</v>
          </cell>
          <cell r="AD77">
            <v>577</v>
          </cell>
          <cell r="AE77">
            <v>795</v>
          </cell>
          <cell r="AF77" t="e">
            <v>#N/A</v>
          </cell>
          <cell r="AG77" t="e">
            <v>#N/A</v>
          </cell>
          <cell r="AH77">
            <v>37.5</v>
          </cell>
        </row>
        <row r="78">
          <cell r="B78" t="str">
            <v>Namibia</v>
          </cell>
          <cell r="C78" t="str">
            <v>Southern Africa</v>
          </cell>
          <cell r="D78">
            <v>2604172</v>
          </cell>
          <cell r="E78" t="str">
            <v>5.67 × 10−3</v>
          </cell>
          <cell r="F78" t="str">
            <v>2.56 × 10−3</v>
          </cell>
          <cell r="G78" t="str">
            <v>6.45 × 10−4</v>
          </cell>
          <cell r="H78" t="str">
            <v>7.03 × 10−3</v>
          </cell>
          <cell r="I78" t="str">
            <v>3.89 × 10−4</v>
          </cell>
          <cell r="J78" t="str">
            <v>1.87 × 10−4</v>
          </cell>
          <cell r="K78" t="str">
            <v>6.57 × 10−5</v>
          </cell>
          <cell r="L78" t="str">
            <v>1.36 × 10−3</v>
          </cell>
          <cell r="M78" t="str">
            <v>6.45</v>
          </cell>
          <cell r="N78" t="str">
            <v>4</v>
          </cell>
          <cell r="O78">
            <v>6.45</v>
          </cell>
          <cell r="P78">
            <v>-4</v>
          </cell>
          <cell r="Q78">
            <v>6.4500000000000007E-4</v>
          </cell>
          <cell r="R78" t="str">
            <v>7.03</v>
          </cell>
          <cell r="S78" t="str">
            <v>3</v>
          </cell>
          <cell r="T78">
            <v>7.03</v>
          </cell>
          <cell r="U78">
            <v>-3</v>
          </cell>
          <cell r="V78">
            <v>7.0300000000000007E-3</v>
          </cell>
          <cell r="W78">
            <v>0.31222757453694278</v>
          </cell>
          <cell r="X78">
            <v>0.19976610957052651</v>
          </cell>
          <cell r="Y78">
            <v>0.41380523371887129</v>
          </cell>
          <cell r="Z78">
            <v>8.3885619649467102</v>
          </cell>
          <cell r="AA78">
            <v>5.3670800572754054</v>
          </cell>
          <cell r="AB78">
            <v>11.11763062445111</v>
          </cell>
          <cell r="AC78" t="str">
            <v>#NA</v>
          </cell>
          <cell r="AD78" t="str">
            <v>#NA</v>
          </cell>
          <cell r="AE78" t="str">
            <v>#NA</v>
          </cell>
          <cell r="AF78" t="e">
            <v>#N/A</v>
          </cell>
          <cell r="AG78" t="e">
            <v>#N/A</v>
          </cell>
          <cell r="AH78">
            <v>39.9</v>
          </cell>
        </row>
        <row r="79">
          <cell r="B79" t="str">
            <v>Nepal</v>
          </cell>
          <cell r="C79" t="str">
            <v>South Asia</v>
          </cell>
          <cell r="D79">
            <v>30896590</v>
          </cell>
          <cell r="E79" t="str">
            <v>5.71 × 10−3</v>
          </cell>
          <cell r="F79" t="str">
            <v>2.84 × 10−3</v>
          </cell>
          <cell r="G79" t="str">
            <v>7.36 × 10−4</v>
          </cell>
          <cell r="H79" t="str">
            <v>7.62 × 10−3</v>
          </cell>
          <cell r="I79" t="str">
            <v>3.91 × 10−4</v>
          </cell>
          <cell r="J79" t="str">
            <v>2.05 × 10−4</v>
          </cell>
          <cell r="K79" t="str">
            <v>7.20 × 10−5</v>
          </cell>
          <cell r="L79" t="str">
            <v>1.44 × 10−3</v>
          </cell>
          <cell r="M79" t="str">
            <v>7.36</v>
          </cell>
          <cell r="N79" t="str">
            <v>4</v>
          </cell>
          <cell r="O79">
            <v>7.36</v>
          </cell>
          <cell r="P79">
            <v>-4</v>
          </cell>
          <cell r="Q79">
            <v>7.3600000000000011E-4</v>
          </cell>
          <cell r="R79" t="str">
            <v>7.62</v>
          </cell>
          <cell r="S79" t="str">
            <v>3</v>
          </cell>
          <cell r="T79">
            <v>7.62</v>
          </cell>
          <cell r="U79">
            <v>-3</v>
          </cell>
          <cell r="V79">
            <v>7.62E-3</v>
          </cell>
          <cell r="W79">
            <v>0.31023748995316869</v>
          </cell>
          <cell r="X79">
            <v>0.21819458761210481</v>
          </cell>
          <cell r="Y79">
            <v>0.5823375618622797</v>
          </cell>
          <cell r="Z79">
            <v>95.459837661128475</v>
          </cell>
          <cell r="AA79">
            <v>67.138307221131029</v>
          </cell>
          <cell r="AB79">
            <v>179.18482104706951</v>
          </cell>
          <cell r="AC79">
            <v>198</v>
          </cell>
          <cell r="AD79">
            <v>280</v>
          </cell>
          <cell r="AE79">
            <v>386</v>
          </cell>
          <cell r="AF79" t="e">
            <v>#N/A</v>
          </cell>
          <cell r="AG79" t="e">
            <v>#N/A</v>
          </cell>
          <cell r="AH79">
            <v>38.799999999999997</v>
          </cell>
        </row>
        <row r="80">
          <cell r="B80" t="str">
            <v>Nicaragua</v>
          </cell>
          <cell r="C80" t="str">
            <v>Central America</v>
          </cell>
          <cell r="D80">
            <v>7046310</v>
          </cell>
          <cell r="E80" t="str">
            <v>1.03 × 10−4</v>
          </cell>
          <cell r="F80" t="str">
            <v>4.43 × 10−5</v>
          </cell>
          <cell r="G80" t="str">
            <v>1.03 × 10−5</v>
          </cell>
          <cell r="H80" t="str">
            <v>1.31 × 10−4</v>
          </cell>
          <cell r="I80" t="str">
            <v>2.01 × 10−5</v>
          </cell>
          <cell r="J80" t="str">
            <v>9.55 × 10−6</v>
          </cell>
          <cell r="K80" t="str">
            <v>3.08 × 10−6</v>
          </cell>
          <cell r="L80" t="str">
            <v>7.90 × 10−5</v>
          </cell>
          <cell r="M80" t="str">
            <v>1.03</v>
          </cell>
          <cell r="N80" t="str">
            <v>5</v>
          </cell>
          <cell r="O80">
            <v>1.03</v>
          </cell>
          <cell r="P80">
            <v>-5</v>
          </cell>
          <cell r="Q80">
            <v>1.0300000000000001E-5</v>
          </cell>
          <cell r="R80" t="str">
            <v>1.31</v>
          </cell>
          <cell r="S80" t="str">
            <v>4</v>
          </cell>
          <cell r="T80">
            <v>1.31</v>
          </cell>
          <cell r="U80">
            <v>-4</v>
          </cell>
          <cell r="V80">
            <v>1.3100000000000001E-4</v>
          </cell>
          <cell r="W80">
            <v>1.9479158615796799E-2</v>
          </cell>
          <cell r="X80">
            <v>1.144837741331745E-3</v>
          </cell>
          <cell r="Y80">
            <v>0.67322061989403459</v>
          </cell>
          <cell r="Z80">
            <v>1.3388834870248949</v>
          </cell>
          <cell r="AA80">
            <v>7.8689453555191538E-2</v>
          </cell>
          <cell r="AB80">
            <v>46.273249727009102</v>
          </cell>
          <cell r="AC80">
            <v>170</v>
          </cell>
          <cell r="AD80">
            <v>240</v>
          </cell>
          <cell r="AE80">
            <v>320</v>
          </cell>
          <cell r="AF80" t="e">
            <v>#N/A</v>
          </cell>
          <cell r="AG80" t="e">
            <v>#N/A</v>
          </cell>
          <cell r="AH80">
            <v>52.2</v>
          </cell>
        </row>
        <row r="81">
          <cell r="B81" t="str">
            <v>Niger</v>
          </cell>
          <cell r="C81" t="str">
            <v>Western Africa</v>
          </cell>
          <cell r="D81">
            <v>27202843</v>
          </cell>
          <cell r="E81" t="str">
            <v>5.64 × 10−3</v>
          </cell>
          <cell r="F81" t="str">
            <v>2.78 × 10−3</v>
          </cell>
          <cell r="G81" t="str">
            <v>6.90 × 10−4</v>
          </cell>
          <cell r="H81" t="str">
            <v>7.57 × 10−3</v>
          </cell>
          <cell r="I81" t="str">
            <v>3.87 × 10−4</v>
          </cell>
          <cell r="J81" t="str">
            <v>2.00 × 10−4</v>
          </cell>
          <cell r="K81" t="str">
            <v>6.99 × 10−5</v>
          </cell>
          <cell r="L81" t="str">
            <v>1.42 × 10−3</v>
          </cell>
          <cell r="M81" t="str">
            <v>6.90</v>
          </cell>
          <cell r="N81" t="str">
            <v>4</v>
          </cell>
          <cell r="O81">
            <v>6.9</v>
          </cell>
          <cell r="P81">
            <v>-4</v>
          </cell>
          <cell r="Q81">
            <v>6.9000000000000008E-4</v>
          </cell>
          <cell r="R81" t="str">
            <v>7.57</v>
          </cell>
          <cell r="S81" t="str">
            <v>3</v>
          </cell>
          <cell r="T81">
            <v>7.57</v>
          </cell>
          <cell r="U81">
            <v>-3</v>
          </cell>
          <cell r="V81">
            <v>7.5700000000000003E-3</v>
          </cell>
          <cell r="W81">
            <v>4.9118593599102374</v>
          </cell>
          <cell r="X81">
            <v>3.2949842570344989</v>
          </cell>
          <cell r="Y81">
            <v>6.0044999844213187</v>
          </cell>
          <cell r="Z81">
            <v>1328.877536453861</v>
          </cell>
          <cell r="AA81">
            <v>891.44054039492687</v>
          </cell>
          <cell r="AB81">
            <v>1624.4856707543979</v>
          </cell>
          <cell r="AC81">
            <v>490</v>
          </cell>
          <cell r="AD81">
            <v>695</v>
          </cell>
          <cell r="AE81">
            <v>934</v>
          </cell>
          <cell r="AF81" t="e">
            <v>#N/A</v>
          </cell>
          <cell r="AG81" t="e">
            <v>#N/A</v>
          </cell>
          <cell r="AH81">
            <v>26.5</v>
          </cell>
        </row>
        <row r="82">
          <cell r="B82" t="str">
            <v>Nigeria</v>
          </cell>
          <cell r="C82" t="str">
            <v>Western Africa</v>
          </cell>
          <cell r="D82">
            <v>223804632</v>
          </cell>
          <cell r="E82" t="str">
            <v>4.44 × 10−3</v>
          </cell>
          <cell r="F82" t="str">
            <v>2.30 × 10−3</v>
          </cell>
          <cell r="G82" t="str">
            <v>5.88 × 10−4</v>
          </cell>
          <cell r="H82" t="str">
            <v>6.05 × 10−3</v>
          </cell>
          <cell r="I82" t="str">
            <v>3.24 × 10−4</v>
          </cell>
          <cell r="J82" t="str">
            <v>1.75 × 10−4</v>
          </cell>
          <cell r="K82" t="str">
            <v>6.23 × 10−5</v>
          </cell>
          <cell r="L82" t="str">
            <v>1.16 × 10−3</v>
          </cell>
          <cell r="M82" t="str">
            <v>5.88</v>
          </cell>
          <cell r="N82" t="str">
            <v>4</v>
          </cell>
          <cell r="O82">
            <v>5.88</v>
          </cell>
          <cell r="P82">
            <v>-4</v>
          </cell>
          <cell r="Q82">
            <v>5.8799999999999998E-4</v>
          </cell>
          <cell r="R82" t="str">
            <v>6.05</v>
          </cell>
          <cell r="S82" t="str">
            <v>3</v>
          </cell>
          <cell r="T82">
            <v>6.05</v>
          </cell>
          <cell r="U82">
            <v>-3</v>
          </cell>
          <cell r="V82">
            <v>6.0499999999999998E-3</v>
          </cell>
          <cell r="W82">
            <v>2.086486656079872</v>
          </cell>
          <cell r="X82">
            <v>1.491225805908075</v>
          </cell>
          <cell r="Y82">
            <v>2.4781482361909308</v>
          </cell>
          <cell r="Z82">
            <v>4640.0971207513649</v>
          </cell>
          <cell r="AA82">
            <v>3316.308085758164</v>
          </cell>
          <cell r="AB82">
            <v>5511.1056962850917</v>
          </cell>
          <cell r="AC82">
            <v>3285</v>
          </cell>
          <cell r="AD82">
            <v>4777</v>
          </cell>
          <cell r="AE82">
            <v>6585</v>
          </cell>
          <cell r="AF82">
            <v>1.7</v>
          </cell>
          <cell r="AG82">
            <v>3.4</v>
          </cell>
          <cell r="AH82">
            <v>31.6</v>
          </cell>
        </row>
        <row r="83">
          <cell r="B83" t="str">
            <v>North Korea</v>
          </cell>
          <cell r="C83" t="str">
            <v>Eurasia</v>
          </cell>
          <cell r="D83">
            <v>26160821</v>
          </cell>
          <cell r="E83" t="str">
            <v>3.62 × 10−3</v>
          </cell>
          <cell r="F83" t="str">
            <v>1.85 × 10−3</v>
          </cell>
          <cell r="G83" t="str">
            <v>4.52 × 10−4</v>
          </cell>
          <cell r="H83" t="str">
            <v>4.88 × 10−3</v>
          </cell>
          <cell r="I83" t="str">
            <v>2.79 × 10−4</v>
          </cell>
          <cell r="J83" t="str">
            <v>1.48 × 10−4</v>
          </cell>
          <cell r="K83" t="str">
            <v>5.13 × 10−5</v>
          </cell>
          <cell r="L83" t="str">
            <v>1.02 × 10−3</v>
          </cell>
          <cell r="M83" t="str">
            <v>4.52</v>
          </cell>
          <cell r="N83" t="str">
            <v>4</v>
          </cell>
          <cell r="O83">
            <v>4.5199999999999996</v>
          </cell>
          <cell r="P83">
            <v>-4</v>
          </cell>
          <cell r="Q83">
            <v>4.5199999999999998E-4</v>
          </cell>
          <cell r="R83" t="str">
            <v>4.88</v>
          </cell>
          <cell r="S83" t="str">
            <v>3</v>
          </cell>
          <cell r="T83">
            <v>4.88</v>
          </cell>
          <cell r="U83">
            <v>-3</v>
          </cell>
          <cell r="V83">
            <v>4.8799999999999998E-3</v>
          </cell>
          <cell r="W83">
            <v>0.54585221643620663</v>
          </cell>
          <cell r="X83">
            <v>0.3563228767736889</v>
          </cell>
          <cell r="Y83">
            <v>1.1579589093369329</v>
          </cell>
          <cell r="Z83">
            <v>142.66270803392521</v>
          </cell>
          <cell r="AA83">
            <v>93.127745943510376</v>
          </cell>
          <cell r="AB83">
            <v>302.64153707494182</v>
          </cell>
          <cell r="AC83" t="e">
            <v>#N/A</v>
          </cell>
          <cell r="AD83" t="e">
            <v>#N/A</v>
          </cell>
          <cell r="AE83" t="e">
            <v>#N/A</v>
          </cell>
          <cell r="AF83" t="e">
            <v>#N/A</v>
          </cell>
          <cell r="AG83" t="e">
            <v>#N/A</v>
          </cell>
          <cell r="AH83">
            <v>50.1</v>
          </cell>
        </row>
        <row r="84">
          <cell r="B84" t="str">
            <v>Oman</v>
          </cell>
          <cell r="C84" t="str">
            <v>Middle East</v>
          </cell>
          <cell r="D84">
            <v>4644384</v>
          </cell>
          <cell r="E84" t="str">
            <v>4.18 × 10−3</v>
          </cell>
          <cell r="F84" t="str">
            <v>2.12 × 10−3</v>
          </cell>
          <cell r="G84" t="str">
            <v>5.25 × 10−4</v>
          </cell>
          <cell r="H84" t="str">
            <v>5.61 × 10−3</v>
          </cell>
          <cell r="I84" t="str">
            <v>3.10 × 10−4</v>
          </cell>
          <cell r="J84" t="str">
            <v>1.61 × 10−4</v>
          </cell>
          <cell r="K84" t="str">
            <v>5.64 × 10−5</v>
          </cell>
          <cell r="L84" t="str">
            <v>1.13 × 10−3</v>
          </cell>
          <cell r="M84" t="str">
            <v>5.25</v>
          </cell>
          <cell r="N84" t="str">
            <v>4</v>
          </cell>
          <cell r="O84">
            <v>5.25</v>
          </cell>
          <cell r="P84">
            <v>-4</v>
          </cell>
          <cell r="Q84">
            <v>5.2500000000000008E-4</v>
          </cell>
          <cell r="R84" t="str">
            <v>5.61</v>
          </cell>
          <cell r="S84" t="str">
            <v>3</v>
          </cell>
          <cell r="T84">
            <v>5.61</v>
          </cell>
          <cell r="U84">
            <v>-3</v>
          </cell>
          <cell r="V84">
            <v>5.6100000000000004E-3</v>
          </cell>
          <cell r="W84">
            <v>2.5180101103007561E-2</v>
          </cell>
          <cell r="X84">
            <v>1.271415292978231E-2</v>
          </cell>
          <cell r="Y84">
            <v>5.7384334167175297E-2</v>
          </cell>
          <cell r="Z84">
            <v>1.408198018802467</v>
          </cell>
          <cell r="AA84">
            <v>0.71103943916780099</v>
          </cell>
          <cell r="AB84">
            <v>3.2092208587225661</v>
          </cell>
          <cell r="AC84" t="e">
            <v>#N/A</v>
          </cell>
          <cell r="AD84" t="e">
            <v>#N/A</v>
          </cell>
          <cell r="AE84" t="e">
            <v>#N/A</v>
          </cell>
          <cell r="AF84" t="e">
            <v>#N/A</v>
          </cell>
          <cell r="AG84" t="e">
            <v>#N/A</v>
          </cell>
          <cell r="AH84">
            <v>67.5</v>
          </cell>
        </row>
        <row r="85">
          <cell r="B85" t="str">
            <v>Pakistan</v>
          </cell>
          <cell r="C85" t="str">
            <v>South Asia</v>
          </cell>
          <cell r="D85">
            <v>240485658</v>
          </cell>
          <cell r="E85" t="str">
            <v>5.18 × 10−3</v>
          </cell>
          <cell r="F85" t="str">
            <v>2.45 × 10−3</v>
          </cell>
          <cell r="G85" t="str">
            <v>5.85 × 10−4</v>
          </cell>
          <cell r="H85" t="str">
            <v>6.86 × 10−3</v>
          </cell>
          <cell r="I85" t="str">
            <v>3.63 × 10−4</v>
          </cell>
          <cell r="J85" t="str">
            <v>1.81 × 10−4</v>
          </cell>
          <cell r="K85" t="str">
            <v>6.16 × 10−5</v>
          </cell>
          <cell r="L85" t="str">
            <v>1.30 × 10−3</v>
          </cell>
          <cell r="M85" t="str">
            <v>5.85</v>
          </cell>
          <cell r="N85" t="str">
            <v>4</v>
          </cell>
          <cell r="O85">
            <v>5.85</v>
          </cell>
          <cell r="P85">
            <v>-4</v>
          </cell>
          <cell r="Q85">
            <v>5.8500000000000002E-4</v>
          </cell>
          <cell r="R85" t="str">
            <v>6.86</v>
          </cell>
          <cell r="S85" t="str">
            <v>3</v>
          </cell>
          <cell r="T85">
            <v>6.86</v>
          </cell>
          <cell r="U85">
            <v>-3</v>
          </cell>
          <cell r="V85">
            <v>6.8600000000000006E-3</v>
          </cell>
          <cell r="W85">
            <v>2.4853786676659988</v>
          </cell>
          <cell r="X85">
            <v>1.141860260201411</v>
          </cell>
          <cell r="Y85">
            <v>8.6976468758580907</v>
          </cell>
          <cell r="Z85">
            <v>5832.8344810284671</v>
          </cell>
          <cell r="AA85">
            <v>2679.7855734689929</v>
          </cell>
          <cell r="AB85">
            <v>20412.15500129668</v>
          </cell>
          <cell r="AC85">
            <v>2383</v>
          </cell>
          <cell r="AD85">
            <v>3374</v>
          </cell>
          <cell r="AE85">
            <v>4528</v>
          </cell>
          <cell r="AF85" t="e">
            <v>#N/A</v>
          </cell>
          <cell r="AG85" t="e">
            <v>#N/A</v>
          </cell>
          <cell r="AH85">
            <v>32.4</v>
          </cell>
        </row>
        <row r="86">
          <cell r="B86" t="str">
            <v>Peru</v>
          </cell>
          <cell r="C86" t="str">
            <v>Andean Region</v>
          </cell>
          <cell r="D86">
            <v>34352719</v>
          </cell>
          <cell r="E86" t="str">
            <v>2.65 × 10−3</v>
          </cell>
          <cell r="F86" t="str">
            <v>1.16 × 10−3</v>
          </cell>
          <cell r="G86" t="str">
            <v>2.95 × 10−4</v>
          </cell>
          <cell r="H86" t="str">
            <v>3.24 × 10−3</v>
          </cell>
          <cell r="I86" t="str">
            <v>2.21 × 10−4</v>
          </cell>
          <cell r="J86" t="str">
            <v>1.05 × 10−4</v>
          </cell>
          <cell r="K86" t="str">
            <v>3.70 × 10−5</v>
          </cell>
          <cell r="L86" t="str">
            <v>7.78 × 10−4</v>
          </cell>
          <cell r="M86" t="str">
            <v>2.95</v>
          </cell>
          <cell r="N86" t="str">
            <v>4</v>
          </cell>
          <cell r="O86">
            <v>2.95</v>
          </cell>
          <cell r="P86">
            <v>-4</v>
          </cell>
          <cell r="Q86">
            <v>2.9500000000000001E-4</v>
          </cell>
          <cell r="R86" t="str">
            <v>3.24</v>
          </cell>
          <cell r="S86" t="str">
            <v>3</v>
          </cell>
          <cell r="T86">
            <v>3.24</v>
          </cell>
          <cell r="U86">
            <v>-3</v>
          </cell>
          <cell r="V86">
            <v>3.2400000000000003E-3</v>
          </cell>
          <cell r="W86">
            <v>1.8867157758243609E-2</v>
          </cell>
          <cell r="X86">
            <v>5.3252353499128231E-4</v>
          </cell>
          <cell r="Y86">
            <v>0.28491255586478442</v>
          </cell>
          <cell r="Z86">
            <v>6.5400425029111178</v>
          </cell>
          <cell r="AA86">
            <v>0.1845920088902504</v>
          </cell>
          <cell r="AB86">
            <v>98.761045455009267</v>
          </cell>
          <cell r="AC86" t="e">
            <v>#N/A</v>
          </cell>
          <cell r="AD86" t="e">
            <v>#N/A</v>
          </cell>
          <cell r="AE86" t="e">
            <v>#N/A</v>
          </cell>
          <cell r="AF86" t="e">
            <v>#N/A</v>
          </cell>
          <cell r="AG86" t="e">
            <v>#N/A</v>
          </cell>
          <cell r="AH86">
            <v>60</v>
          </cell>
        </row>
        <row r="87">
          <cell r="B87" t="str">
            <v>Philippines</v>
          </cell>
          <cell r="C87" t="str">
            <v>South East Asia</v>
          </cell>
          <cell r="D87">
            <v>117337368</v>
          </cell>
          <cell r="E87" t="str">
            <v>4.67 × 10−3</v>
          </cell>
          <cell r="F87" t="str">
            <v>2.37 × 10−3</v>
          </cell>
          <cell r="G87" t="str">
            <v>5.89 × 10−4</v>
          </cell>
          <cell r="H87" t="str">
            <v>6.37 × 10−3</v>
          </cell>
          <cell r="I87" t="str">
            <v>3.36 × 10−4</v>
          </cell>
          <cell r="J87" t="str">
            <v>1.80 × 10−4</v>
          </cell>
          <cell r="K87" t="str">
            <v>6.25 × 10−5</v>
          </cell>
          <cell r="L87" t="str">
            <v>1.22 × 10−3</v>
          </cell>
          <cell r="M87" t="str">
            <v>5.89</v>
          </cell>
          <cell r="N87" t="str">
            <v>4</v>
          </cell>
          <cell r="O87">
            <v>5.89</v>
          </cell>
          <cell r="P87">
            <v>-4</v>
          </cell>
          <cell r="Q87">
            <v>5.8900000000000001E-4</v>
          </cell>
          <cell r="R87" t="str">
            <v>6.37</v>
          </cell>
          <cell r="S87" t="str">
            <v>3</v>
          </cell>
          <cell r="T87">
            <v>6.37</v>
          </cell>
          <cell r="U87">
            <v>-3</v>
          </cell>
          <cell r="V87">
            <v>6.3700000000000007E-3</v>
          </cell>
          <cell r="W87">
            <v>0.13588617042809359</v>
          </cell>
          <cell r="X87">
            <v>9.2965745202190364E-2</v>
          </cell>
          <cell r="Y87">
            <v>0.23781101313580069</v>
          </cell>
          <cell r="Z87">
            <v>155.0967042027797</v>
          </cell>
          <cell r="AA87">
            <v>106.1085218546577</v>
          </cell>
          <cell r="AB87">
            <v>271.43089134301749</v>
          </cell>
          <cell r="AC87" t="e">
            <v>#N/A</v>
          </cell>
          <cell r="AD87" t="e">
            <v>#N/A</v>
          </cell>
          <cell r="AE87" t="e">
            <v>#N/A</v>
          </cell>
          <cell r="AF87" t="e">
            <v>#N/A</v>
          </cell>
          <cell r="AG87" t="e">
            <v>#N/A</v>
          </cell>
          <cell r="AH87">
            <v>40.799999999999997</v>
          </cell>
        </row>
        <row r="88">
          <cell r="B88" t="str">
            <v>Qatar</v>
          </cell>
          <cell r="C88" t="str">
            <v>Middle East</v>
          </cell>
          <cell r="D88">
            <v>2716391</v>
          </cell>
          <cell r="E88" t="str">
            <v>3.85 × 10−3</v>
          </cell>
          <cell r="F88" t="str">
            <v>1.94 × 10−3</v>
          </cell>
          <cell r="G88" t="str">
            <v>4.78 × 10−4</v>
          </cell>
          <cell r="H88" t="str">
            <v>5.25 × 10−3</v>
          </cell>
          <cell r="I88" t="str">
            <v>2.92 × 10−4</v>
          </cell>
          <cell r="J88" t="str">
            <v>1.56 × 10−4</v>
          </cell>
          <cell r="K88" t="str">
            <v>5.35 × 10−5</v>
          </cell>
          <cell r="L88" t="str">
            <v>1.06 × 10−3</v>
          </cell>
          <cell r="M88" t="str">
            <v>4.78</v>
          </cell>
          <cell r="N88" t="str">
            <v>4</v>
          </cell>
          <cell r="O88">
            <v>4.78</v>
          </cell>
          <cell r="P88">
            <v>-4</v>
          </cell>
          <cell r="Q88">
            <v>4.7800000000000007E-4</v>
          </cell>
          <cell r="R88" t="str">
            <v>5.25</v>
          </cell>
          <cell r="S88" t="str">
            <v>3</v>
          </cell>
          <cell r="T88">
            <v>5.25</v>
          </cell>
          <cell r="U88">
            <v>-3</v>
          </cell>
          <cell r="V88">
            <v>5.2500000000000003E-3</v>
          </cell>
          <cell r="W88" t="e">
            <v>#N/A</v>
          </cell>
          <cell r="X88" t="e">
            <v>#N/A</v>
          </cell>
          <cell r="Y88" t="e">
            <v>#N/A</v>
          </cell>
          <cell r="Z88" t="e">
            <v>#N/A</v>
          </cell>
          <cell r="AA88" t="e">
            <v>#N/A</v>
          </cell>
          <cell r="AB88" t="e">
            <v>#N/A</v>
          </cell>
          <cell r="AC88" t="e">
            <v>#N/A</v>
          </cell>
          <cell r="AD88" t="e">
            <v>#N/A</v>
          </cell>
          <cell r="AE88" t="e">
            <v>#N/A</v>
          </cell>
          <cell r="AF88" t="e">
            <v>#N/A</v>
          </cell>
          <cell r="AG88" t="e">
            <v>#N/A</v>
          </cell>
          <cell r="AH88">
            <v>73.7</v>
          </cell>
        </row>
        <row r="89">
          <cell r="B89" t="str">
            <v>Rwanda</v>
          </cell>
          <cell r="C89" t="str">
            <v>Gulf of Guinea</v>
          </cell>
          <cell r="D89">
            <v>14094683</v>
          </cell>
          <cell r="E89" t="str">
            <v>3.19 × 10−3</v>
          </cell>
          <cell r="F89" t="str">
            <v>1.72 × 10−3</v>
          </cell>
          <cell r="G89" t="str">
            <v>4.33 × 10−4</v>
          </cell>
          <cell r="H89" t="str">
            <v>4.71 × 10−3</v>
          </cell>
          <cell r="I89" t="str">
            <v>2.54 × 10−4</v>
          </cell>
          <cell r="J89" t="str">
            <v>1.40 × 10−4</v>
          </cell>
          <cell r="K89" t="str">
            <v>4.82 × 10−5</v>
          </cell>
          <cell r="L89" t="str">
            <v>1.00 × 10−3</v>
          </cell>
          <cell r="M89" t="str">
            <v>4.33</v>
          </cell>
          <cell r="N89" t="str">
            <v>4</v>
          </cell>
          <cell r="O89">
            <v>4.33</v>
          </cell>
          <cell r="P89">
            <v>-4</v>
          </cell>
          <cell r="Q89">
            <v>4.3300000000000001E-4</v>
          </cell>
          <cell r="R89" t="str">
            <v>4.71</v>
          </cell>
          <cell r="S89" t="str">
            <v>3</v>
          </cell>
          <cell r="T89">
            <v>4.71</v>
          </cell>
          <cell r="U89">
            <v>-3</v>
          </cell>
          <cell r="V89">
            <v>4.7099999999999998E-3</v>
          </cell>
          <cell r="W89">
            <v>0.98653172207114392</v>
          </cell>
          <cell r="X89">
            <v>0.71679010794826359</v>
          </cell>
          <cell r="Y89">
            <v>1.1972187789386199</v>
          </cell>
          <cell r="Z89">
            <v>138.0792835159159</v>
          </cell>
          <cell r="AA89">
            <v>100.3250704691022</v>
          </cell>
          <cell r="AB89">
            <v>167.56796310673829</v>
          </cell>
          <cell r="AC89">
            <v>295</v>
          </cell>
          <cell r="AD89">
            <v>430</v>
          </cell>
          <cell r="AE89">
            <v>562</v>
          </cell>
          <cell r="AF89" t="e">
            <v>#N/A</v>
          </cell>
          <cell r="AG89" t="e">
            <v>#N/A</v>
          </cell>
          <cell r="AH89">
            <v>31.8</v>
          </cell>
        </row>
        <row r="90">
          <cell r="B90" t="str">
            <v>Saudi Arabia</v>
          </cell>
          <cell r="C90" t="str">
            <v>Middle East</v>
          </cell>
          <cell r="D90">
            <v>36947025</v>
          </cell>
          <cell r="E90" t="str">
            <v>3.85 × 10−3</v>
          </cell>
          <cell r="F90" t="str">
            <v>1.86 × 10−3</v>
          </cell>
          <cell r="G90" t="str">
            <v>4.81 × 10−4</v>
          </cell>
          <cell r="H90" t="str">
            <v>5.04 × 10−3</v>
          </cell>
          <cell r="I90" t="str">
            <v>2.92 × 10−4</v>
          </cell>
          <cell r="J90" t="str">
            <v>1.50 × 10−4</v>
          </cell>
          <cell r="K90" t="str">
            <v>5.34 × 10−5</v>
          </cell>
          <cell r="L90" t="str">
            <v>1.10 × 10−3</v>
          </cell>
          <cell r="M90" t="str">
            <v>4.81</v>
          </cell>
          <cell r="N90" t="str">
            <v>4</v>
          </cell>
          <cell r="O90">
            <v>4.8099999999999996</v>
          </cell>
          <cell r="P90">
            <v>-4</v>
          </cell>
          <cell r="Q90">
            <v>4.8099999999999998E-4</v>
          </cell>
          <cell r="R90" t="str">
            <v>5.04</v>
          </cell>
          <cell r="S90" t="str">
            <v>3</v>
          </cell>
          <cell r="T90">
            <v>5.04</v>
          </cell>
          <cell r="U90">
            <v>-3</v>
          </cell>
          <cell r="V90">
            <v>5.0400000000000002E-3</v>
          </cell>
          <cell r="W90">
            <v>3.0543401508621171E-2</v>
          </cell>
          <cell r="X90">
            <v>1.600368493553048E-2</v>
          </cell>
          <cell r="Y90">
            <v>6.5815426843461214E-2</v>
          </cell>
          <cell r="Z90">
            <v>11.18503410740499</v>
          </cell>
          <cell r="AA90">
            <v>5.8605706308626697</v>
          </cell>
          <cell r="AB90">
            <v>24.101696526162829</v>
          </cell>
          <cell r="AC90" t="e">
            <v>#N/A</v>
          </cell>
          <cell r="AD90" t="e">
            <v>#N/A</v>
          </cell>
          <cell r="AE90" t="e">
            <v>#N/A</v>
          </cell>
          <cell r="AF90" t="e">
            <v>#N/A</v>
          </cell>
          <cell r="AG90" t="e">
            <v>#N/A</v>
          </cell>
          <cell r="AH90">
            <v>63.3</v>
          </cell>
        </row>
        <row r="91">
          <cell r="B91" t="str">
            <v>Senegal</v>
          </cell>
          <cell r="C91" t="str">
            <v>Western Africa</v>
          </cell>
          <cell r="D91">
            <v>17763163</v>
          </cell>
          <cell r="E91" t="str">
            <v>5.64 × 10−3</v>
          </cell>
          <cell r="F91" t="str">
            <v>2.79 × 10−3</v>
          </cell>
          <cell r="G91" t="str">
            <v>6.89 × 10−4</v>
          </cell>
          <cell r="H91" t="str">
            <v>7.51 × 10−3</v>
          </cell>
          <cell r="I91" t="str">
            <v>3.87 × 10−4</v>
          </cell>
          <cell r="J91" t="str">
            <v>2.01 × 10−4</v>
          </cell>
          <cell r="K91" t="str">
            <v>7.07 × 10−5</v>
          </cell>
          <cell r="L91" t="str">
            <v>1.39 × 10−3</v>
          </cell>
          <cell r="M91" t="str">
            <v>6.89</v>
          </cell>
          <cell r="N91" t="str">
            <v>4</v>
          </cell>
          <cell r="O91">
            <v>6.89</v>
          </cell>
          <cell r="P91">
            <v>-4</v>
          </cell>
          <cell r="Q91">
            <v>6.8900000000000005E-4</v>
          </cell>
          <cell r="R91" t="str">
            <v>7.51</v>
          </cell>
          <cell r="S91" t="str">
            <v>3</v>
          </cell>
          <cell r="T91">
            <v>7.51</v>
          </cell>
          <cell r="U91">
            <v>-3</v>
          </cell>
          <cell r="V91">
            <v>7.5100000000000002E-3</v>
          </cell>
          <cell r="W91">
            <v>0.72502233664970028</v>
          </cell>
          <cell r="X91">
            <v>0.51658656270220538</v>
          </cell>
          <cell r="Y91">
            <v>0.89391179219629635</v>
          </cell>
          <cell r="Z91">
            <v>131.69374710520151</v>
          </cell>
          <cell r="AA91">
            <v>93.833274793738312</v>
          </cell>
          <cell r="AB91">
            <v>162.37098851305461</v>
          </cell>
          <cell r="AC91">
            <v>290</v>
          </cell>
          <cell r="AD91">
            <v>435</v>
          </cell>
          <cell r="AE91">
            <v>580</v>
          </cell>
          <cell r="AF91">
            <v>0.72</v>
          </cell>
          <cell r="AG91">
            <v>1.45</v>
          </cell>
          <cell r="AH91">
            <v>34</v>
          </cell>
        </row>
        <row r="92">
          <cell r="B92" t="str">
            <v>Sierra Leone</v>
          </cell>
          <cell r="C92" t="str">
            <v>Western Africa</v>
          </cell>
          <cell r="D92">
            <v>8791092</v>
          </cell>
          <cell r="E92" t="str">
            <v>5.64 × 10−3</v>
          </cell>
          <cell r="F92" t="str">
            <v>2.74 × 10−3</v>
          </cell>
          <cell r="G92" t="str">
            <v>7.25 × 10−4</v>
          </cell>
          <cell r="H92" t="str">
            <v>7.25 × 10−3</v>
          </cell>
          <cell r="I92" t="str">
            <v>3.87 × 10−4</v>
          </cell>
          <cell r="J92" t="str">
            <v>2.00 × 10−4</v>
          </cell>
          <cell r="K92" t="str">
            <v>7.06 × 10−5</v>
          </cell>
          <cell r="L92" t="str">
            <v>1.37 × 10−3</v>
          </cell>
          <cell r="M92" t="str">
            <v>7.25</v>
          </cell>
          <cell r="N92" t="str">
            <v>4</v>
          </cell>
          <cell r="O92">
            <v>7.25</v>
          </cell>
          <cell r="P92">
            <v>-4</v>
          </cell>
          <cell r="Q92">
            <v>7.2500000000000006E-4</v>
          </cell>
          <cell r="R92" t="str">
            <v>7.25</v>
          </cell>
          <cell r="S92" t="str">
            <v>3</v>
          </cell>
          <cell r="T92">
            <v>7.25</v>
          </cell>
          <cell r="U92">
            <v>-3</v>
          </cell>
          <cell r="V92">
            <v>7.2500000000000004E-3</v>
          </cell>
          <cell r="W92">
            <v>3.9489553409813598</v>
          </cell>
          <cell r="X92">
            <v>2.6660362952895729</v>
          </cell>
          <cell r="Y92">
            <v>4.7415065554944968</v>
          </cell>
          <cell r="Z92">
            <v>335.40487419214958</v>
          </cell>
          <cell r="AA92">
            <v>226.4400305907447</v>
          </cell>
          <cell r="AB92">
            <v>402.72028230424883</v>
          </cell>
          <cell r="AC92">
            <v>130</v>
          </cell>
          <cell r="AD92">
            <v>198</v>
          </cell>
          <cell r="AE92">
            <v>273</v>
          </cell>
          <cell r="AF92">
            <v>1.69</v>
          </cell>
          <cell r="AG92">
            <v>3.56</v>
          </cell>
          <cell r="AH92">
            <v>30.9</v>
          </cell>
        </row>
        <row r="93">
          <cell r="B93" t="str">
            <v>Somalia</v>
          </cell>
          <cell r="C93" t="str">
            <v>Southern Africa</v>
          </cell>
          <cell r="D93">
            <v>18143378</v>
          </cell>
          <cell r="E93" t="str">
            <v>5.72 × 10−3</v>
          </cell>
          <cell r="F93" t="str">
            <v>2.82 × 10−3</v>
          </cell>
          <cell r="G93" t="str">
            <v>7.48 × 10−4</v>
          </cell>
          <cell r="H93" t="str">
            <v>7.59 × 10−3</v>
          </cell>
          <cell r="I93" t="str">
            <v>3.91 × 10−4</v>
          </cell>
          <cell r="J93" t="str">
            <v>2.04 × 10−4</v>
          </cell>
          <cell r="K93" t="str">
            <v>7.27 × 10−5</v>
          </cell>
          <cell r="L93" t="str">
            <v>1.42 × 10−3</v>
          </cell>
          <cell r="M93" t="str">
            <v>7.48</v>
          </cell>
          <cell r="N93" t="str">
            <v>4</v>
          </cell>
          <cell r="O93">
            <v>7.48</v>
          </cell>
          <cell r="P93">
            <v>-4</v>
          </cell>
          <cell r="Q93">
            <v>7.4800000000000008E-4</v>
          </cell>
          <cell r="R93" t="str">
            <v>7.59</v>
          </cell>
          <cell r="S93" t="str">
            <v>3</v>
          </cell>
          <cell r="T93">
            <v>7.59</v>
          </cell>
          <cell r="U93">
            <v>-3</v>
          </cell>
          <cell r="V93">
            <v>7.5900000000000004E-3</v>
          </cell>
          <cell r="W93">
            <v>4.7078602082186638</v>
          </cell>
          <cell r="X93">
            <v>3.1576094152272058</v>
          </cell>
          <cell r="Y93">
            <v>5.7299379820270433</v>
          </cell>
          <cell r="Z93">
            <v>813.70008636586192</v>
          </cell>
          <cell r="AA93">
            <v>545.75687047687688</v>
          </cell>
          <cell r="AB93">
            <v>990.3546037129662</v>
          </cell>
          <cell r="AC93">
            <v>338</v>
          </cell>
          <cell r="AD93">
            <v>492</v>
          </cell>
          <cell r="AE93">
            <v>660</v>
          </cell>
          <cell r="AF93" t="e">
            <v>#N/A</v>
          </cell>
          <cell r="AG93" t="e">
            <v>#N/A</v>
          </cell>
          <cell r="AH93">
            <v>16.7</v>
          </cell>
        </row>
        <row r="94">
          <cell r="B94" t="str">
            <v>South Africa</v>
          </cell>
          <cell r="C94" t="str">
            <v>Southern Africa</v>
          </cell>
          <cell r="D94">
            <v>60414495</v>
          </cell>
          <cell r="E94" t="str">
            <v>8.27 × 10−4</v>
          </cell>
          <cell r="F94" t="str">
            <v>4.09 × 10−4</v>
          </cell>
          <cell r="G94" t="str">
            <v>1.06 × 10−4</v>
          </cell>
          <cell r="H94" t="str">
            <v>1.12 × 10−3</v>
          </cell>
          <cell r="I94" t="str">
            <v>9.37 × 10−5</v>
          </cell>
          <cell r="J94" t="str">
            <v>4.93 × 10−5</v>
          </cell>
          <cell r="K94" t="str">
            <v>1.68 × 10−5</v>
          </cell>
          <cell r="L94" t="str">
            <v>3.51 × 10−4</v>
          </cell>
          <cell r="M94" t="str">
            <v>1.06</v>
          </cell>
          <cell r="N94" t="str">
            <v>4</v>
          </cell>
          <cell r="O94">
            <v>1.06</v>
          </cell>
          <cell r="P94">
            <v>-4</v>
          </cell>
          <cell r="Q94">
            <v>1.0600000000000002E-4</v>
          </cell>
          <cell r="R94" t="str">
            <v>1.12</v>
          </cell>
          <cell r="S94" t="str">
            <v>3</v>
          </cell>
          <cell r="T94">
            <v>1.1200000000000001</v>
          </cell>
          <cell r="U94">
            <v>-3</v>
          </cell>
          <cell r="V94">
            <v>1.1200000000000001E-3</v>
          </cell>
          <cell r="W94">
            <v>8.5799363899204645E-2</v>
          </cell>
          <cell r="X94">
            <v>4.5940728521549852E-2</v>
          </cell>
          <cell r="Y94">
            <v>0.14400216349852599</v>
          </cell>
          <cell r="Z94">
            <v>52.987350558269199</v>
          </cell>
          <cell r="AA94">
            <v>28.371742824729779</v>
          </cell>
          <cell r="AB94">
            <v>88.931814545962254</v>
          </cell>
          <cell r="AC94" t="e">
            <v>#N/A</v>
          </cell>
          <cell r="AD94" t="e">
            <v>#N/A</v>
          </cell>
          <cell r="AE94" t="e">
            <v>#N/A</v>
          </cell>
          <cell r="AF94" t="e">
            <v>#N/A</v>
          </cell>
          <cell r="AG94" t="e">
            <v>#N/A</v>
          </cell>
          <cell r="AH94">
            <v>44.6</v>
          </cell>
        </row>
        <row r="95">
          <cell r="B95" t="str">
            <v>Sri Lanka</v>
          </cell>
          <cell r="C95" t="str">
            <v>South East Asia</v>
          </cell>
          <cell r="D95">
            <v>21893579</v>
          </cell>
          <cell r="E95" t="str">
            <v>1.53 × 10−3</v>
          </cell>
          <cell r="F95" t="str">
            <v>7.58 × 10−4</v>
          </cell>
          <cell r="G95" t="str">
            <v>1.93 × 10−4</v>
          </cell>
          <cell r="H95" t="str">
            <v>2.03 × 10−3</v>
          </cell>
          <cell r="I95" t="str">
            <v>1.47 × 10−4</v>
          </cell>
          <cell r="J95" t="str">
            <v>7.66 × 10−5</v>
          </cell>
          <cell r="K95" t="str">
            <v>2.70 × 10−5</v>
          </cell>
          <cell r="L95" t="str">
            <v>5.59 × 10−4</v>
          </cell>
          <cell r="M95" t="str">
            <v>1.93</v>
          </cell>
          <cell r="N95" t="str">
            <v>4</v>
          </cell>
          <cell r="O95">
            <v>1.93</v>
          </cell>
          <cell r="P95">
            <v>-4</v>
          </cell>
          <cell r="Q95">
            <v>1.93E-4</v>
          </cell>
          <cell r="R95" t="str">
            <v>2.03</v>
          </cell>
          <cell r="S95" t="str">
            <v>3</v>
          </cell>
          <cell r="T95">
            <v>2.0299999999999998</v>
          </cell>
          <cell r="U95">
            <v>-3</v>
          </cell>
          <cell r="V95">
            <v>2.0299999999999997E-3</v>
          </cell>
          <cell r="W95">
            <v>3.9804970271132077E-2</v>
          </cell>
          <cell r="X95">
            <v>2.1985597165821848E-2</v>
          </cell>
          <cell r="Y95">
            <v>8.0245340141764016E-2</v>
          </cell>
          <cell r="Z95">
            <v>8.8930461345235567</v>
          </cell>
          <cell r="AA95">
            <v>4.9119225202009771</v>
          </cell>
          <cell r="AB95">
            <v>17.92805036909645</v>
          </cell>
          <cell r="AC95">
            <v>140</v>
          </cell>
          <cell r="AD95">
            <v>203</v>
          </cell>
          <cell r="AE95">
            <v>273</v>
          </cell>
          <cell r="AF95" t="e">
            <v>#N/A</v>
          </cell>
          <cell r="AG95" t="e">
            <v>#N/A</v>
          </cell>
          <cell r="AH95">
            <v>60.5</v>
          </cell>
        </row>
        <row r="96">
          <cell r="B96" t="str">
            <v>Sudan</v>
          </cell>
          <cell r="C96" t="str">
            <v>Northern Africa</v>
          </cell>
          <cell r="D96">
            <v>48109006</v>
          </cell>
          <cell r="E96" t="str">
            <v>5.71 × 10−3</v>
          </cell>
          <cell r="F96" t="str">
            <v>2.81 × 10−3</v>
          </cell>
          <cell r="G96" t="str">
            <v>6.96 × 10−4</v>
          </cell>
          <cell r="H96" t="str">
            <v>7.50 × 10−3</v>
          </cell>
          <cell r="I96" t="str">
            <v>3.90 × 10−4</v>
          </cell>
          <cell r="J96" t="str">
            <v>2.05 × 10−4</v>
          </cell>
          <cell r="K96" t="str">
            <v>7.04 × 10−5</v>
          </cell>
          <cell r="L96" t="str">
            <v>1.40 × 10−3</v>
          </cell>
          <cell r="M96" t="str">
            <v>6.96</v>
          </cell>
          <cell r="N96" t="str">
            <v>4</v>
          </cell>
          <cell r="O96">
            <v>6.96</v>
          </cell>
          <cell r="P96">
            <v>-4</v>
          </cell>
          <cell r="Q96">
            <v>6.96E-4</v>
          </cell>
          <cell r="R96" t="str">
            <v>7.50</v>
          </cell>
          <cell r="S96" t="str">
            <v>3</v>
          </cell>
          <cell r="T96">
            <v>7.5</v>
          </cell>
          <cell r="U96">
            <v>-3</v>
          </cell>
          <cell r="V96">
            <v>7.4999999999999997E-3</v>
          </cell>
          <cell r="W96">
            <v>1.2582488285109861</v>
          </cell>
          <cell r="X96">
            <v>0.91857133210070341</v>
          </cell>
          <cell r="Y96">
            <v>1.512408832770604</v>
          </cell>
          <cell r="Z96">
            <v>592.1055227224582</v>
          </cell>
          <cell r="AA96">
            <v>432.26041338341111</v>
          </cell>
          <cell r="AB96">
            <v>711.70789291132826</v>
          </cell>
          <cell r="AC96" t="e">
            <v>#N/A</v>
          </cell>
          <cell r="AD96" t="e">
            <v>#N/A</v>
          </cell>
          <cell r="AE96" t="e">
            <v>#N/A</v>
          </cell>
          <cell r="AF96" t="e">
            <v>#N/A</v>
          </cell>
          <cell r="AG96" t="e">
            <v>#N/A</v>
          </cell>
          <cell r="AH96">
            <v>43.9</v>
          </cell>
        </row>
        <row r="97">
          <cell r="B97" t="str">
            <v>Syria</v>
          </cell>
          <cell r="C97" t="str">
            <v>Middle East</v>
          </cell>
          <cell r="D97">
            <v>23227014</v>
          </cell>
          <cell r="E97" t="str">
            <v>3.85 × 10−3</v>
          </cell>
          <cell r="F97" t="str">
            <v>1.87 × 10−3</v>
          </cell>
          <cell r="G97" t="str">
            <v>4.77 × 10−4</v>
          </cell>
          <cell r="H97" t="str">
            <v>5.33 × 10−3</v>
          </cell>
          <cell r="I97" t="str">
            <v>2.92 × 10−4</v>
          </cell>
          <cell r="J97" t="str">
            <v>1.51 × 10−4</v>
          </cell>
          <cell r="K97" t="str">
            <v>5.26 × 10−5</v>
          </cell>
          <cell r="L97" t="str">
            <v>1.08 × 10−3</v>
          </cell>
          <cell r="M97" t="str">
            <v>4.77</v>
          </cell>
          <cell r="N97" t="str">
            <v>4</v>
          </cell>
          <cell r="O97">
            <v>4.7699999999999996</v>
          </cell>
          <cell r="P97">
            <v>-4</v>
          </cell>
          <cell r="Q97">
            <v>4.7699999999999999E-4</v>
          </cell>
          <cell r="R97" t="str">
            <v>5.33</v>
          </cell>
          <cell r="S97" t="str">
            <v>3</v>
          </cell>
          <cell r="T97">
            <v>5.33</v>
          </cell>
          <cell r="U97">
            <v>-3</v>
          </cell>
          <cell r="V97">
            <v>5.3300000000000005E-3</v>
          </cell>
          <cell r="W97">
            <v>0.28819012285414791</v>
          </cell>
          <cell r="X97">
            <v>0.2034434730161582</v>
          </cell>
          <cell r="Y97">
            <v>0.53467353609946178</v>
          </cell>
          <cell r="Z97">
            <v>51.120023579458213</v>
          </cell>
          <cell r="AA97">
            <v>36.087410056507387</v>
          </cell>
          <cell r="AB97">
            <v>94.841986609477573</v>
          </cell>
          <cell r="AC97" t="e">
            <v>#N/A</v>
          </cell>
          <cell r="AD97" t="e">
            <v>#N/A</v>
          </cell>
          <cell r="AE97" t="e">
            <v>#N/A</v>
          </cell>
          <cell r="AF97" t="e">
            <v>#N/A</v>
          </cell>
          <cell r="AG97" t="e">
            <v>#N/A</v>
          </cell>
          <cell r="AH97">
            <v>60.2</v>
          </cell>
        </row>
        <row r="98">
          <cell r="B98" t="str">
            <v>Tajikistan</v>
          </cell>
          <cell r="C98" t="str">
            <v>Eurasia</v>
          </cell>
          <cell r="D98">
            <v>10143543</v>
          </cell>
          <cell r="E98" t="str">
            <v>4.20 × 10−3</v>
          </cell>
          <cell r="F98" t="str">
            <v>2.10 × 10−3</v>
          </cell>
          <cell r="G98" t="str">
            <v>5.43 × 10−4</v>
          </cell>
          <cell r="H98" t="str">
            <v>5.70 × 10−3</v>
          </cell>
          <cell r="I98" t="str">
            <v>3.11 × 10−4</v>
          </cell>
          <cell r="J98" t="str">
            <v>1.65 × 10−4</v>
          </cell>
          <cell r="K98" t="str">
            <v>5.78 × 10−5</v>
          </cell>
          <cell r="L98" t="str">
            <v>1.17 × 10−3</v>
          </cell>
          <cell r="M98" t="str">
            <v>5.43</v>
          </cell>
          <cell r="N98" t="str">
            <v>4</v>
          </cell>
          <cell r="O98">
            <v>5.43</v>
          </cell>
          <cell r="P98">
            <v>-4</v>
          </cell>
          <cell r="Q98">
            <v>5.4299999999999997E-4</v>
          </cell>
          <cell r="R98" t="str">
            <v>5.70</v>
          </cell>
          <cell r="S98" t="str">
            <v>3</v>
          </cell>
          <cell r="T98">
            <v>5.7</v>
          </cell>
          <cell r="U98">
            <v>-3</v>
          </cell>
          <cell r="V98">
            <v>5.7000000000000002E-3</v>
          </cell>
          <cell r="W98">
            <v>9.0760124433818923E-2</v>
          </cell>
          <cell r="X98">
            <v>5.8653665912808087E-2</v>
          </cell>
          <cell r="Y98">
            <v>0.16120367319792919</v>
          </cell>
          <cell r="Z98">
            <v>9.298178297301158</v>
          </cell>
          <cell r="AA98">
            <v>6.008941116484511</v>
          </cell>
          <cell r="AB98">
            <v>16.514967392615159</v>
          </cell>
          <cell r="AC98">
            <v>84</v>
          </cell>
          <cell r="AD98">
            <v>120</v>
          </cell>
          <cell r="AE98">
            <v>164</v>
          </cell>
          <cell r="AF98" t="e">
            <v>#N/A</v>
          </cell>
          <cell r="AG98" t="e">
            <v>#N/A</v>
          </cell>
          <cell r="AH98">
            <v>42.5</v>
          </cell>
        </row>
        <row r="99">
          <cell r="B99" t="str">
            <v>Tanzania</v>
          </cell>
          <cell r="C99" t="str">
            <v>Southern Africa</v>
          </cell>
          <cell r="D99">
            <v>67438106</v>
          </cell>
          <cell r="E99" t="str">
            <v>5.67 × 10−3</v>
          </cell>
          <cell r="F99" t="str">
            <v>2.69 × 10−3</v>
          </cell>
          <cell r="G99" t="str">
            <v>6.79 × 10−4</v>
          </cell>
          <cell r="H99" t="str">
            <v>7.11 × 10−3</v>
          </cell>
          <cell r="I99" t="str">
            <v>3.89 × 10−4</v>
          </cell>
          <cell r="J99" t="str">
            <v>1.98 × 10−4</v>
          </cell>
          <cell r="K99" t="str">
            <v>6.94 × 10−5</v>
          </cell>
          <cell r="L99" t="str">
            <v>1.33 × 10−3</v>
          </cell>
          <cell r="M99" t="str">
            <v>6.79</v>
          </cell>
          <cell r="N99" t="str">
            <v>4</v>
          </cell>
          <cell r="O99">
            <v>6.79</v>
          </cell>
          <cell r="P99">
            <v>-4</v>
          </cell>
          <cell r="Q99">
            <v>6.7900000000000002E-4</v>
          </cell>
          <cell r="R99" t="str">
            <v>7.11</v>
          </cell>
          <cell r="S99" t="str">
            <v>3</v>
          </cell>
          <cell r="T99">
            <v>7.11</v>
          </cell>
          <cell r="U99">
            <v>-3</v>
          </cell>
          <cell r="V99">
            <v>7.1100000000000009E-3</v>
          </cell>
          <cell r="W99">
            <v>1.1260026516754831</v>
          </cell>
          <cell r="X99">
            <v>0.82125535407639183</v>
          </cell>
          <cell r="Y99">
            <v>1.358972518199933</v>
          </cell>
          <cell r="Z99">
            <v>733.73982377372329</v>
          </cell>
          <cell r="AA99">
            <v>535.15660720389303</v>
          </cell>
          <cell r="AB99">
            <v>885.55053980878904</v>
          </cell>
          <cell r="AC99">
            <v>366</v>
          </cell>
          <cell r="AD99">
            <v>550</v>
          </cell>
          <cell r="AE99">
            <v>755</v>
          </cell>
          <cell r="AF99">
            <v>0.65</v>
          </cell>
          <cell r="AG99">
            <v>1.34</v>
          </cell>
          <cell r="AH99">
            <v>32.5</v>
          </cell>
        </row>
        <row r="100">
          <cell r="B100" t="str">
            <v>Thailand</v>
          </cell>
          <cell r="C100" t="str">
            <v>South East Asia</v>
          </cell>
          <cell r="D100">
            <v>71801279</v>
          </cell>
          <cell r="E100" t="str">
            <v>1.52 × 10−3</v>
          </cell>
          <cell r="F100" t="str">
            <v>7.47 × 10−4</v>
          </cell>
          <cell r="G100" t="str">
            <v>1.87 × 10−4</v>
          </cell>
          <cell r="H100" t="str">
            <v>2.04 × 10−3</v>
          </cell>
          <cell r="I100" t="str">
            <v>1.47 × 10−4</v>
          </cell>
          <cell r="J100" t="str">
            <v>7.73 × 10−5</v>
          </cell>
          <cell r="K100" t="str">
            <v>2.65 × 10−5</v>
          </cell>
          <cell r="L100" t="str">
            <v>5.49 × 10−4</v>
          </cell>
          <cell r="M100" t="str">
            <v>1.87</v>
          </cell>
          <cell r="N100" t="str">
            <v>4</v>
          </cell>
          <cell r="O100">
            <v>1.87</v>
          </cell>
          <cell r="P100">
            <v>-4</v>
          </cell>
          <cell r="Q100">
            <v>1.8700000000000002E-4</v>
          </cell>
          <cell r="R100" t="str">
            <v>2.04</v>
          </cell>
          <cell r="S100" t="str">
            <v>3</v>
          </cell>
          <cell r="T100">
            <v>2.04</v>
          </cell>
          <cell r="U100">
            <v>-3</v>
          </cell>
          <cell r="V100">
            <v>2.0400000000000001E-3</v>
          </cell>
          <cell r="W100">
            <v>4.7587066295027507E-2</v>
          </cell>
          <cell r="X100">
            <v>2.7246006305744148E-2</v>
          </cell>
          <cell r="Y100">
            <v>9.2355669203008098E-2</v>
          </cell>
          <cell r="Z100">
            <v>33.510000126761547</v>
          </cell>
          <cell r="AA100">
            <v>19.186172753301989</v>
          </cell>
          <cell r="AB100">
            <v>65.035286426625902</v>
          </cell>
          <cell r="AC100">
            <v>25</v>
          </cell>
          <cell r="AD100">
            <v>62</v>
          </cell>
          <cell r="AE100">
            <v>176</v>
          </cell>
          <cell r="AF100">
            <v>0.01</v>
          </cell>
          <cell r="AG100">
            <v>0.1</v>
          </cell>
          <cell r="AH100">
            <v>62.5</v>
          </cell>
        </row>
        <row r="101">
          <cell r="B101" t="str">
            <v>Togo</v>
          </cell>
          <cell r="C101" t="str">
            <v>Western Africa</v>
          </cell>
          <cell r="D101">
            <v>9053799</v>
          </cell>
          <cell r="E101" t="str">
            <v>4.85 × 10−3</v>
          </cell>
          <cell r="F101" t="str">
            <v>2.43 × 10−3</v>
          </cell>
          <cell r="G101" t="str">
            <v>6.07 × 10−4</v>
          </cell>
          <cell r="H101" t="str">
            <v>6.42 × 10−3</v>
          </cell>
          <cell r="I101" t="str">
            <v>3.46 × 10−4</v>
          </cell>
          <cell r="J101" t="str">
            <v>1.84 × 10−4</v>
          </cell>
          <cell r="K101" t="str">
            <v>6.25 × 10−5</v>
          </cell>
          <cell r="L101" t="str">
            <v>1.25 × 10−3</v>
          </cell>
          <cell r="M101" t="str">
            <v>6.07</v>
          </cell>
          <cell r="N101" t="str">
            <v>4</v>
          </cell>
          <cell r="O101">
            <v>6.07</v>
          </cell>
          <cell r="P101">
            <v>-4</v>
          </cell>
          <cell r="Q101">
            <v>6.0700000000000001E-4</v>
          </cell>
          <cell r="R101" t="str">
            <v>6.42</v>
          </cell>
          <cell r="S101" t="str">
            <v>3</v>
          </cell>
          <cell r="T101">
            <v>6.42</v>
          </cell>
          <cell r="U101">
            <v>-3</v>
          </cell>
          <cell r="V101">
            <v>6.4200000000000004E-3</v>
          </cell>
          <cell r="W101">
            <v>1.2014096719831371</v>
          </cell>
          <cell r="X101">
            <v>0.87695695741855717</v>
          </cell>
          <cell r="Y101">
            <v>1.4464515251712691</v>
          </cell>
          <cell r="Z101">
            <v>106.84997097536051</v>
          </cell>
          <cell r="AA101">
            <v>77.994066164075704</v>
          </cell>
          <cell r="AB101">
            <v>128.6432988563333</v>
          </cell>
          <cell r="AC101">
            <v>148</v>
          </cell>
          <cell r="AD101">
            <v>210</v>
          </cell>
          <cell r="AE101">
            <v>280</v>
          </cell>
          <cell r="AF101">
            <v>1.88</v>
          </cell>
          <cell r="AG101">
            <v>3.57</v>
          </cell>
          <cell r="AH101">
            <v>33.5</v>
          </cell>
        </row>
        <row r="102">
          <cell r="B102" t="str">
            <v>Tunisia</v>
          </cell>
          <cell r="C102" t="str">
            <v>Northern Africa</v>
          </cell>
          <cell r="D102">
            <v>12458223</v>
          </cell>
          <cell r="E102" t="str">
            <v>1.58 × 10−3</v>
          </cell>
          <cell r="F102" t="str">
            <v>7.76 × 10−4</v>
          </cell>
          <cell r="G102" t="str">
            <v>2.06 × 10−4</v>
          </cell>
          <cell r="H102" t="str">
            <v>2.13 × 10−3</v>
          </cell>
          <cell r="I102" t="str">
            <v>1.51 × 10−4</v>
          </cell>
          <cell r="J102" t="str">
            <v>7.82 × 10−5</v>
          </cell>
          <cell r="K102" t="str">
            <v>2.83 × 10−5</v>
          </cell>
          <cell r="L102" t="str">
            <v>5.33 × 10−4</v>
          </cell>
          <cell r="M102" t="str">
            <v>2.06</v>
          </cell>
          <cell r="N102" t="str">
            <v>4</v>
          </cell>
          <cell r="O102">
            <v>2.06</v>
          </cell>
          <cell r="P102">
            <v>-4</v>
          </cell>
          <cell r="Q102">
            <v>2.0600000000000002E-4</v>
          </cell>
          <cell r="R102" t="str">
            <v>2.13</v>
          </cell>
          <cell r="S102" t="str">
            <v>3</v>
          </cell>
          <cell r="T102">
            <v>2.13</v>
          </cell>
          <cell r="U102">
            <v>-3</v>
          </cell>
          <cell r="V102">
            <v>2.1299999999999999E-3</v>
          </cell>
          <cell r="W102">
            <v>4.8204296683805777E-2</v>
          </cell>
          <cell r="X102">
            <v>2.4944316490680119E-2</v>
          </cell>
          <cell r="Y102">
            <v>9.5653284074370293E-2</v>
          </cell>
          <cell r="Z102">
            <v>5.8927034478817264</v>
          </cell>
          <cell r="AA102">
            <v>3.0493020311831418</v>
          </cell>
          <cell r="AB102">
            <v>11.69307459381753</v>
          </cell>
          <cell r="AC102">
            <v>3</v>
          </cell>
          <cell r="AD102">
            <v>5</v>
          </cell>
          <cell r="AE102">
            <v>10</v>
          </cell>
          <cell r="AF102">
            <v>0.03</v>
          </cell>
          <cell r="AG102">
            <v>0.08</v>
          </cell>
          <cell r="AH102">
            <v>63.9</v>
          </cell>
        </row>
        <row r="103">
          <cell r="B103" t="str">
            <v>Turkey</v>
          </cell>
          <cell r="C103" t="str">
            <v>Eurasia</v>
          </cell>
          <cell r="D103">
            <v>85816199</v>
          </cell>
          <cell r="E103" t="str">
            <v>3.62 × 10−3</v>
          </cell>
          <cell r="F103" t="str">
            <v>1.78 × 10−3</v>
          </cell>
          <cell r="G103" t="str">
            <v>4.38 × 10−4</v>
          </cell>
          <cell r="H103" t="str">
            <v>4.69 × 10−3</v>
          </cell>
          <cell r="I103" t="str">
            <v>2.79 × 10−4</v>
          </cell>
          <cell r="J103" t="str">
            <v>1.44 × 10−4</v>
          </cell>
          <cell r="K103" t="str">
            <v>4.94 × 10−5</v>
          </cell>
          <cell r="L103" t="str">
            <v>1.02 × 10−3</v>
          </cell>
          <cell r="M103" t="str">
            <v>4.38</v>
          </cell>
          <cell r="N103" t="str">
            <v>4</v>
          </cell>
          <cell r="O103">
            <v>4.38</v>
          </cell>
          <cell r="P103">
            <v>-4</v>
          </cell>
          <cell r="Q103">
            <v>4.3800000000000002E-4</v>
          </cell>
          <cell r="R103" t="str">
            <v>4.69</v>
          </cell>
          <cell r="S103" t="str">
            <v>3</v>
          </cell>
          <cell r="T103">
            <v>4.6900000000000004</v>
          </cell>
          <cell r="U103">
            <v>-3</v>
          </cell>
          <cell r="V103">
            <v>4.6900000000000006E-3</v>
          </cell>
          <cell r="W103">
            <v>5.6309473482623683E-2</v>
          </cell>
          <cell r="X103">
            <v>3.3338195102587717E-2</v>
          </cell>
          <cell r="Y103">
            <v>0.1059923446910319</v>
          </cell>
          <cell r="Z103">
            <v>49.546459568164543</v>
          </cell>
          <cell r="AA103">
            <v>29.33413213738649</v>
          </cell>
          <cell r="AB103">
            <v>93.262200762536438</v>
          </cell>
          <cell r="AC103" t="e">
            <v>#N/A</v>
          </cell>
          <cell r="AD103" t="e">
            <v>#N/A</v>
          </cell>
          <cell r="AE103" t="e">
            <v>#N/A</v>
          </cell>
          <cell r="AF103" t="e">
            <v>#N/A</v>
          </cell>
          <cell r="AG103" t="e">
            <v>#N/A</v>
          </cell>
          <cell r="AH103">
            <v>64.8</v>
          </cell>
        </row>
        <row r="104">
          <cell r="B104" t="str">
            <v>Turkmenistan</v>
          </cell>
          <cell r="C104" t="str">
            <v>Eurasia</v>
          </cell>
          <cell r="D104">
            <v>6516100</v>
          </cell>
          <cell r="E104" t="str">
            <v>3.62 × 10−3</v>
          </cell>
          <cell r="F104" t="str">
            <v>1.76 × 10−3</v>
          </cell>
          <cell r="G104" t="str">
            <v>4.57 × 10−4</v>
          </cell>
          <cell r="H104" t="str">
            <v>4.90 × 10−3</v>
          </cell>
          <cell r="I104" t="str">
            <v>2.79 × 10−4</v>
          </cell>
          <cell r="J104" t="str">
            <v>1.46 × 10−4</v>
          </cell>
          <cell r="K104" t="str">
            <v>5.10 × 10−5</v>
          </cell>
          <cell r="L104" t="str">
            <v>1.02 × 10−3</v>
          </cell>
          <cell r="M104" t="str">
            <v>4.57</v>
          </cell>
          <cell r="N104" t="str">
            <v>4</v>
          </cell>
          <cell r="O104">
            <v>4.57</v>
          </cell>
          <cell r="P104">
            <v>-4</v>
          </cell>
          <cell r="Q104">
            <v>4.5700000000000005E-4</v>
          </cell>
          <cell r="R104" t="str">
            <v>4.90</v>
          </cell>
          <cell r="S104" t="str">
            <v>3</v>
          </cell>
          <cell r="T104">
            <v>4.9000000000000004</v>
          </cell>
          <cell r="U104">
            <v>-3</v>
          </cell>
          <cell r="V104">
            <v>4.9000000000000007E-3</v>
          </cell>
          <cell r="W104">
            <v>8.8518876530627247E-2</v>
          </cell>
          <cell r="X104">
            <v>5.696784659002177E-2</v>
          </cell>
          <cell r="Y104">
            <v>0.15753188881602351</v>
          </cell>
          <cell r="Z104">
            <v>5.5928476233948619</v>
          </cell>
          <cell r="AA104">
            <v>3.5993733528767451</v>
          </cell>
          <cell r="AB104">
            <v>9.9532651622477317</v>
          </cell>
          <cell r="AC104" t="e">
            <v>#N/A</v>
          </cell>
          <cell r="AD104" t="e">
            <v>#N/A</v>
          </cell>
          <cell r="AE104" t="e">
            <v>#N/A</v>
          </cell>
          <cell r="AF104" t="e">
            <v>#N/A</v>
          </cell>
          <cell r="AG104" t="e">
            <v>#N/A</v>
          </cell>
          <cell r="AH104">
            <v>48.7</v>
          </cell>
        </row>
        <row r="105">
          <cell r="B105" t="str">
            <v>Uganda</v>
          </cell>
          <cell r="C105" t="str">
            <v>Southern Africa</v>
          </cell>
          <cell r="D105">
            <v>48582334</v>
          </cell>
          <cell r="E105" t="str">
            <v>4.67 × 10−3</v>
          </cell>
          <cell r="F105" t="str">
            <v>2.31 × 10−3</v>
          </cell>
          <cell r="G105" t="str">
            <v>6.05 × 10−4</v>
          </cell>
          <cell r="H105" t="str">
            <v>6.23 × 10−3</v>
          </cell>
          <cell r="I105" t="str">
            <v>3.36 × 10−4</v>
          </cell>
          <cell r="J105" t="str">
            <v>1.77 × 10−4</v>
          </cell>
          <cell r="K105" t="str">
            <v>6.28 × 10−5</v>
          </cell>
          <cell r="L105" t="str">
            <v>1.22 × 10−3</v>
          </cell>
          <cell r="M105" t="str">
            <v>6.05</v>
          </cell>
          <cell r="N105" t="str">
            <v>4</v>
          </cell>
          <cell r="O105">
            <v>6.05</v>
          </cell>
          <cell r="P105">
            <v>-4</v>
          </cell>
          <cell r="Q105">
            <v>6.0499999999999996E-4</v>
          </cell>
          <cell r="R105" t="str">
            <v>6.23</v>
          </cell>
          <cell r="S105" t="str">
            <v>3</v>
          </cell>
          <cell r="T105">
            <v>6.23</v>
          </cell>
          <cell r="U105">
            <v>-3</v>
          </cell>
          <cell r="V105">
            <v>6.2300000000000003E-3</v>
          </cell>
          <cell r="W105">
            <v>1.4221562003736541</v>
          </cell>
          <cell r="X105">
            <v>1.036784068907268</v>
          </cell>
          <cell r="Y105">
            <v>1.702740796389596</v>
          </cell>
          <cell r="Z105">
            <v>724.01831565436828</v>
          </cell>
          <cell r="AA105">
            <v>527.82574450703714</v>
          </cell>
          <cell r="AB105">
            <v>866.86365609773827</v>
          </cell>
          <cell r="AC105">
            <v>430</v>
          </cell>
          <cell r="AD105">
            <v>642</v>
          </cell>
          <cell r="AE105">
            <v>862</v>
          </cell>
          <cell r="AF105" t="e">
            <v>#N/A</v>
          </cell>
          <cell r="AG105" t="e">
            <v>#N/A</v>
          </cell>
          <cell r="AH105">
            <v>32.4</v>
          </cell>
        </row>
        <row r="106">
          <cell r="B106" t="str">
            <v>United Arab Emirates</v>
          </cell>
          <cell r="C106" t="str">
            <v>Middle East</v>
          </cell>
          <cell r="D106">
            <v>9516871</v>
          </cell>
          <cell r="E106" t="str">
            <v>3.85 × 10−3</v>
          </cell>
          <cell r="F106" t="str">
            <v>1.93 × 10−3</v>
          </cell>
          <cell r="G106" t="str">
            <v>5.12 × 10−4</v>
          </cell>
          <cell r="H106" t="str">
            <v>5.16 × 10−3</v>
          </cell>
          <cell r="I106" t="str">
            <v>2.92 × 10−4</v>
          </cell>
          <cell r="J106" t="str">
            <v>1.54 × 10−4</v>
          </cell>
          <cell r="K106" t="str">
            <v>5.50 × 10−5</v>
          </cell>
          <cell r="L106" t="str">
            <v>1.09 × 10−3</v>
          </cell>
          <cell r="M106" t="str">
            <v>5.12</v>
          </cell>
          <cell r="N106" t="str">
            <v>4</v>
          </cell>
          <cell r="O106">
            <v>5.12</v>
          </cell>
          <cell r="P106">
            <v>-4</v>
          </cell>
          <cell r="Q106">
            <v>5.1200000000000009E-4</v>
          </cell>
          <cell r="R106" t="str">
            <v>5.16</v>
          </cell>
          <cell r="S106" t="str">
            <v>3</v>
          </cell>
          <cell r="T106">
            <v>5.16</v>
          </cell>
          <cell r="U106">
            <v>-3</v>
          </cell>
          <cell r="V106">
            <v>5.1600000000000005E-3</v>
          </cell>
          <cell r="W106" t="e">
            <v>#N/A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  <cell r="AB106" t="e">
            <v>#N/A</v>
          </cell>
          <cell r="AC106" t="e">
            <v>#N/A</v>
          </cell>
          <cell r="AD106" t="e">
            <v>#N/A</v>
          </cell>
          <cell r="AE106" t="e">
            <v>#N/A</v>
          </cell>
          <cell r="AF106" t="e">
            <v>#N/A</v>
          </cell>
          <cell r="AG106" t="e">
            <v>#N/A</v>
          </cell>
          <cell r="AH106">
            <v>58.8</v>
          </cell>
        </row>
        <row r="107">
          <cell r="B107" t="str">
            <v>Uzbekistan</v>
          </cell>
          <cell r="C107" t="str">
            <v>Eurasia</v>
          </cell>
          <cell r="D107">
            <v>35163944</v>
          </cell>
          <cell r="E107" t="str">
            <v>2.10 × 10−3</v>
          </cell>
          <cell r="F107" t="str">
            <v>1.05 × 10−3</v>
          </cell>
          <cell r="G107" t="str">
            <v>2.58 × 10−4</v>
          </cell>
          <cell r="H107" t="str">
            <v>2.87 × 10−3</v>
          </cell>
          <cell r="I107" t="str">
            <v>1.86 × 10−4</v>
          </cell>
          <cell r="J107" t="str">
            <v>9.93 × 10−5</v>
          </cell>
          <cell r="K107" t="str">
            <v>3.38 × 10−5</v>
          </cell>
          <cell r="L107" t="str">
            <v>7.26 × 10−4</v>
          </cell>
          <cell r="M107" t="str">
            <v>2.58</v>
          </cell>
          <cell r="N107" t="str">
            <v>4</v>
          </cell>
          <cell r="O107">
            <v>2.58</v>
          </cell>
          <cell r="P107">
            <v>-4</v>
          </cell>
          <cell r="Q107">
            <v>2.5800000000000004E-4</v>
          </cell>
          <cell r="R107" t="str">
            <v>2.87</v>
          </cell>
          <cell r="S107" t="str">
            <v>3</v>
          </cell>
          <cell r="T107">
            <v>2.87</v>
          </cell>
          <cell r="U107">
            <v>-3</v>
          </cell>
          <cell r="V107">
            <v>2.8700000000000002E-3</v>
          </cell>
          <cell r="W107">
            <v>4.4486316304515341E-2</v>
          </cell>
          <cell r="X107">
            <v>2.5127862027476969E-2</v>
          </cell>
          <cell r="Y107">
            <v>8.7526793075005896E-2</v>
          </cell>
          <cell r="Z107">
            <v>16.09260433253711</v>
          </cell>
          <cell r="AA107">
            <v>9.0898230045117714</v>
          </cell>
          <cell r="AB107">
            <v>31.662186633082801</v>
          </cell>
          <cell r="AC107" t="e">
            <v>#N/A</v>
          </cell>
          <cell r="AD107" t="e">
            <v>#N/A</v>
          </cell>
          <cell r="AE107" t="e">
            <v>#N/A</v>
          </cell>
          <cell r="AF107" t="e">
            <v>#N/A</v>
          </cell>
          <cell r="AG107" t="e">
            <v>#N/A</v>
          </cell>
          <cell r="AH107">
            <v>49</v>
          </cell>
        </row>
        <row r="108">
          <cell r="B108" t="str">
            <v>Venezuela</v>
          </cell>
          <cell r="C108" t="str">
            <v>Andean Region</v>
          </cell>
          <cell r="D108">
            <v>28838499</v>
          </cell>
          <cell r="E108" t="str">
            <v>3.66 × 10−3</v>
          </cell>
          <cell r="F108" t="str">
            <v>1.40 × 10−3</v>
          </cell>
          <cell r="G108" t="str">
            <v>3.57 × 10−4</v>
          </cell>
          <cell r="H108" t="str">
            <v>3.89 × 10−3</v>
          </cell>
          <cell r="I108" t="str">
            <v>2.81 × 10−4</v>
          </cell>
          <cell r="J108" t="str">
            <v>1.20 × 10−4</v>
          </cell>
          <cell r="K108" t="str">
            <v>4.28 × 10−5</v>
          </cell>
          <cell r="L108" t="str">
            <v>9.15 × 10−4</v>
          </cell>
          <cell r="M108" t="str">
            <v>3.57</v>
          </cell>
          <cell r="N108" t="str">
            <v>4</v>
          </cell>
          <cell r="O108">
            <v>3.57</v>
          </cell>
          <cell r="P108">
            <v>-4</v>
          </cell>
          <cell r="Q108">
            <v>3.57E-4</v>
          </cell>
          <cell r="R108" t="str">
            <v>3.89</v>
          </cell>
          <cell r="S108" t="str">
            <v>3</v>
          </cell>
          <cell r="T108">
            <v>3.89</v>
          </cell>
          <cell r="U108">
            <v>-3</v>
          </cell>
          <cell r="V108">
            <v>3.8900000000000002E-3</v>
          </cell>
          <cell r="W108">
            <v>1.700371008096584E-2</v>
          </cell>
          <cell r="X108">
            <v>8.9663949958335447E-4</v>
          </cell>
          <cell r="Y108">
            <v>0.42562940399340982</v>
          </cell>
          <cell r="Z108">
            <v>4.613613846023739</v>
          </cell>
          <cell r="AA108">
            <v>0.24328504723215</v>
          </cell>
          <cell r="AB108">
            <v>115.48595584072</v>
          </cell>
          <cell r="AC108" t="e">
            <v>#N/A</v>
          </cell>
          <cell r="AD108" t="e">
            <v>#N/A</v>
          </cell>
          <cell r="AE108" t="e">
            <v>#N/A</v>
          </cell>
          <cell r="AF108" t="e">
            <v>#N/A</v>
          </cell>
          <cell r="AG108" t="e">
            <v>#N/A</v>
          </cell>
          <cell r="AH108">
            <v>54.1</v>
          </cell>
        </row>
        <row r="109">
          <cell r="B109" t="str">
            <v>Vietnam</v>
          </cell>
          <cell r="C109" t="str">
            <v>Western Pacific</v>
          </cell>
          <cell r="D109">
            <v>98858950</v>
          </cell>
          <cell r="E109" t="str">
            <v>3.27 × 10−3</v>
          </cell>
          <cell r="F109" t="str">
            <v>1.50 × 10−3</v>
          </cell>
          <cell r="G109" t="str">
            <v>3.89 × 10−4</v>
          </cell>
          <cell r="H109" t="str">
            <v>4.21 × 10−3</v>
          </cell>
          <cell r="I109" t="str">
            <v>2.59 × 10−4</v>
          </cell>
          <cell r="J109" t="str">
            <v>1.29 × 10−4</v>
          </cell>
          <cell r="K109" t="str">
            <v>4.49 × 10−5</v>
          </cell>
          <cell r="L109" t="str">
            <v>9.45 × 10−4</v>
          </cell>
          <cell r="M109" t="str">
            <v>3.89</v>
          </cell>
          <cell r="N109" t="str">
            <v>4</v>
          </cell>
          <cell r="O109">
            <v>3.89</v>
          </cell>
          <cell r="P109">
            <v>-4</v>
          </cell>
          <cell r="Q109">
            <v>3.8900000000000002E-4</v>
          </cell>
          <cell r="R109" t="str">
            <v>4.21</v>
          </cell>
          <cell r="S109" t="str">
            <v>3</v>
          </cell>
          <cell r="T109">
            <v>4.21</v>
          </cell>
          <cell r="U109">
            <v>-3</v>
          </cell>
          <cell r="V109">
            <v>4.2100000000000002E-3</v>
          </cell>
          <cell r="W109">
            <v>4.7804666356604512E-2</v>
          </cell>
          <cell r="X109">
            <v>2.7395667270273379E-2</v>
          </cell>
          <cell r="Y109">
            <v>9.269482701383211E-2</v>
          </cell>
          <cell r="Z109">
            <v>47.910014210455053</v>
          </cell>
          <cell r="AA109">
            <v>27.456039509464372</v>
          </cell>
          <cell r="AB109">
            <v>92.899099982000308</v>
          </cell>
          <cell r="AC109">
            <v>330</v>
          </cell>
          <cell r="AD109">
            <v>500</v>
          </cell>
          <cell r="AE109">
            <v>700</v>
          </cell>
          <cell r="AF109">
            <v>0.34</v>
          </cell>
          <cell r="AG109">
            <v>0.71</v>
          </cell>
          <cell r="AH109">
            <v>55.6</v>
          </cell>
        </row>
        <row r="110">
          <cell r="B110" t="str">
            <v>Yemen</v>
          </cell>
          <cell r="C110" t="str">
            <v>Middle East</v>
          </cell>
          <cell r="D110">
            <v>34449825</v>
          </cell>
          <cell r="E110" t="str">
            <v>3.85 × 10−3</v>
          </cell>
          <cell r="F110" t="str">
            <v>1.94 × 10−3</v>
          </cell>
          <cell r="G110" t="str">
            <v>4.73 × 10−4</v>
          </cell>
          <cell r="H110" t="str">
            <v>5.16 × 10−3</v>
          </cell>
          <cell r="I110" t="str">
            <v>2.92 × 10−4</v>
          </cell>
          <cell r="J110" t="str">
            <v>1.55 × 10−4</v>
          </cell>
          <cell r="K110" t="str">
            <v>5.21 × 10−5</v>
          </cell>
          <cell r="L110" t="str">
            <v>1.08 × 10−3</v>
          </cell>
          <cell r="M110" t="str">
            <v>4.73</v>
          </cell>
          <cell r="N110" t="str">
            <v>4</v>
          </cell>
          <cell r="O110">
            <v>4.7300000000000004</v>
          </cell>
          <cell r="P110">
            <v>-4</v>
          </cell>
          <cell r="Q110">
            <v>4.7300000000000006E-4</v>
          </cell>
          <cell r="R110" t="str">
            <v>5.16</v>
          </cell>
          <cell r="S110" t="str">
            <v>3</v>
          </cell>
          <cell r="T110">
            <v>5.16</v>
          </cell>
          <cell r="U110">
            <v>-3</v>
          </cell>
          <cell r="V110">
            <v>5.1600000000000005E-3</v>
          </cell>
          <cell r="W110">
            <v>1.2679545617134991</v>
          </cell>
          <cell r="X110">
            <v>0.65647347376113996</v>
          </cell>
          <cell r="Y110">
            <v>3.51622791445496</v>
          </cell>
          <cell r="Z110">
            <v>404.97873582685048</v>
          </cell>
          <cell r="AA110">
            <v>209.67454634050179</v>
          </cell>
          <cell r="AB110">
            <v>1123.0666923510889</v>
          </cell>
          <cell r="AC110" t="e">
            <v>#N/A</v>
          </cell>
          <cell r="AD110" t="e">
            <v>#N/A</v>
          </cell>
          <cell r="AE110" t="e">
            <v>#N/A</v>
          </cell>
          <cell r="AF110" t="e">
            <v>#N/A</v>
          </cell>
          <cell r="AG110" t="e">
            <v>#N/A</v>
          </cell>
          <cell r="AH110">
            <v>39.299999999999997</v>
          </cell>
        </row>
        <row r="111">
          <cell r="B111" t="str">
            <v>Zambia</v>
          </cell>
          <cell r="C111" t="str">
            <v>Southern Africa</v>
          </cell>
          <cell r="D111">
            <v>20569737</v>
          </cell>
          <cell r="E111" t="str">
            <v>3.71 × 10−3</v>
          </cell>
          <cell r="F111" t="str">
            <v>2.00 × 10−3</v>
          </cell>
          <cell r="G111" t="str">
            <v>5.15 × 10−4</v>
          </cell>
          <cell r="H111" t="str">
            <v>5.42 × 10−3</v>
          </cell>
          <cell r="I111" t="str">
            <v>2.84 × 10−4</v>
          </cell>
          <cell r="J111" t="str">
            <v>1.59 × 10−4</v>
          </cell>
          <cell r="K111" t="str">
            <v>5.63 × 10−5</v>
          </cell>
          <cell r="L111" t="str">
            <v>1.08 × 10−3</v>
          </cell>
          <cell r="M111" t="str">
            <v>5.15</v>
          </cell>
          <cell r="N111" t="str">
            <v>4</v>
          </cell>
          <cell r="O111">
            <v>5.15</v>
          </cell>
          <cell r="P111">
            <v>-4</v>
          </cell>
          <cell r="Q111">
            <v>5.1500000000000005E-4</v>
          </cell>
          <cell r="R111" t="str">
            <v>5.42</v>
          </cell>
          <cell r="S111" t="str">
            <v>3</v>
          </cell>
          <cell r="T111">
            <v>5.42</v>
          </cell>
          <cell r="U111">
            <v>-3</v>
          </cell>
          <cell r="V111">
            <v>5.4200000000000003E-3</v>
          </cell>
          <cell r="W111">
            <v>0.85219220645756566</v>
          </cell>
          <cell r="X111">
            <v>0.61454559368713868</v>
          </cell>
          <cell r="Y111">
            <v>1.0414269004986609</v>
          </cell>
          <cell r="Z111">
            <v>170.5991215643989</v>
          </cell>
          <cell r="AA111">
            <v>123.0249908997711</v>
          </cell>
          <cell r="AB111">
            <v>208.48174044813089</v>
          </cell>
          <cell r="AC111">
            <v>390</v>
          </cell>
          <cell r="AD111">
            <v>580</v>
          </cell>
          <cell r="AE111">
            <v>775</v>
          </cell>
          <cell r="AF111">
            <v>2.1018593371059016</v>
          </cell>
          <cell r="AG111">
            <v>4.1767717596335219</v>
          </cell>
          <cell r="AH111">
            <v>31.6</v>
          </cell>
        </row>
        <row r="112">
          <cell r="B112" t="str">
            <v>Zimbabwe</v>
          </cell>
          <cell r="C112" t="str">
            <v>Southern Africa</v>
          </cell>
          <cell r="D112">
            <v>16665409</v>
          </cell>
          <cell r="E112" t="str">
            <v>4.55 × 10−3</v>
          </cell>
          <cell r="F112" t="str">
            <v>2.30 × 10−3</v>
          </cell>
          <cell r="G112" t="str">
            <v>5.74 × 10−4</v>
          </cell>
          <cell r="H112" t="str">
            <v>6.14 × 10−3</v>
          </cell>
          <cell r="I112" t="str">
            <v>3.30 × 10−4</v>
          </cell>
          <cell r="J112" t="str">
            <v>1.76 × 10−4</v>
          </cell>
          <cell r="K112" t="str">
            <v>6.06 × 10−5</v>
          </cell>
          <cell r="L112" t="str">
            <v>1.19 × 10−3</v>
          </cell>
          <cell r="M112" t="str">
            <v>5.74</v>
          </cell>
          <cell r="N112" t="str">
            <v>4</v>
          </cell>
          <cell r="O112">
            <v>5.74</v>
          </cell>
          <cell r="P112">
            <v>-4</v>
          </cell>
          <cell r="Q112">
            <v>5.7400000000000007E-4</v>
          </cell>
          <cell r="R112" t="str">
            <v>6.14</v>
          </cell>
          <cell r="S112" t="str">
            <v>3</v>
          </cell>
          <cell r="T112">
            <v>6.14</v>
          </cell>
          <cell r="U112">
            <v>-3</v>
          </cell>
          <cell r="V112">
            <v>6.1399999999999996E-3</v>
          </cell>
          <cell r="W112">
            <v>0.8305797360431677</v>
          </cell>
          <cell r="X112">
            <v>0.59796689909878986</v>
          </cell>
          <cell r="Y112">
            <v>1.016360685872691</v>
          </cell>
          <cell r="Z112">
            <v>128.6985183571089</v>
          </cell>
          <cell r="AA112">
            <v>92.655106549107245</v>
          </cell>
          <cell r="AB112">
            <v>157.48531864186009</v>
          </cell>
          <cell r="AC112">
            <v>400</v>
          </cell>
          <cell r="AD112">
            <v>562</v>
          </cell>
          <cell r="AE112">
            <v>755</v>
          </cell>
          <cell r="AF112" t="e">
            <v>#N/A</v>
          </cell>
          <cell r="AG112" t="e">
            <v>#N/A</v>
          </cell>
          <cell r="AH112">
            <v>28.6</v>
          </cell>
        </row>
      </sheetData>
      <sheetData sheetId="13">
        <row r="2">
          <cell r="E2">
            <v>55.6</v>
          </cell>
          <cell r="M2">
            <v>0.16016084869739497</v>
          </cell>
          <cell r="N2">
            <v>480.48254609218486</v>
          </cell>
        </row>
        <row r="3">
          <cell r="E3">
            <v>33.700000000000003</v>
          </cell>
          <cell r="M3">
            <v>8.7692307692307705E-3</v>
          </cell>
          <cell r="N3">
            <v>22.8</v>
          </cell>
          <cell r="Y3">
            <v>4.2303962558874577</v>
          </cell>
        </row>
        <row r="4">
          <cell r="E4">
            <v>34.299999999999997</v>
          </cell>
          <cell r="M4">
            <v>0.17317196384695835</v>
          </cell>
          <cell r="N4">
            <v>86.585981923479181</v>
          </cell>
          <cell r="Y4">
            <v>3.4839216583443804</v>
          </cell>
        </row>
        <row r="5">
          <cell r="E5">
            <v>33.4</v>
          </cell>
          <cell r="M5">
            <v>7.8907075270606419E-2</v>
          </cell>
          <cell r="N5">
            <v>181.48627312239475</v>
          </cell>
          <cell r="Y5">
            <v>3.0990872811319834</v>
          </cell>
        </row>
        <row r="6">
          <cell r="E6">
            <v>32.5</v>
          </cell>
          <cell r="M6">
            <v>5.5606543872984811E-2</v>
          </cell>
          <cell r="N6">
            <v>44.485235098387847</v>
          </cell>
        </row>
        <row r="7">
          <cell r="E7">
            <v>39.200000000000003</v>
          </cell>
          <cell r="M7">
            <v>0.20587424888665587</v>
          </cell>
          <cell r="N7">
            <v>349.98622310731497</v>
          </cell>
        </row>
        <row r="8">
          <cell r="E8">
            <v>38.799999999999997</v>
          </cell>
          <cell r="M8">
            <v>3.7760369887637008E-2</v>
          </cell>
          <cell r="N8">
            <v>113.28110966291102</v>
          </cell>
        </row>
        <row r="9">
          <cell r="E9">
            <v>38</v>
          </cell>
          <cell r="M9">
            <v>9.4845639438425458E-2</v>
          </cell>
          <cell r="N9">
            <v>265.56779042759126</v>
          </cell>
        </row>
        <row r="10">
          <cell r="E10">
            <v>29</v>
          </cell>
          <cell r="M10">
            <v>5.7706768628041687E-2</v>
          </cell>
          <cell r="N10">
            <v>28.853384314020847</v>
          </cell>
        </row>
        <row r="11">
          <cell r="E11">
            <v>29.9</v>
          </cell>
          <cell r="M11">
            <v>2.3887155928808822E-2</v>
          </cell>
          <cell r="N11">
            <v>71.661467786426471</v>
          </cell>
        </row>
        <row r="12">
          <cell r="E12">
            <v>23.8</v>
          </cell>
          <cell r="M12">
            <v>6.8386101143153013E-3</v>
          </cell>
          <cell r="N12">
            <v>5.47088809145224</v>
          </cell>
        </row>
        <row r="13">
          <cell r="E13">
            <v>31.2</v>
          </cell>
          <cell r="M13">
            <v>2.7662066912801101E-2</v>
          </cell>
          <cell r="N13">
            <v>55.324133825602203</v>
          </cell>
        </row>
        <row r="14">
          <cell r="E14">
            <v>36.1</v>
          </cell>
          <cell r="M14">
            <v>1.5727885311088048E-2</v>
          </cell>
          <cell r="N14">
            <v>47.183655933264141</v>
          </cell>
        </row>
        <row r="15">
          <cell r="E15">
            <v>29.6</v>
          </cell>
          <cell r="M15">
            <v>3.005104642465958E-2</v>
          </cell>
          <cell r="N15">
            <v>30.051046424659578</v>
          </cell>
        </row>
        <row r="16">
          <cell r="E16">
            <v>31.6</v>
          </cell>
          <cell r="M16">
            <v>2.8298490861142379E-2</v>
          </cell>
          <cell r="N16">
            <v>84.895472583427136</v>
          </cell>
        </row>
        <row r="17">
          <cell r="E17">
            <v>32.4</v>
          </cell>
          <cell r="M17">
            <v>1.4393949686340387E-2</v>
          </cell>
          <cell r="N17">
            <v>37.424269184485006</v>
          </cell>
        </row>
        <row r="18">
          <cell r="E18">
            <v>44.1</v>
          </cell>
          <cell r="M18">
            <v>0.53767741164791849</v>
          </cell>
          <cell r="N18">
            <v>337.66141451489278</v>
          </cell>
        </row>
        <row r="19">
          <cell r="E19">
            <v>42.1</v>
          </cell>
          <cell r="M19">
            <v>0.31749095785752024</v>
          </cell>
          <cell r="N19">
            <v>634.98191571504037</v>
          </cell>
        </row>
        <row r="20">
          <cell r="E20">
            <v>60.5</v>
          </cell>
          <cell r="M20">
            <v>0.22837746172062592</v>
          </cell>
          <cell r="N20">
            <v>456.75492344125189</v>
          </cell>
        </row>
        <row r="21">
          <cell r="E21">
            <v>40.799999999999997</v>
          </cell>
          <cell r="M21">
            <v>0.25567302651615637</v>
          </cell>
          <cell r="N21">
            <v>767.01907954846911</v>
          </cell>
        </row>
        <row r="22">
          <cell r="E22">
            <v>47.4</v>
          </cell>
          <cell r="M22">
            <v>7.2523531710334058E-2</v>
          </cell>
          <cell r="N22">
            <v>72.523531710334055</v>
          </cell>
        </row>
        <row r="23">
          <cell r="E23">
            <v>44.6</v>
          </cell>
          <cell r="M23">
            <v>0.13793599256822942</v>
          </cell>
          <cell r="N23">
            <v>413.80797770468826</v>
          </cell>
        </row>
        <row r="24">
          <cell r="E24">
            <v>70.2</v>
          </cell>
          <cell r="M24">
            <v>0.16834174276092209</v>
          </cell>
          <cell r="N24">
            <v>168.34174276092207</v>
          </cell>
        </row>
        <row r="25">
          <cell r="E25">
            <v>80</v>
          </cell>
          <cell r="M25">
            <v>0.95541401273885351</v>
          </cell>
          <cell r="N25">
            <v>955.41401273885344</v>
          </cell>
        </row>
        <row r="26">
          <cell r="E26">
            <v>62.5</v>
          </cell>
          <cell r="M26">
            <v>0.83563971054053221</v>
          </cell>
          <cell r="N26">
            <v>835.63971054053229</v>
          </cell>
        </row>
      </sheetData>
      <sheetData sheetId="14">
        <row r="2">
          <cell r="Q2" t="str">
            <v xml:space="preserve">Year 1 </v>
          </cell>
          <cell r="R2" t="str">
            <v>Year 2</v>
          </cell>
          <cell r="S2" t="str">
            <v>Year 3</v>
          </cell>
          <cell r="T2" t="str">
            <v>Year 4</v>
          </cell>
          <cell r="U2" t="str">
            <v>Year 5</v>
          </cell>
        </row>
        <row r="18">
          <cell r="Q18">
            <v>252759.14328465945</v>
          </cell>
          <cell r="R18">
            <v>370331.66587763507</v>
          </cell>
          <cell r="S18">
            <v>497855.53391563374</v>
          </cell>
          <cell r="T18">
            <v>663807.37855417829</v>
          </cell>
          <cell r="U18">
            <v>829759.22319272312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israel-population/" TargetMode="External"/><Relationship Id="rId21" Type="http://schemas.openxmlformats.org/officeDocument/2006/relationships/hyperlink" Target="https://www.worldometers.info/world-population/india-population/" TargetMode="External"/><Relationship Id="rId63" Type="http://schemas.openxmlformats.org/officeDocument/2006/relationships/hyperlink" Target="https://www.worldometers.info/world-population/yemen-population/" TargetMode="External"/><Relationship Id="rId159" Type="http://schemas.openxmlformats.org/officeDocument/2006/relationships/hyperlink" Target="https://www.worldometers.info/world-population/armenia-population/" TargetMode="External"/><Relationship Id="rId170" Type="http://schemas.openxmlformats.org/officeDocument/2006/relationships/hyperlink" Target="https://www.worldometers.info/world-population/latvia-population/" TargetMode="External"/><Relationship Id="rId226" Type="http://schemas.openxmlformats.org/officeDocument/2006/relationships/hyperlink" Target="https://www.worldometers.info/world-population/faeroe-islands-population/" TargetMode="External"/><Relationship Id="rId268" Type="http://schemas.openxmlformats.org/officeDocument/2006/relationships/hyperlink" Target="https://www.mdpi.com/2076-393X/11/1/88" TargetMode="External"/><Relationship Id="rId11" Type="http://schemas.openxmlformats.org/officeDocument/2006/relationships/hyperlink" Target="https://www.sciencedirect.com/science/article/pii/S0264410X1930475X?via%3Dihub" TargetMode="External"/><Relationship Id="rId32" Type="http://schemas.openxmlformats.org/officeDocument/2006/relationships/hyperlink" Target="https://www.worldometers.info/world-population/japan-population/" TargetMode="External"/><Relationship Id="rId53" Type="http://schemas.openxmlformats.org/officeDocument/2006/relationships/hyperlink" Target="https://www.worldometers.info/world-population/algeria-population/" TargetMode="External"/><Relationship Id="rId74" Type="http://schemas.openxmlformats.org/officeDocument/2006/relationships/hyperlink" Target="https://www.worldometers.info/world-population/australia-population/" TargetMode="External"/><Relationship Id="rId128" Type="http://schemas.openxmlformats.org/officeDocument/2006/relationships/hyperlink" Target="https://www.worldometers.info/world-population/kyrgyzstan-population/" TargetMode="External"/><Relationship Id="rId149" Type="http://schemas.openxmlformats.org/officeDocument/2006/relationships/hyperlink" Target="https://www.worldometers.info/world-population/croatia-population/" TargetMode="External"/><Relationship Id="rId5" Type="http://schemas.openxmlformats.org/officeDocument/2006/relationships/hyperlink" Target="https://www.sciencedirect.com/science/article/pii/S0264410X1930475X?via%3Dihub" TargetMode="External"/><Relationship Id="rId95" Type="http://schemas.openxmlformats.org/officeDocument/2006/relationships/hyperlink" Target="https://www.worldometers.info/world-population/rwanda-population/" TargetMode="External"/><Relationship Id="rId160" Type="http://schemas.openxmlformats.org/officeDocument/2006/relationships/hyperlink" Target="https://www.worldometers.info/world-population/gambia-population/" TargetMode="External"/><Relationship Id="rId181" Type="http://schemas.openxmlformats.org/officeDocument/2006/relationships/hyperlink" Target="https://www.worldometers.info/world-population/fiji-population/" TargetMode="External"/><Relationship Id="rId216" Type="http://schemas.openxmlformats.org/officeDocument/2006/relationships/hyperlink" Target="https://www.worldometers.info/world-population/aruba-population/" TargetMode="External"/><Relationship Id="rId237" Type="http://schemas.openxmlformats.org/officeDocument/2006/relationships/hyperlink" Target="https://www.worldometers.info/world-population/saint-martin-population/" TargetMode="External"/><Relationship Id="rId258" Type="http://schemas.openxmlformats.org/officeDocument/2006/relationships/hyperlink" Target="https://www.sciencedirect.com/science/article/pii/S0001706X1931143X?via%3Dihub" TargetMode="External"/><Relationship Id="rId22" Type="http://schemas.openxmlformats.org/officeDocument/2006/relationships/hyperlink" Target="https://www.worldometers.info/world-population/china-population/" TargetMode="External"/><Relationship Id="rId43" Type="http://schemas.openxmlformats.org/officeDocument/2006/relationships/hyperlink" Target="https://www.worldometers.info/world-population/south-africa-population/" TargetMode="External"/><Relationship Id="rId64" Type="http://schemas.openxmlformats.org/officeDocument/2006/relationships/hyperlink" Target="https://www.worldometers.info/world-population/peru-population/" TargetMode="External"/><Relationship Id="rId118" Type="http://schemas.openxmlformats.org/officeDocument/2006/relationships/hyperlink" Target="https://www.worldometers.info/world-population/togo-population/" TargetMode="External"/><Relationship Id="rId139" Type="http://schemas.openxmlformats.org/officeDocument/2006/relationships/hyperlink" Target="https://www.worldometers.info/world-population/liberia-population/" TargetMode="External"/><Relationship Id="rId85" Type="http://schemas.openxmlformats.org/officeDocument/2006/relationships/hyperlink" Target="https://www.worldometers.info/world-population/kazakhstan-population/" TargetMode="External"/><Relationship Id="rId150" Type="http://schemas.openxmlformats.org/officeDocument/2006/relationships/hyperlink" Target="https://www.worldometers.info/world-population/eritrea-population/" TargetMode="External"/><Relationship Id="rId171" Type="http://schemas.openxmlformats.org/officeDocument/2006/relationships/hyperlink" Target="https://www.worldometers.info/world-population/equatorial-guinea-population/" TargetMode="External"/><Relationship Id="rId192" Type="http://schemas.openxmlformats.org/officeDocument/2006/relationships/hyperlink" Target="https://www.worldometers.info/world-population/micronesia-population/" TargetMode="External"/><Relationship Id="rId206" Type="http://schemas.openxmlformats.org/officeDocument/2006/relationships/hyperlink" Target="https://www.worldometers.info/world-population/barbados-population/" TargetMode="External"/><Relationship Id="rId227" Type="http://schemas.openxmlformats.org/officeDocument/2006/relationships/hyperlink" Target="https://www.worldometers.info/world-population/northern-mariana-islands-population/" TargetMode="External"/><Relationship Id="rId248" Type="http://schemas.openxmlformats.org/officeDocument/2006/relationships/hyperlink" Target="https://www.worldometers.info/world-population/saint-helena-population/" TargetMode="External"/><Relationship Id="rId269" Type="http://schemas.openxmlformats.org/officeDocument/2006/relationships/hyperlink" Target="https://weather.com/en-IN/india/health/news/2022-10-03-india-faces-sudden-surge-in-rabies-cases" TargetMode="External"/><Relationship Id="rId12" Type="http://schemas.openxmlformats.org/officeDocument/2006/relationships/hyperlink" Target="https://www.sciencedirect.com/science/article/pii/S0264410X1930475X?via%3Dihub" TargetMode="External"/><Relationship Id="rId33" Type="http://schemas.openxmlformats.org/officeDocument/2006/relationships/hyperlink" Target="https://www.worldometers.info/world-population/philippines-population/" TargetMode="External"/><Relationship Id="rId108" Type="http://schemas.openxmlformats.org/officeDocument/2006/relationships/hyperlink" Target="https://www.worldometers.info/world-population/czech-republic-population/" TargetMode="External"/><Relationship Id="rId129" Type="http://schemas.openxmlformats.org/officeDocument/2006/relationships/hyperlink" Target="https://www.worldometers.info/world-population/bulgaria-population/" TargetMode="External"/><Relationship Id="rId54" Type="http://schemas.openxmlformats.org/officeDocument/2006/relationships/hyperlink" Target="https://www.worldometers.info/world-population/iraq-population/" TargetMode="External"/><Relationship Id="rId75" Type="http://schemas.openxmlformats.org/officeDocument/2006/relationships/hyperlink" Target="https://www.worldometers.info/world-population/north-korea-population/" TargetMode="External"/><Relationship Id="rId96" Type="http://schemas.openxmlformats.org/officeDocument/2006/relationships/hyperlink" Target="https://www.worldometers.info/world-population/benin-population/" TargetMode="External"/><Relationship Id="rId140" Type="http://schemas.openxmlformats.org/officeDocument/2006/relationships/hyperlink" Target="https://www.worldometers.info/world-population/state-of-palestine-population/" TargetMode="External"/><Relationship Id="rId161" Type="http://schemas.openxmlformats.org/officeDocument/2006/relationships/hyperlink" Target="https://www.worldometers.info/world-population/lithuania-population/" TargetMode="External"/><Relationship Id="rId182" Type="http://schemas.openxmlformats.org/officeDocument/2006/relationships/hyperlink" Target="https://www.worldometers.info/world-population/comoros-population/" TargetMode="External"/><Relationship Id="rId217" Type="http://schemas.openxmlformats.org/officeDocument/2006/relationships/hyperlink" Target="https://www.worldometers.info/world-population/saint-vincent-and-the-grenadines-population/" TargetMode="External"/><Relationship Id="rId6" Type="http://schemas.openxmlformats.org/officeDocument/2006/relationships/hyperlink" Target="https://www.sciencedirect.com/science/article/pii/S0264410X1930475X?via%3Dihub" TargetMode="External"/><Relationship Id="rId238" Type="http://schemas.openxmlformats.org/officeDocument/2006/relationships/hyperlink" Target="https://www.worldometers.info/world-population/british-virgin-islands-population/" TargetMode="External"/><Relationship Id="rId259" Type="http://schemas.openxmlformats.org/officeDocument/2006/relationships/hyperlink" Target="https://www.mdpi.com/2079-9721/8/1/5" TargetMode="External"/><Relationship Id="rId23" Type="http://schemas.openxmlformats.org/officeDocument/2006/relationships/hyperlink" Target="https://www.worldometers.info/world-population/us-populatio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ncbi.nlm.nih.gov/pmc/articles/PMC8102000/" TargetMode="External"/><Relationship Id="rId44" Type="http://schemas.openxmlformats.org/officeDocument/2006/relationships/hyperlink" Target="https://www.worldometers.info/world-population/italy-population/" TargetMode="External"/><Relationship Id="rId65" Type="http://schemas.openxmlformats.org/officeDocument/2006/relationships/hyperlink" Target="https://www.worldometers.info/world-population/malaysia-population/" TargetMode="External"/><Relationship Id="rId86" Type="http://schemas.openxmlformats.org/officeDocument/2006/relationships/hyperlink" Target="https://www.worldometers.info/world-population/chad-population/" TargetMode="External"/><Relationship Id="rId130" Type="http://schemas.openxmlformats.org/officeDocument/2006/relationships/hyperlink" Target="https://www.worldometers.info/world-population/turkmenistan-population/" TargetMode="External"/><Relationship Id="rId151" Type="http://schemas.openxmlformats.org/officeDocument/2006/relationships/hyperlink" Target="https://www.worldometers.info/world-population/georgia-population/" TargetMode="External"/><Relationship Id="rId172" Type="http://schemas.openxmlformats.org/officeDocument/2006/relationships/hyperlink" Target="https://www.worldometers.info/world-population/trinidad-and-tobago-population/" TargetMode="External"/><Relationship Id="rId193" Type="http://schemas.openxmlformats.org/officeDocument/2006/relationships/hyperlink" Target="https://www.worldometers.info/world-population/malta-population/" TargetMode="External"/><Relationship Id="rId207" Type="http://schemas.openxmlformats.org/officeDocument/2006/relationships/hyperlink" Target="https://www.worldometers.info/world-population/sao-tome-and-principe-population/" TargetMode="External"/><Relationship Id="rId228" Type="http://schemas.openxmlformats.org/officeDocument/2006/relationships/hyperlink" Target="https://www.worldometers.info/world-population/saint-kitts-and-nevis-population/" TargetMode="External"/><Relationship Id="rId249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sciencedirect.com/science/article/pii/S0264410X1930475X?via%3Dihub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als-journal.com/634-19/" TargetMode="External"/><Relationship Id="rId34" Type="http://schemas.openxmlformats.org/officeDocument/2006/relationships/hyperlink" Target="https://www.worldometers.info/world-population/egypt-population/" TargetMode="External"/><Relationship Id="rId55" Type="http://schemas.openxmlformats.org/officeDocument/2006/relationships/hyperlink" Target="https://www.worldometers.info/world-population/afghanistan-population/" TargetMode="External"/><Relationship Id="rId76" Type="http://schemas.openxmlformats.org/officeDocument/2006/relationships/hyperlink" Target="https://www.worldometers.info/world-population/taiwan-population/" TargetMode="External"/><Relationship Id="rId97" Type="http://schemas.openxmlformats.org/officeDocument/2006/relationships/hyperlink" Target="https://www.worldometers.info/world-population/burundi-population/" TargetMode="External"/><Relationship Id="rId120" Type="http://schemas.openxmlformats.org/officeDocument/2006/relationships/hyperlink" Target="https://www.worldometers.info/world-population/switzerland-population/" TargetMode="External"/><Relationship Id="rId141" Type="http://schemas.openxmlformats.org/officeDocument/2006/relationships/hyperlink" Target="https://www.worldometers.info/world-population/lebanon-population/" TargetMode="External"/><Relationship Id="rId7" Type="http://schemas.openxmlformats.org/officeDocument/2006/relationships/hyperlink" Target="https://www.sciencedirect.com/science/article/pii/S0264410X1930475X?via%3Dihub" TargetMode="External"/><Relationship Id="rId162" Type="http://schemas.openxmlformats.org/officeDocument/2006/relationships/hyperlink" Target="https://www.worldometers.info/world-population/qatar-population/" TargetMode="External"/><Relationship Id="rId183" Type="http://schemas.openxmlformats.org/officeDocument/2006/relationships/hyperlink" Target="https://www.worldometers.info/world-population/guyana-population/" TargetMode="External"/><Relationship Id="rId218" Type="http://schemas.openxmlformats.org/officeDocument/2006/relationships/hyperlink" Target="https://www.worldometers.info/world-population/united-states-virgin-islands-population/" TargetMode="External"/><Relationship Id="rId239" Type="http://schemas.openxmlformats.org/officeDocument/2006/relationships/hyperlink" Target="https://www.worldometers.info/world-population/caribbean-netherlands-population/" TargetMode="External"/><Relationship Id="rId250" Type="http://schemas.openxmlformats.org/officeDocument/2006/relationships/hyperlink" Target="https://www.worldometers.info/world-population/falkland-islands-malvinas-population/" TargetMode="External"/><Relationship Id="rId271" Type="http://schemas.openxmlformats.org/officeDocument/2006/relationships/hyperlink" Target="https://www.sciencedirect.com/science/article/pii/S0264410X1831363X" TargetMode="External"/><Relationship Id="rId24" Type="http://schemas.openxmlformats.org/officeDocument/2006/relationships/hyperlink" Target="https://www.worldometers.info/world-population/indonesia-population/" TargetMode="External"/><Relationship Id="rId45" Type="http://schemas.openxmlformats.org/officeDocument/2006/relationships/hyperlink" Target="https://www.worldometers.info/world-population/kenya-population/" TargetMode="External"/><Relationship Id="rId66" Type="http://schemas.openxmlformats.org/officeDocument/2006/relationships/hyperlink" Target="https://www.worldometers.info/world-population/ghana-population/" TargetMode="External"/><Relationship Id="rId87" Type="http://schemas.openxmlformats.org/officeDocument/2006/relationships/hyperlink" Target="https://www.worldometers.info/world-population/ecuador-population/" TargetMode="External"/><Relationship Id="rId110" Type="http://schemas.openxmlformats.org/officeDocument/2006/relationships/hyperlink" Target="https://www.worldometers.info/world-population/greece-population/" TargetMode="External"/><Relationship Id="rId131" Type="http://schemas.openxmlformats.org/officeDocument/2006/relationships/hyperlink" Target="https://www.worldometers.info/world-population/el-salvador-population/" TargetMode="External"/><Relationship Id="rId152" Type="http://schemas.openxmlformats.org/officeDocument/2006/relationships/hyperlink" Target="https://www.worldometers.info/world-population/mongolia-population/" TargetMode="External"/><Relationship Id="rId173" Type="http://schemas.openxmlformats.org/officeDocument/2006/relationships/hyperlink" Target="https://www.worldometers.info/world-population/bahrain-population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samoa-population/" TargetMode="External"/><Relationship Id="rId229" Type="http://schemas.openxmlformats.org/officeDocument/2006/relationships/hyperlink" Target="https://www.worldometers.info/world-population/turks-and-caicos-islands-population/" TargetMode="External"/><Relationship Id="rId240" Type="http://schemas.openxmlformats.org/officeDocument/2006/relationships/hyperlink" Target="https://www.worldometers.info/world-population/palau-population/" TargetMode="External"/><Relationship Id="rId261" Type="http://schemas.openxmlformats.org/officeDocument/2006/relationships/hyperlink" Target="https://www.ncbi.nlm.nih.gov/pmc/articles/PMC8266089/" TargetMode="External"/><Relationship Id="rId14" Type="http://schemas.openxmlformats.org/officeDocument/2006/relationships/hyperlink" Target="https://www.sciencedirect.com/science/article/pii/S0264410X1930475X?via%3Dihub" TargetMode="External"/><Relationship Id="rId35" Type="http://schemas.openxmlformats.org/officeDocument/2006/relationships/hyperlink" Target="https://www.worldometers.info/world-population/vietnam-population/" TargetMode="External"/><Relationship Id="rId56" Type="http://schemas.openxmlformats.org/officeDocument/2006/relationships/hyperlink" Target="https://www.worldometers.info/world-population/poland-population/" TargetMode="External"/><Relationship Id="rId77" Type="http://schemas.openxmlformats.org/officeDocument/2006/relationships/hyperlink" Target="https://www.worldometers.info/world-population/mali-population/" TargetMode="External"/><Relationship Id="rId100" Type="http://schemas.openxmlformats.org/officeDocument/2006/relationships/hyperlink" Target="https://www.worldometers.info/world-population/haiti-population/" TargetMode="External"/><Relationship Id="rId8" Type="http://schemas.openxmlformats.org/officeDocument/2006/relationships/hyperlink" Target="https://www.sciencedirect.com/science/article/pii/S0264410X1930475X?via%3Dihub" TargetMode="External"/><Relationship Id="rId98" Type="http://schemas.openxmlformats.org/officeDocument/2006/relationships/hyperlink" Target="https://www.worldometers.info/world-population/tunisia-population/" TargetMode="External"/><Relationship Id="rId121" Type="http://schemas.openxmlformats.org/officeDocument/2006/relationships/hyperlink" Target="https://www.worldometers.info/world-population/sierra-leone-population/" TargetMode="External"/><Relationship Id="rId142" Type="http://schemas.openxmlformats.org/officeDocument/2006/relationships/hyperlink" Target="https://www.worldometers.info/world-population/new-zealand-population/" TargetMode="External"/><Relationship Id="rId163" Type="http://schemas.openxmlformats.org/officeDocument/2006/relationships/hyperlink" Target="https://www.worldometers.info/world-population/botswana-population/" TargetMode="External"/><Relationship Id="rId184" Type="http://schemas.openxmlformats.org/officeDocument/2006/relationships/hyperlink" Target="https://www.worldometers.info/world-population/bhutan-population/" TargetMode="External"/><Relationship Id="rId219" Type="http://schemas.openxmlformats.org/officeDocument/2006/relationships/hyperlink" Target="https://www.worldometers.info/world-population/antigua-and-barbuda-population/" TargetMode="External"/><Relationship Id="rId230" Type="http://schemas.openxmlformats.org/officeDocument/2006/relationships/hyperlink" Target="https://www.worldometers.info/world-population/sint-maarten-population/" TargetMode="External"/><Relationship Id="rId251" Type="http://schemas.openxmlformats.org/officeDocument/2006/relationships/hyperlink" Target="https://www.worldometers.info/world-population/niue-population/" TargetMode="External"/><Relationship Id="rId25" Type="http://schemas.openxmlformats.org/officeDocument/2006/relationships/hyperlink" Target="https://www.worldometers.info/world-population/pakistan-population/" TargetMode="External"/><Relationship Id="rId46" Type="http://schemas.openxmlformats.org/officeDocument/2006/relationships/hyperlink" Target="https://www.worldometers.info/world-population/myanmar-population/" TargetMode="External"/><Relationship Id="rId67" Type="http://schemas.openxmlformats.org/officeDocument/2006/relationships/hyperlink" Target="https://www.worldometers.info/world-population/mozambique-population/" TargetMode="External"/><Relationship Id="rId272" Type="http://schemas.openxmlformats.org/officeDocument/2006/relationships/drawing" Target="../drawings/drawing2.xml"/><Relationship Id="rId88" Type="http://schemas.openxmlformats.org/officeDocument/2006/relationships/hyperlink" Target="https://www.worldometers.info/world-population/somalia-population/" TargetMode="External"/><Relationship Id="rId111" Type="http://schemas.openxmlformats.org/officeDocument/2006/relationships/hyperlink" Target="https://www.worldometers.info/world-population/papua-new-guinea-population/" TargetMode="External"/><Relationship Id="rId132" Type="http://schemas.openxmlformats.org/officeDocument/2006/relationships/hyperlink" Target="https://www.worldometers.info/world-population/congo-population/" TargetMode="External"/><Relationship Id="rId153" Type="http://schemas.openxmlformats.org/officeDocument/2006/relationships/hyperlink" Target="https://www.worldometers.info/world-population/moldova-population/" TargetMode="External"/><Relationship Id="rId174" Type="http://schemas.openxmlformats.org/officeDocument/2006/relationships/hyperlink" Target="https://www.worldometers.info/world-population/timor-leste-population/" TargetMode="External"/><Relationship Id="rId195" Type="http://schemas.openxmlformats.org/officeDocument/2006/relationships/hyperlink" Target="https://www.worldometers.info/world-population/brunei-darussalam-population/" TargetMode="External"/><Relationship Id="rId209" Type="http://schemas.openxmlformats.org/officeDocument/2006/relationships/hyperlink" Target="https://www.worldometers.info/world-population/curacao-population/" TargetMode="External"/><Relationship Id="rId220" Type="http://schemas.openxmlformats.org/officeDocument/2006/relationships/hyperlink" Target="https://www.worldometers.info/world-population/isle-of-man-population/" TargetMode="External"/><Relationship Id="rId241" Type="http://schemas.openxmlformats.org/officeDocument/2006/relationships/hyperlink" Target="https://www.worldometers.info/world-population/cook-islands-population/" TargetMode="External"/><Relationship Id="rId15" Type="http://schemas.openxmlformats.org/officeDocument/2006/relationships/hyperlink" Target="https://www.sciencedirect.com/science/article/pii/S0264410X1930475X?via%3Dihub" TargetMode="External"/><Relationship Id="rId36" Type="http://schemas.openxmlformats.org/officeDocument/2006/relationships/hyperlink" Target="https://www.worldometers.info/world-population/iran-population/" TargetMode="External"/><Relationship Id="rId57" Type="http://schemas.openxmlformats.org/officeDocument/2006/relationships/hyperlink" Target="https://www.worldometers.info/world-population/canada-population/" TargetMode="External"/><Relationship Id="rId262" Type="http://schemas.openxmlformats.org/officeDocument/2006/relationships/hyperlink" Target="https://pubmed.ncbi.nlm.nih.gov/30188891/" TargetMode="External"/><Relationship Id="rId78" Type="http://schemas.openxmlformats.org/officeDocument/2006/relationships/hyperlink" Target="https://www.worldometers.info/world-population/burkina-faso-population/" TargetMode="External"/><Relationship Id="rId99" Type="http://schemas.openxmlformats.org/officeDocument/2006/relationships/hyperlink" Target="https://www.worldometers.info/world-population/bolivia-population/" TargetMode="External"/><Relationship Id="rId101" Type="http://schemas.openxmlformats.org/officeDocument/2006/relationships/hyperlink" Target="https://www.worldometers.info/world-population/belgium-population/" TargetMode="External"/><Relationship Id="rId122" Type="http://schemas.openxmlformats.org/officeDocument/2006/relationships/hyperlink" Target="https://www.worldometers.info/world-population/laos-population/" TargetMode="External"/><Relationship Id="rId143" Type="http://schemas.openxmlformats.org/officeDocument/2006/relationships/hyperlink" Target="https://www.worldometers.info/world-population/costa-rica-population/" TargetMode="External"/><Relationship Id="rId164" Type="http://schemas.openxmlformats.org/officeDocument/2006/relationships/hyperlink" Target="https://www.worldometers.info/world-population/namibia-population/" TargetMode="External"/><Relationship Id="rId185" Type="http://schemas.openxmlformats.org/officeDocument/2006/relationships/hyperlink" Target="https://www.worldometers.info/world-population/solomon-islands-population/" TargetMode="External"/><Relationship Id="rId9" Type="http://schemas.openxmlformats.org/officeDocument/2006/relationships/hyperlink" Target="https://www.sciencedirect.com/science/article/pii/S0264410X1930475X?via%3Dihub" TargetMode="External"/><Relationship Id="rId210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nigeria-population/" TargetMode="External"/><Relationship Id="rId231" Type="http://schemas.openxmlformats.org/officeDocument/2006/relationships/hyperlink" Target="https://www.worldometers.info/world-population/american-samoa-population/" TargetMode="External"/><Relationship Id="rId252" Type="http://schemas.openxmlformats.org/officeDocument/2006/relationships/hyperlink" Target="https://www.worldometers.info/world-population/tokelau-population/" TargetMode="External"/><Relationship Id="rId47" Type="http://schemas.openxmlformats.org/officeDocument/2006/relationships/hyperlink" Target="https://www.worldometers.info/world-population/colombia-population/" TargetMode="External"/><Relationship Id="rId68" Type="http://schemas.openxmlformats.org/officeDocument/2006/relationships/hyperlink" Target="https://www.worldometers.info/world-population/nepal-population/" TargetMode="External"/><Relationship Id="rId89" Type="http://schemas.openxmlformats.org/officeDocument/2006/relationships/hyperlink" Target="https://www.worldometers.info/world-population/guatemala-population/" TargetMode="External"/><Relationship Id="rId112" Type="http://schemas.openxmlformats.org/officeDocument/2006/relationships/hyperlink" Target="https://www.worldometers.info/world-population/portugal-population/" TargetMode="External"/><Relationship Id="rId133" Type="http://schemas.openxmlformats.org/officeDocument/2006/relationships/hyperlink" Target="https://www.worldometers.info/world-population/singapore-population/" TargetMode="External"/><Relationship Id="rId154" Type="http://schemas.openxmlformats.org/officeDocument/2006/relationships/hyperlink" Target="https://www.worldometers.info/world-population/uruguay-population/" TargetMode="External"/><Relationship Id="rId175" Type="http://schemas.openxmlformats.org/officeDocument/2006/relationships/hyperlink" Target="https://www.worldometers.info/world-population/estonia-population/" TargetMode="External"/><Relationship Id="rId196" Type="http://schemas.openxmlformats.org/officeDocument/2006/relationships/hyperlink" Target="https://www.worldometers.info/world-population/bahamas-population/" TargetMode="External"/><Relationship Id="rId200" Type="http://schemas.openxmlformats.org/officeDocument/2006/relationships/hyperlink" Target="https://www.worldometers.info/world-population/martinique-population/" TargetMode="External"/><Relationship Id="rId16" Type="http://schemas.openxmlformats.org/officeDocument/2006/relationships/hyperlink" Target="https://www.sciencedirect.com/science/article/pii/S0264410X1930475X?via%3Dihub" TargetMode="External"/><Relationship Id="rId221" Type="http://schemas.openxmlformats.org/officeDocument/2006/relationships/hyperlink" Target="https://www.worldometers.info/world-population/andorra-population/" TargetMode="External"/><Relationship Id="rId242" Type="http://schemas.openxmlformats.org/officeDocument/2006/relationships/hyperlink" Target="https://www.worldometers.info/world-population/anguilla-population/" TargetMode="External"/><Relationship Id="rId263" Type="http://schemas.openxmlformats.org/officeDocument/2006/relationships/hyperlink" Target="https://rabiesalliance.org/country/pakistan" TargetMode="External"/><Relationship Id="rId37" Type="http://schemas.openxmlformats.org/officeDocument/2006/relationships/hyperlink" Target="https://www.worldometers.info/world-population/turkey-population/" TargetMode="External"/><Relationship Id="rId58" Type="http://schemas.openxmlformats.org/officeDocument/2006/relationships/hyperlink" Target="https://www.worldometers.info/world-population/morocco-population/" TargetMode="External"/><Relationship Id="rId79" Type="http://schemas.openxmlformats.org/officeDocument/2006/relationships/hyperlink" Target="https://www.worldometers.info/world-population/syria-population/" TargetMode="External"/><Relationship Id="rId102" Type="http://schemas.openxmlformats.org/officeDocument/2006/relationships/hyperlink" Target="https://www.worldometers.info/world-population/jordan-population/" TargetMode="External"/><Relationship Id="rId123" Type="http://schemas.openxmlformats.org/officeDocument/2006/relationships/hyperlink" Target="https://www.worldometers.info/world-population/china-hong-kong-sar-population/" TargetMode="External"/><Relationship Id="rId144" Type="http://schemas.openxmlformats.org/officeDocument/2006/relationships/hyperlink" Target="https://www.worldometers.info/world-population/ireland-population/" TargetMode="External"/><Relationship Id="rId90" Type="http://schemas.openxmlformats.org/officeDocument/2006/relationships/hyperlink" Target="https://www.worldometers.info/world-population/senegal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world-population/china-macao-sar-population/" TargetMode="External"/><Relationship Id="rId211" Type="http://schemas.openxmlformats.org/officeDocument/2006/relationships/hyperlink" Target="https://www.worldometers.info/world-population/guam-population/" TargetMode="External"/><Relationship Id="rId232" Type="http://schemas.openxmlformats.org/officeDocument/2006/relationships/hyperlink" Target="https://www.worldometers.info/world-population/marshall-islands-population/" TargetMode="External"/><Relationship Id="rId253" Type="http://schemas.openxmlformats.org/officeDocument/2006/relationships/hyperlink" Target="https://www.worldometers.info/world-population/holy-see-population/" TargetMode="External"/><Relationship Id="rId27" Type="http://schemas.openxmlformats.org/officeDocument/2006/relationships/hyperlink" Target="https://www.worldometers.info/world-population/brazil-population/" TargetMode="External"/><Relationship Id="rId48" Type="http://schemas.openxmlformats.org/officeDocument/2006/relationships/hyperlink" Target="https://www.worldometers.info/world-population/south-korea-population/" TargetMode="External"/><Relationship Id="rId69" Type="http://schemas.openxmlformats.org/officeDocument/2006/relationships/hyperlink" Target="https://www.worldometers.info/world-population/madagascar-population/" TargetMode="External"/><Relationship Id="rId113" Type="http://schemas.openxmlformats.org/officeDocument/2006/relationships/hyperlink" Target="https://www.worldometers.info/world-population/hungary-population/" TargetMode="External"/><Relationship Id="rId134" Type="http://schemas.openxmlformats.org/officeDocument/2006/relationships/hyperlink" Target="https://www.worldometers.info/world-population/denmark-population/" TargetMode="External"/><Relationship Id="rId80" Type="http://schemas.openxmlformats.org/officeDocument/2006/relationships/hyperlink" Target="https://www.worldometers.info/world-population/sri-lanka-population/" TargetMode="External"/><Relationship Id="rId155" Type="http://schemas.openxmlformats.org/officeDocument/2006/relationships/hyperlink" Target="https://www.worldometers.info/world-population/puerto-rico-population/" TargetMode="External"/><Relationship Id="rId176" Type="http://schemas.openxmlformats.org/officeDocument/2006/relationships/hyperlink" Target="https://www.worldometers.info/world-population/mauritius-population/" TargetMode="External"/><Relationship Id="rId197" Type="http://schemas.openxmlformats.org/officeDocument/2006/relationships/hyperlink" Target="https://www.worldometers.info/world-population/belize-population/" TargetMode="External"/><Relationship Id="rId201" Type="http://schemas.openxmlformats.org/officeDocument/2006/relationships/hyperlink" Target="https://www.worldometers.info/world-population/mayotte-population/" TargetMode="External"/><Relationship Id="rId222" Type="http://schemas.openxmlformats.org/officeDocument/2006/relationships/hyperlink" Target="https://www.worldometers.info/world-population/dominica-population/" TargetMode="External"/><Relationship Id="rId243" Type="http://schemas.openxmlformats.org/officeDocument/2006/relationships/hyperlink" Target="https://www.worldometers.info/world-population/nauru-population/" TargetMode="External"/><Relationship Id="rId264" Type="http://schemas.openxmlformats.org/officeDocument/2006/relationships/hyperlink" Target="https://rabiesalliance.org/country/nigeria" TargetMode="External"/><Relationship Id="rId17" Type="http://schemas.openxmlformats.org/officeDocument/2006/relationships/hyperlink" Target="https://www.sciencedirect.com/science/article/pii/S0264410X1930475X?via%3Dihub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world-population/saudi-arabia-population/" TargetMode="External"/><Relationship Id="rId103" Type="http://schemas.openxmlformats.org/officeDocument/2006/relationships/hyperlink" Target="https://www.worldometers.info/world-population/dominican-republic-population/" TargetMode="External"/><Relationship Id="rId124" Type="http://schemas.openxmlformats.org/officeDocument/2006/relationships/hyperlink" Target="https://www.worldometers.info/world-population/serbia-population/" TargetMode="External"/><Relationship Id="rId70" Type="http://schemas.openxmlformats.org/officeDocument/2006/relationships/hyperlink" Target="https://www.worldometers.info/world-population/cote-d-ivoire-population/" TargetMode="External"/><Relationship Id="rId91" Type="http://schemas.openxmlformats.org/officeDocument/2006/relationships/hyperlink" Target="https://www.worldometers.info/world-population/netherlands-population/" TargetMode="External"/><Relationship Id="rId145" Type="http://schemas.openxmlformats.org/officeDocument/2006/relationships/hyperlink" Target="https://www.worldometers.info/world-population/mauritania-population/" TargetMode="External"/><Relationship Id="rId166" Type="http://schemas.openxmlformats.org/officeDocument/2006/relationships/hyperlink" Target="https://www.worldometers.info/world-population/lesotho-population/" TargetMode="External"/><Relationship Id="rId187" Type="http://schemas.openxmlformats.org/officeDocument/2006/relationships/hyperlink" Target="https://www.worldometers.info/world-population/luxembourg-population/" TargetMode="External"/><Relationship Id="rId1" Type="http://schemas.openxmlformats.org/officeDocument/2006/relationships/hyperlink" Target="https://www.sciencedirect.com/science/article/pii/S0264410X1930475X?via%3Dihub" TargetMode="External"/><Relationship Id="rId212" Type="http://schemas.openxmlformats.org/officeDocument/2006/relationships/hyperlink" Target="https://www.worldometers.info/world-population/kiribati-population/" TargetMode="External"/><Relationship Id="rId233" Type="http://schemas.openxmlformats.org/officeDocument/2006/relationships/hyperlink" Target="https://www.worldometers.info/world-population/liechtenstein-population/" TargetMode="External"/><Relationship Id="rId254" Type="http://schemas.openxmlformats.org/officeDocument/2006/relationships/hyperlink" Target="https://journals.plos.org/plosone/article?id=10.1371/journal.pone.0197330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world-population/uganda-population/" TargetMode="External"/><Relationship Id="rId114" Type="http://schemas.openxmlformats.org/officeDocument/2006/relationships/hyperlink" Target="https://www.worldometers.info/world-population/tajikistan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malawi-population/" TargetMode="External"/><Relationship Id="rId135" Type="http://schemas.openxmlformats.org/officeDocument/2006/relationships/hyperlink" Target="https://www.worldometers.info/world-population/slovakia-population/" TargetMode="External"/><Relationship Id="rId156" Type="http://schemas.openxmlformats.org/officeDocument/2006/relationships/hyperlink" Target="https://www.worldometers.info/world-population/bosnia-and-herzegovina-population/" TargetMode="External"/><Relationship Id="rId177" Type="http://schemas.openxmlformats.org/officeDocument/2006/relationships/hyperlink" Target="https://www.worldometers.info/world-population/cyprus-population/" TargetMode="External"/><Relationship Id="rId198" Type="http://schemas.openxmlformats.org/officeDocument/2006/relationships/hyperlink" Target="https://www.worldometers.info/world-population/guadeloupe-population/" TargetMode="External"/><Relationship Id="rId202" Type="http://schemas.openxmlformats.org/officeDocument/2006/relationships/hyperlink" Target="https://www.worldometers.info/world-population/vanuatu-population/" TargetMode="External"/><Relationship Id="rId223" Type="http://schemas.openxmlformats.org/officeDocument/2006/relationships/hyperlink" Target="https://www.worldometers.info/world-population/cayman-islands-population/" TargetMode="External"/><Relationship Id="rId244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sciencedirect.com/science/article/pii/S0264410X1930475X?via%3Dihub" TargetMode="External"/><Relationship Id="rId39" Type="http://schemas.openxmlformats.org/officeDocument/2006/relationships/hyperlink" Target="https://www.worldometers.info/world-population/thailand-population/" TargetMode="External"/><Relationship Id="rId265" Type="http://schemas.openxmlformats.org/officeDocument/2006/relationships/hyperlink" Target="https://www.sciencedirect.com/science/article/pii/S0001706X19305789?via%3Dihub" TargetMode="External"/><Relationship Id="rId50" Type="http://schemas.openxmlformats.org/officeDocument/2006/relationships/hyperlink" Target="https://www.worldometers.info/world-population/sudan-population/" TargetMode="External"/><Relationship Id="rId104" Type="http://schemas.openxmlformats.org/officeDocument/2006/relationships/hyperlink" Target="https://www.worldometers.info/world-population/cuba-population/" TargetMode="External"/><Relationship Id="rId125" Type="http://schemas.openxmlformats.org/officeDocument/2006/relationships/hyperlink" Target="https://www.worldometers.info/world-population/nicaragua-population/" TargetMode="External"/><Relationship Id="rId146" Type="http://schemas.openxmlformats.org/officeDocument/2006/relationships/hyperlink" Target="https://www.worldometers.info/world-population/oman-population/" TargetMode="External"/><Relationship Id="rId167" Type="http://schemas.openxmlformats.org/officeDocument/2006/relationships/hyperlink" Target="https://www.worldometers.info/world-population/guinea-bissau-population/" TargetMode="External"/><Relationship Id="rId188" Type="http://schemas.openxmlformats.org/officeDocument/2006/relationships/hyperlink" Target="https://www.worldometers.info/world-population/montenegro-population/" TargetMode="External"/><Relationship Id="rId71" Type="http://schemas.openxmlformats.org/officeDocument/2006/relationships/hyperlink" Target="https://www.worldometers.info/world-population/venezuela-population/" TargetMode="External"/><Relationship Id="rId92" Type="http://schemas.openxmlformats.org/officeDocument/2006/relationships/hyperlink" Target="https://www.worldometers.info/world-population/cambodia-population/" TargetMode="External"/><Relationship Id="rId213" Type="http://schemas.openxmlformats.org/officeDocument/2006/relationships/hyperlink" Target="https://www.worldometers.info/world-population/grenada-population/" TargetMode="External"/><Relationship Id="rId234" Type="http://schemas.openxmlformats.org/officeDocument/2006/relationships/hyperlink" Target="https://www.worldometers.info/world-population/monaco-population/" TargetMode="External"/><Relationship Id="rId2" Type="http://schemas.openxmlformats.org/officeDocument/2006/relationships/hyperlink" Target="https://www.sciencedirect.com/science/article/pii/S0264410X1930475X?via%3Dihub" TargetMode="External"/><Relationship Id="rId29" Type="http://schemas.openxmlformats.org/officeDocument/2006/relationships/hyperlink" Target="https://www.worldometers.info/world-population/russia-population/" TargetMode="External"/><Relationship Id="rId255" Type="http://schemas.openxmlformats.org/officeDocument/2006/relationships/hyperlink" Target="https://www.sciencedirect.com/science/article/pii/S0001706X19308307?via%3Dihub" TargetMode="External"/><Relationship Id="rId40" Type="http://schemas.openxmlformats.org/officeDocument/2006/relationships/hyperlink" Target="https://www.worldometers.info/world-population/uk-population/" TargetMode="External"/><Relationship Id="rId115" Type="http://schemas.openxmlformats.org/officeDocument/2006/relationships/hyperlink" Target="https://www.worldometers.info/world-population/united-arab-emirates-population/" TargetMode="External"/><Relationship Id="rId136" Type="http://schemas.openxmlformats.org/officeDocument/2006/relationships/hyperlink" Target="https://www.worldometers.info/world-population/central-african-republic-population/" TargetMode="External"/><Relationship Id="rId157" Type="http://schemas.openxmlformats.org/officeDocument/2006/relationships/hyperlink" Target="https://www.worldometers.info/world-population/albania-population/" TargetMode="External"/><Relationship Id="rId178" Type="http://schemas.openxmlformats.org/officeDocument/2006/relationships/hyperlink" Target="https://www.worldometers.info/world-population/swaziland-population/" TargetMode="External"/><Relationship Id="rId61" Type="http://schemas.openxmlformats.org/officeDocument/2006/relationships/hyperlink" Target="https://www.worldometers.info/world-population/angola-population/" TargetMode="External"/><Relationship Id="rId82" Type="http://schemas.openxmlformats.org/officeDocument/2006/relationships/hyperlink" Target="https://www.worldometers.info/world-population/zambia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french-guiana-population/" TargetMode="External"/><Relationship Id="rId19" Type="http://schemas.openxmlformats.org/officeDocument/2006/relationships/hyperlink" Target="https://www.sciencedirect.com/science/article/pii/S0264410X1930475X?via%3Dihub" TargetMode="External"/><Relationship Id="rId224" Type="http://schemas.openxmlformats.org/officeDocument/2006/relationships/hyperlink" Target="https://www.worldometers.info/world-population/bermuda-population/" TargetMode="External"/><Relationship Id="rId245" Type="http://schemas.openxmlformats.org/officeDocument/2006/relationships/hyperlink" Target="https://www.worldometers.info/world-population/tuvalu-population/" TargetMode="External"/><Relationship Id="rId266" Type="http://schemas.openxmlformats.org/officeDocument/2006/relationships/hyperlink" Target="https://rabiesalliance.org/country/ethiopia" TargetMode="External"/><Relationship Id="rId30" Type="http://schemas.openxmlformats.org/officeDocument/2006/relationships/hyperlink" Target="https://www.worldometers.info/world-population/mexico-population/" TargetMode="External"/><Relationship Id="rId105" Type="http://schemas.openxmlformats.org/officeDocument/2006/relationships/hyperlink" Target="https://www.worldometers.info/world-population/south-sudan-population/" TargetMode="External"/><Relationship Id="rId126" Type="http://schemas.openxmlformats.org/officeDocument/2006/relationships/hyperlink" Target="https://www.worldometers.info/world-population/libya-population/" TargetMode="External"/><Relationship Id="rId147" Type="http://schemas.openxmlformats.org/officeDocument/2006/relationships/hyperlink" Target="https://www.worldometers.info/world-population/panama-population/" TargetMode="External"/><Relationship Id="rId168" Type="http://schemas.openxmlformats.org/officeDocument/2006/relationships/hyperlink" Target="https://www.worldometers.info/world-population/slovenia-population/" TargetMode="External"/><Relationship Id="rId51" Type="http://schemas.openxmlformats.org/officeDocument/2006/relationships/hyperlink" Target="https://www.worldometers.info/world-population/spain-population/" TargetMode="External"/><Relationship Id="rId72" Type="http://schemas.openxmlformats.org/officeDocument/2006/relationships/hyperlink" Target="https://www.worldometers.info/world-population/cameroon-population/" TargetMode="External"/><Relationship Id="rId93" Type="http://schemas.openxmlformats.org/officeDocument/2006/relationships/hyperlink" Target="https://www.worldometers.info/world-population/zimbabwe-population/" TargetMode="External"/><Relationship Id="rId189" Type="http://schemas.openxmlformats.org/officeDocument/2006/relationships/hyperlink" Target="https://www.worldometers.info/world-population/suriname-population/" TargetMode="External"/><Relationship Id="rId3" Type="http://schemas.openxmlformats.org/officeDocument/2006/relationships/hyperlink" Target="https://www.sciencedirect.com/science/article/pii/S0264410X1930475X?via%3Dihub" TargetMode="External"/><Relationship Id="rId214" Type="http://schemas.openxmlformats.org/officeDocument/2006/relationships/hyperlink" Target="https://www.worldometers.info/world-population/tonga-population/" TargetMode="External"/><Relationship Id="rId235" Type="http://schemas.openxmlformats.org/officeDocument/2006/relationships/hyperlink" Target="https://www.worldometers.info/world-population/san-marino-population/" TargetMode="External"/><Relationship Id="rId256" Type="http://schemas.openxmlformats.org/officeDocument/2006/relationships/hyperlink" Target="https://journals.plos.org/plosntds/article?id=10.1371/journal.pntd.0012064" TargetMode="External"/><Relationship Id="rId116" Type="http://schemas.openxmlformats.org/officeDocument/2006/relationships/hyperlink" Target="https://www.worldometers.info/world-population/belarus-population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world-population/jamaica-population/" TargetMode="External"/><Relationship Id="rId20" Type="http://schemas.openxmlformats.org/officeDocument/2006/relationships/hyperlink" Target="https://www.sciencedirect.com/science/article/pii/S0264410X1930475X?via%3Dihub" TargetMode="External"/><Relationship Id="rId41" Type="http://schemas.openxmlformats.org/officeDocument/2006/relationships/hyperlink" Target="https://www.worldometers.info/world-population/tanzania-population/" TargetMode="External"/><Relationship Id="rId62" Type="http://schemas.openxmlformats.org/officeDocument/2006/relationships/hyperlink" Target="https://www.worldometers.info/world-population/uzbekistan-population/" TargetMode="External"/><Relationship Id="rId83" Type="http://schemas.openxmlformats.org/officeDocument/2006/relationships/hyperlink" Target="https://www.worldometers.info/world-population/romania-population/" TargetMode="External"/><Relationship Id="rId179" Type="http://schemas.openxmlformats.org/officeDocument/2006/relationships/hyperlink" Target="https://www.worldometers.info/world-population/djibouti-population/" TargetMode="External"/><Relationship Id="rId190" Type="http://schemas.openxmlformats.org/officeDocument/2006/relationships/hyperlink" Target="https://www.worldometers.info/world-population/cabo-verde-population/" TargetMode="External"/><Relationship Id="rId204" Type="http://schemas.openxmlformats.org/officeDocument/2006/relationships/hyperlink" Target="https://www.worldometers.info/world-population/french-polynesia-population/" TargetMode="External"/><Relationship Id="rId225" Type="http://schemas.openxmlformats.org/officeDocument/2006/relationships/hyperlink" Target="https://www.worldometers.info/world-population/greenland-population/" TargetMode="External"/><Relationship Id="rId246" Type="http://schemas.openxmlformats.org/officeDocument/2006/relationships/hyperlink" Target="https://www.worldometers.info/world-population/saint-barthelemy-population/" TargetMode="External"/><Relationship Id="rId267" Type="http://schemas.openxmlformats.org/officeDocument/2006/relationships/hyperlink" Target="https://rabiesalliance.org/country/chad" TargetMode="External"/><Relationship Id="rId106" Type="http://schemas.openxmlformats.org/officeDocument/2006/relationships/hyperlink" Target="https://www.worldometers.info/world-population/sweden-population/" TargetMode="External"/><Relationship Id="rId127" Type="http://schemas.openxmlformats.org/officeDocument/2006/relationships/hyperlink" Target="https://www.worldometers.info/world-population/paraguay-population/" TargetMode="External"/><Relationship Id="rId10" Type="http://schemas.openxmlformats.org/officeDocument/2006/relationships/hyperlink" Target="https://www.sciencedirect.com/science/article/pii/S0264410X1930475X?via%3Dihub" TargetMode="External"/><Relationship Id="rId31" Type="http://schemas.openxmlformats.org/officeDocument/2006/relationships/hyperlink" Target="https://www.worldometers.info/world-population/ethiopia-population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world-population/niger-population/" TargetMode="External"/><Relationship Id="rId94" Type="http://schemas.openxmlformats.org/officeDocument/2006/relationships/hyperlink" Target="https://www.worldometers.info/world-population/guinea-population/" TargetMode="External"/><Relationship Id="rId148" Type="http://schemas.openxmlformats.org/officeDocument/2006/relationships/hyperlink" Target="https://www.worldometers.info/world-population/kuwait-population/" TargetMode="External"/><Relationship Id="rId169" Type="http://schemas.openxmlformats.org/officeDocument/2006/relationships/hyperlink" Target="https://www.worldometers.info/world-population/macedonia-population/" TargetMode="External"/><Relationship Id="rId4" Type="http://schemas.openxmlformats.org/officeDocument/2006/relationships/hyperlink" Target="https://www.sciencedirect.com/science/article/pii/S0264410X1930475X?via%3Dihub" TargetMode="External"/><Relationship Id="rId180" Type="http://schemas.openxmlformats.org/officeDocument/2006/relationships/hyperlink" Target="https://www.worldometers.info/world-population/reunion-population/" TargetMode="External"/><Relationship Id="rId215" Type="http://schemas.openxmlformats.org/officeDocument/2006/relationships/hyperlink" Target="https://www.worldometers.info/world-population/seychelles-population/" TargetMode="External"/><Relationship Id="rId236" Type="http://schemas.openxmlformats.org/officeDocument/2006/relationships/hyperlink" Target="https://www.worldometers.info/world-population/gibraltar-population/" TargetMode="External"/><Relationship Id="rId257" Type="http://schemas.openxmlformats.org/officeDocument/2006/relationships/hyperlink" Target="https://www.sciencedirect.com/science/article/pii/S2468042720301135?via%3Dihub" TargetMode="External"/><Relationship Id="rId42" Type="http://schemas.openxmlformats.org/officeDocument/2006/relationships/hyperlink" Target="https://www.worldometers.info/world-population/france-population/" TargetMode="External"/><Relationship Id="rId84" Type="http://schemas.openxmlformats.org/officeDocument/2006/relationships/hyperlink" Target="https://www.worldometers.info/world-population/chile-population/" TargetMode="External"/><Relationship Id="rId138" Type="http://schemas.openxmlformats.org/officeDocument/2006/relationships/hyperlink" Target="https://www.worldometers.info/world-population/norway-population/" TargetMode="External"/><Relationship Id="rId191" Type="http://schemas.openxmlformats.org/officeDocument/2006/relationships/hyperlink" Target="https://www.worldometers.info/world-population/western-sahara-population/" TargetMode="External"/><Relationship Id="rId205" Type="http://schemas.openxmlformats.org/officeDocument/2006/relationships/hyperlink" Target="https://www.worldometers.info/world-population/new-caledonia-population/" TargetMode="External"/><Relationship Id="rId247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honduras-popula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7248-CA14-4293-824E-25058B78D42D}">
  <dimension ref="B1:BA114"/>
  <sheetViews>
    <sheetView tabSelected="1" topLeftCell="A3" workbookViewId="0">
      <pane xSplit="34" ySplit="8" topLeftCell="BB11" activePane="bottomRight" state="frozen"/>
      <selection activeCell="A3" sqref="A3"/>
      <selection pane="topRight" activeCell="AI3" sqref="AI3"/>
      <selection pane="bottomLeft" activeCell="A11" sqref="A11"/>
      <selection pane="bottomRight" activeCell="BA99" sqref="BA99"/>
    </sheetView>
  </sheetViews>
  <sheetFormatPr baseColWidth="10" defaultColWidth="9.1640625" defaultRowHeight="15" x14ac:dyDescent="0.2"/>
  <cols>
    <col min="1" max="1" width="9.1640625" style="4"/>
    <col min="2" max="2" width="26.5" style="4" customWidth="1"/>
    <col min="3" max="4" width="14.5" style="4" customWidth="1"/>
    <col min="5" max="6" width="14.5" style="4" hidden="1" customWidth="1"/>
    <col min="7" max="12" width="0" style="7" hidden="1" customWidth="1"/>
    <col min="13" max="14" width="0" style="4" hidden="1" customWidth="1"/>
    <col min="15" max="16" width="9.33203125" style="4" hidden="1" customWidth="1"/>
    <col min="17" max="17" width="11" style="4" hidden="1" customWidth="1"/>
    <col min="18" max="19" width="0" style="4" hidden="1" customWidth="1"/>
    <col min="20" max="21" width="9.33203125" style="4" hidden="1" customWidth="1"/>
    <col min="22" max="22" width="12.5" style="4" hidden="1" customWidth="1"/>
    <col min="23" max="28" width="11.33203125" style="4" hidden="1" customWidth="1"/>
    <col min="29" max="31" width="15.5" style="4" hidden="1" customWidth="1"/>
    <col min="32" max="33" width="15.5" style="8" hidden="1" customWidth="1"/>
    <col min="34" max="48" width="15.5" style="4" customWidth="1"/>
    <col min="49" max="53" width="13.6640625" style="4" customWidth="1"/>
    <col min="54" max="16384" width="9.1640625" style="4"/>
  </cols>
  <sheetData>
    <row r="1" spans="2:53" x14ac:dyDescent="0.2"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2:53" x14ac:dyDescent="0.2"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3"/>
      <c r="AG2" s="3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2:53" ht="20" x14ac:dyDescent="0.2">
      <c r="B3" s="5"/>
      <c r="C3" s="5"/>
      <c r="D3" s="5"/>
      <c r="E3" s="5"/>
      <c r="F3" s="5"/>
      <c r="G3" s="6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3"/>
      <c r="AG3" s="3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2:53" ht="20" x14ac:dyDescent="0.2">
      <c r="B4" s="5"/>
      <c r="C4" s="5"/>
      <c r="D4" s="5"/>
      <c r="E4" s="5"/>
      <c r="F4" s="5"/>
      <c r="G4" s="6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3"/>
      <c r="AG4" s="3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6" spans="2:53" ht="16" thickBot="1" x14ac:dyDescent="0.25"/>
    <row r="7" spans="2:53" ht="17" thickBot="1" x14ac:dyDescent="0.25">
      <c r="E7" s="262" t="s">
        <v>0</v>
      </c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3" t="s">
        <v>1</v>
      </c>
      <c r="X7" s="264"/>
      <c r="Y7" s="264"/>
      <c r="Z7" s="264"/>
      <c r="AA7" s="264"/>
      <c r="AB7" s="265"/>
      <c r="AC7" s="272" t="s">
        <v>2</v>
      </c>
      <c r="AD7" s="273"/>
      <c r="AE7" s="273"/>
      <c r="AF7" s="273"/>
      <c r="AG7" s="274"/>
      <c r="AH7" s="278" t="s">
        <v>3</v>
      </c>
      <c r="AI7" s="275" t="s">
        <v>4</v>
      </c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</row>
    <row r="8" spans="2:53" ht="16.5" customHeight="1" thickBot="1" x14ac:dyDescent="0.25">
      <c r="B8" s="283" t="s">
        <v>5</v>
      </c>
      <c r="C8" s="286" t="s">
        <v>6</v>
      </c>
      <c r="D8" s="9"/>
      <c r="E8" s="258" t="s">
        <v>7</v>
      </c>
      <c r="F8" s="258"/>
      <c r="G8" s="258"/>
      <c r="H8" s="258"/>
      <c r="I8" s="261" t="s">
        <v>8</v>
      </c>
      <c r="J8" s="261"/>
      <c r="K8" s="261"/>
      <c r="L8" s="261"/>
      <c r="M8" s="11"/>
      <c r="N8" s="11"/>
      <c r="O8" s="11"/>
      <c r="P8" s="11"/>
      <c r="Q8" s="11"/>
      <c r="R8" s="11"/>
      <c r="S8" s="11"/>
      <c r="T8" s="11"/>
      <c r="U8" s="11"/>
      <c r="V8" s="289"/>
      <c r="W8" s="266"/>
      <c r="X8" s="267"/>
      <c r="Y8" s="267"/>
      <c r="Z8" s="267"/>
      <c r="AA8" s="267"/>
      <c r="AB8" s="268"/>
      <c r="AC8" s="275"/>
      <c r="AD8" s="276"/>
      <c r="AE8" s="276"/>
      <c r="AF8" s="276"/>
      <c r="AG8" s="277"/>
      <c r="AH8" s="279"/>
      <c r="AI8" s="275"/>
      <c r="AJ8" s="276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6"/>
      <c r="AX8" s="276"/>
      <c r="AY8" s="276"/>
      <c r="AZ8" s="276"/>
      <c r="BA8" s="276"/>
    </row>
    <row r="9" spans="2:53" ht="16.5" customHeight="1" thickBot="1" x14ac:dyDescent="0.25">
      <c r="B9" s="284"/>
      <c r="C9" s="287"/>
      <c r="D9" s="9"/>
      <c r="E9" s="257" t="s">
        <v>9</v>
      </c>
      <c r="F9" s="257" t="s">
        <v>10</v>
      </c>
      <c r="G9" s="259" t="s">
        <v>11</v>
      </c>
      <c r="H9" s="259"/>
      <c r="I9" s="260" t="s">
        <v>9</v>
      </c>
      <c r="J9" s="260" t="s">
        <v>10</v>
      </c>
      <c r="K9" s="259" t="s">
        <v>11</v>
      </c>
      <c r="L9" s="259"/>
      <c r="M9" s="13"/>
      <c r="N9" s="13"/>
      <c r="O9" s="13"/>
      <c r="P9" s="13"/>
      <c r="Q9" s="13"/>
      <c r="R9" s="13"/>
      <c r="S9" s="13"/>
      <c r="T9" s="13"/>
      <c r="U9" s="13"/>
      <c r="V9" s="290"/>
      <c r="W9" s="269"/>
      <c r="X9" s="270"/>
      <c r="Y9" s="270"/>
      <c r="Z9" s="270"/>
      <c r="AA9" s="270"/>
      <c r="AB9" s="271"/>
      <c r="AC9" s="275"/>
      <c r="AD9" s="276"/>
      <c r="AE9" s="276"/>
      <c r="AF9" s="276"/>
      <c r="AG9" s="277"/>
      <c r="AH9" s="280"/>
      <c r="AI9" s="281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</row>
    <row r="10" spans="2:53" ht="71" thickBot="1" x14ac:dyDescent="0.25">
      <c r="B10" s="285"/>
      <c r="C10" s="288"/>
      <c r="D10" s="14" t="s">
        <v>12</v>
      </c>
      <c r="E10" s="258"/>
      <c r="F10" s="258"/>
      <c r="G10" s="10" t="s">
        <v>13</v>
      </c>
      <c r="H10" s="10" t="s">
        <v>14</v>
      </c>
      <c r="I10" s="261"/>
      <c r="J10" s="261"/>
      <c r="K10" s="10" t="s">
        <v>13</v>
      </c>
      <c r="L10" s="10" t="s">
        <v>14</v>
      </c>
      <c r="M10" s="11"/>
      <c r="N10" s="11"/>
      <c r="O10" s="11"/>
      <c r="P10" s="11"/>
      <c r="Q10" s="15" t="s">
        <v>15</v>
      </c>
      <c r="R10" s="11"/>
      <c r="S10" s="11"/>
      <c r="T10" s="11"/>
      <c r="U10" s="11"/>
      <c r="V10" s="16" t="s">
        <v>16</v>
      </c>
      <c r="W10" s="17" t="s">
        <v>17</v>
      </c>
      <c r="X10" s="18" t="s">
        <v>18</v>
      </c>
      <c r="Y10" s="18" t="s">
        <v>19</v>
      </c>
      <c r="Z10" s="19" t="s">
        <v>20</v>
      </c>
      <c r="AA10" s="19" t="s">
        <v>21</v>
      </c>
      <c r="AB10" s="19" t="s">
        <v>22</v>
      </c>
      <c r="AC10" s="20" t="s">
        <v>23</v>
      </c>
      <c r="AD10" s="21" t="s">
        <v>24</v>
      </c>
      <c r="AE10" s="21" t="s">
        <v>25</v>
      </c>
      <c r="AF10" s="22" t="s">
        <v>26</v>
      </c>
      <c r="AG10" s="23" t="s">
        <v>27</v>
      </c>
      <c r="AH10" s="24" t="s">
        <v>28</v>
      </c>
      <c r="AI10" s="25" t="s">
        <v>29</v>
      </c>
      <c r="AJ10" s="24" t="s">
        <v>30</v>
      </c>
      <c r="AK10" s="24" t="s">
        <v>31</v>
      </c>
      <c r="AL10" s="24" t="s">
        <v>32</v>
      </c>
      <c r="AM10" s="26" t="s">
        <v>33</v>
      </c>
      <c r="AN10" s="26" t="s">
        <v>34</v>
      </c>
      <c r="AO10" s="27" t="s">
        <v>35</v>
      </c>
      <c r="AP10" s="28" t="s">
        <v>36</v>
      </c>
      <c r="AQ10" s="29" t="s">
        <v>37</v>
      </c>
      <c r="AR10" s="24" t="s">
        <v>38</v>
      </c>
      <c r="AS10" s="26" t="s">
        <v>39</v>
      </c>
      <c r="AT10" s="26" t="s">
        <v>34</v>
      </c>
      <c r="AU10" s="26" t="s">
        <v>40</v>
      </c>
      <c r="AV10" s="26" t="s">
        <v>41</v>
      </c>
      <c r="AW10" s="26" t="s">
        <v>42</v>
      </c>
      <c r="AX10" s="26" t="s">
        <v>43</v>
      </c>
      <c r="AY10" s="26" t="s">
        <v>44</v>
      </c>
      <c r="AZ10" s="26" t="s">
        <v>45</v>
      </c>
      <c r="BA10" s="27" t="s">
        <v>46</v>
      </c>
    </row>
    <row r="11" spans="2:53" x14ac:dyDescent="0.2">
      <c r="B11" s="30" t="s">
        <v>47</v>
      </c>
      <c r="C11" s="31" t="s">
        <v>48</v>
      </c>
      <c r="D11" s="32">
        <v>45606480</v>
      </c>
      <c r="E11" s="33" t="s">
        <v>49</v>
      </c>
      <c r="F11" s="33" t="s">
        <v>50</v>
      </c>
      <c r="G11" s="34" t="s">
        <v>51</v>
      </c>
      <c r="H11" s="34" t="s">
        <v>52</v>
      </c>
      <c r="I11" s="34" t="s">
        <v>53</v>
      </c>
      <c r="J11" s="34" t="s">
        <v>54</v>
      </c>
      <c r="K11" s="34" t="s">
        <v>55</v>
      </c>
      <c r="L11" s="34" t="s">
        <v>56</v>
      </c>
      <c r="M11" s="13" t="str">
        <f t="shared" ref="M11:M74" si="0">LEFT(G11,4)</f>
        <v>4.25</v>
      </c>
      <c r="N11" s="13" t="str">
        <f t="shared" ref="N11:N74" si="1">RIGHT(G11,1)</f>
        <v>4</v>
      </c>
      <c r="O11" s="13">
        <f t="shared" ref="O11:O74" si="2">M11*1</f>
        <v>4.25</v>
      </c>
      <c r="P11" s="13">
        <f t="shared" ref="P11:P74" si="3">N11*-1</f>
        <v>-4</v>
      </c>
      <c r="Q11" s="13">
        <f t="shared" ref="Q11:Q74" si="4">O11*10^P11</f>
        <v>4.2500000000000003E-4</v>
      </c>
      <c r="R11" s="13" t="str">
        <f t="shared" ref="R11:R74" si="5">LEFT(H11,4)</f>
        <v>4.50</v>
      </c>
      <c r="S11" s="13" t="str">
        <f t="shared" ref="S11:S74" si="6">RIGHT(H11,1)</f>
        <v>3</v>
      </c>
      <c r="T11" s="13">
        <f t="shared" ref="T11:T74" si="7">R11*1</f>
        <v>4.5</v>
      </c>
      <c r="U11" s="13">
        <f t="shared" ref="U11:U74" si="8">S11*-1</f>
        <v>-3</v>
      </c>
      <c r="V11" s="35">
        <f>T11*10^U11</f>
        <v>4.5000000000000005E-3</v>
      </c>
      <c r="W11" s="36">
        <v>6.3383211451814039E-2</v>
      </c>
      <c r="X11" s="36">
        <v>3.3165028744479179E-2</v>
      </c>
      <c r="Y11" s="36">
        <v>0.1155707752120588</v>
      </c>
      <c r="Z11" s="37">
        <v>29.461416367353699</v>
      </c>
      <c r="AA11" s="37">
        <v>15.415576117015929</v>
      </c>
      <c r="AB11" s="38">
        <v>53.718936772536424</v>
      </c>
      <c r="AC11" s="39" t="e">
        <v>#N/A</v>
      </c>
      <c r="AD11" s="39" t="e">
        <v>#N/A</v>
      </c>
      <c r="AE11" s="39" t="e">
        <v>#N/A</v>
      </c>
      <c r="AF11" s="40" t="e">
        <v>#N/A</v>
      </c>
      <c r="AG11" s="41" t="e">
        <v>#N/A</v>
      </c>
      <c r="AH11" s="42">
        <v>58.7</v>
      </c>
      <c r="AI11" s="43"/>
      <c r="AJ11" s="44">
        <f>0.0000002*(AH11^3.4709)</f>
        <v>0.27529351519313289</v>
      </c>
      <c r="AK11" s="45">
        <f xml:space="preserve"> MAX(10,680.12*LN(AH11)-2242.8)</f>
        <v>526.94770701437437</v>
      </c>
      <c r="AL11" s="45">
        <f>AK11/100000*D11</f>
        <v>240322.30060996924</v>
      </c>
      <c r="AM11" s="45">
        <f>AL11/3.5</f>
        <v>68663.514459991216</v>
      </c>
      <c r="AN11" s="45">
        <f>AM11*0.7</f>
        <v>48064.460121993849</v>
      </c>
      <c r="AO11" s="45">
        <f>AN11*1.25</f>
        <v>60080.575152492311</v>
      </c>
      <c r="AP11" s="43" t="str">
        <f>IF(AH11&lt;31,"None",IF(AH11&lt;37,"Limited",IF(AH11&lt;47,"Accessible","Widely Accessible")))</f>
        <v>Widely Accessible</v>
      </c>
      <c r="AQ11" s="45">
        <f>IF(AP11="None", AK11*'[1]Gavi Simplified'!$Y$3, IF(AP11="Limited", AK11*'[1]Gavi Simplified'!$Y$4, IF(AP11="Accessible", AK11*'[1]Gavi Simplified'!$Y$5, AK11)))</f>
        <v>526.94770701437437</v>
      </c>
      <c r="AR11" s="45">
        <f>AQ11/100000*D11</f>
        <v>240322.30060996924</v>
      </c>
      <c r="AS11" s="45">
        <f>AR11/3.5</f>
        <v>68663.514459991216</v>
      </c>
      <c r="AT11" s="45">
        <f>AS11*0.7</f>
        <v>48064.460121993849</v>
      </c>
      <c r="AU11" s="45">
        <f>AT11*1.25</f>
        <v>60080.575152492311</v>
      </c>
      <c r="AV11" s="45">
        <f>AO11+(AU11/AO11/5*2*AO11)+(AU11/AO11/5*3*AO11)+(AU11/AO11/5*4*AO11)+AU11</f>
        <v>228306.18557947077</v>
      </c>
      <c r="AW11" s="45">
        <f>AO11</f>
        <v>60080.575152492311</v>
      </c>
      <c r="AX11" s="45">
        <f>IF(AP11="Widely Accessible",AO11,(AU11/AO11/5*2*AO11))</f>
        <v>60080.575152492311</v>
      </c>
      <c r="AY11" s="45">
        <f>IF(AP11="Widely Accessible",AO11,(AU11/AO11/5*3*AO11))</f>
        <v>60080.575152492311</v>
      </c>
      <c r="AZ11" s="45">
        <f>IF(AP11="Widely Accessible",AO11,(AU11/AO11/5*4*AO11))</f>
        <v>60080.575152492311</v>
      </c>
      <c r="BA11" s="45">
        <f>AU11</f>
        <v>60080.575152492311</v>
      </c>
    </row>
    <row r="12" spans="2:53" x14ac:dyDescent="0.2">
      <c r="B12" s="12" t="s">
        <v>57</v>
      </c>
      <c r="C12" s="46" t="s">
        <v>58</v>
      </c>
      <c r="D12" s="32">
        <v>42239854</v>
      </c>
      <c r="E12" s="47" t="s">
        <v>59</v>
      </c>
      <c r="F12" s="47" t="s">
        <v>60</v>
      </c>
      <c r="G12" s="48" t="s">
        <v>61</v>
      </c>
      <c r="H12" s="48" t="s">
        <v>62</v>
      </c>
      <c r="I12" s="48" t="s">
        <v>63</v>
      </c>
      <c r="J12" s="48" t="s">
        <v>64</v>
      </c>
      <c r="K12" s="48" t="s">
        <v>65</v>
      </c>
      <c r="L12" s="48" t="s">
        <v>66</v>
      </c>
      <c r="M12" s="13" t="str">
        <f t="shared" si="0"/>
        <v>7.40</v>
      </c>
      <c r="N12" s="13" t="str">
        <f t="shared" si="1"/>
        <v>4</v>
      </c>
      <c r="O12" s="13">
        <f t="shared" si="2"/>
        <v>7.4</v>
      </c>
      <c r="P12" s="13">
        <f t="shared" si="3"/>
        <v>-4</v>
      </c>
      <c r="Q12" s="13">
        <f t="shared" si="4"/>
        <v>7.400000000000001E-4</v>
      </c>
      <c r="R12" s="13" t="str">
        <f t="shared" si="5"/>
        <v>7.50</v>
      </c>
      <c r="S12" s="13" t="str">
        <f t="shared" si="6"/>
        <v>3</v>
      </c>
      <c r="T12" s="13">
        <f t="shared" si="7"/>
        <v>7.5</v>
      </c>
      <c r="U12" s="13">
        <f t="shared" si="8"/>
        <v>-3</v>
      </c>
      <c r="V12" s="49">
        <f t="shared" ref="V12:V75" si="9">T12*10^U12</f>
        <v>7.4999999999999997E-3</v>
      </c>
      <c r="W12" s="50">
        <v>1.6055672873069451</v>
      </c>
      <c r="X12" s="50">
        <v>0.77876946961965432</v>
      </c>
      <c r="Y12" s="50">
        <v>4.8428007313426766</v>
      </c>
      <c r="Z12" s="51">
        <v>669.25594511065242</v>
      </c>
      <c r="AA12" s="51">
        <v>324.61803471833161</v>
      </c>
      <c r="AB12" s="52">
        <v>2018.6467462684971</v>
      </c>
      <c r="AC12" s="4">
        <v>270</v>
      </c>
      <c r="AD12" s="4">
        <v>380</v>
      </c>
      <c r="AE12" s="4">
        <v>530</v>
      </c>
      <c r="AF12" s="53" t="e">
        <v>#N/A</v>
      </c>
      <c r="AG12" s="54" t="e">
        <v>#N/A</v>
      </c>
      <c r="AH12" s="55">
        <v>28.9</v>
      </c>
      <c r="AI12" s="43">
        <v>2</v>
      </c>
      <c r="AJ12" s="44">
        <f t="shared" ref="AJ12:AJ75" si="10">0.0000002*(AH12^3.4709)</f>
        <v>2.3532080104898909E-2</v>
      </c>
      <c r="AK12" s="45">
        <f t="shared" ref="AK12:AK75" si="11" xml:space="preserve"> MAX(10,680.12*LN(AH12)-2242.8)</f>
        <v>45.015945671916597</v>
      </c>
      <c r="AL12" s="45">
        <f t="shared" ref="AL12:AL75" si="12">AK12/100000*D12</f>
        <v>19014.66972853689</v>
      </c>
      <c r="AM12" s="45">
        <f t="shared" ref="AM12:AM75" si="13">AL12/3.5</f>
        <v>5432.762779581969</v>
      </c>
      <c r="AN12" s="45">
        <f t="shared" ref="AN12:AN75" si="14">AM12*0.7</f>
        <v>3802.9339457073779</v>
      </c>
      <c r="AO12" s="45">
        <f t="shared" ref="AO12:AO75" si="15">AN12*1.25</f>
        <v>4753.6674321342225</v>
      </c>
      <c r="AP12" s="43" t="str">
        <f t="shared" ref="AP12:AP75" si="16">IF(AH12&lt;31,"None",IF(AH12&lt;37,"Limited",IF(AH12&lt;47,"Accessible","Widely Accessible")))</f>
        <v>None</v>
      </c>
      <c r="AQ12" s="45">
        <f>IF(AP12="None", AK12*'[1]Gavi Simplified'!$Y$3, IF(AP12="Limited", AK12*'[1]Gavi Simplified'!$Y$4, IF(AP12="Accessible", AK12*'[1]Gavi Simplified'!$Y$5, AK12)))</f>
        <v>190.43528802570918</v>
      </c>
      <c r="AR12" s="45">
        <f t="shared" ref="AR12:AR75" si="17">AQ12/100000*D12</f>
        <v>80439.58762653904</v>
      </c>
      <c r="AS12" s="45">
        <f t="shared" ref="AS12:AS75" si="18">AR12/3.5</f>
        <v>22982.739321868296</v>
      </c>
      <c r="AT12" s="45">
        <f t="shared" ref="AT12:AT75" si="19">AS12*0.7</f>
        <v>16087.917525307806</v>
      </c>
      <c r="AU12" s="45">
        <f t="shared" ref="AU12:AU75" si="20">AT12*1.25</f>
        <v>20109.896906634756</v>
      </c>
      <c r="AV12" s="45">
        <f t="shared" ref="AV12:AV75" si="21">AO12+(AU12/AO12/5*2*AO12)+(AU12/AO12/5*3*AO12)+(AU12/AO12/5*4*AO12)+AU12</f>
        <v>61061.378770711541</v>
      </c>
      <c r="AW12" s="45">
        <f t="shared" ref="AW12:AW75" si="22">AO12</f>
        <v>4753.6674321342225</v>
      </c>
      <c r="AX12" s="45">
        <f t="shared" ref="AX12:AX75" si="23">IF(AP12="Widely Accessible",AO12,(AU12/AO12/5*2*AO12))</f>
        <v>8043.9587626539023</v>
      </c>
      <c r="AY12" s="45">
        <f t="shared" ref="AY12:AY75" si="24">IF(AP12="Widely Accessible",AO12,(AU12/AO12/5*3*AO12))</f>
        <v>12065.938143980855</v>
      </c>
      <c r="AZ12" s="45">
        <f t="shared" ref="AZ12:AZ75" si="25">IF(AP12="Widely Accessible",AO12,(AU12/AO12/5*4*AO12))</f>
        <v>16087.917525307805</v>
      </c>
      <c r="BA12" s="45">
        <f t="shared" ref="BA12:BA75" si="26">AU12</f>
        <v>20109.896906634756</v>
      </c>
    </row>
    <row r="13" spans="2:53" x14ac:dyDescent="0.2">
      <c r="B13" s="56" t="s">
        <v>67</v>
      </c>
      <c r="C13" s="57" t="s">
        <v>68</v>
      </c>
      <c r="D13" s="32">
        <v>36684202</v>
      </c>
      <c r="E13" s="58" t="s">
        <v>69</v>
      </c>
      <c r="F13" s="58" t="s">
        <v>70</v>
      </c>
      <c r="G13" s="59" t="s">
        <v>71</v>
      </c>
      <c r="H13" s="59" t="s">
        <v>72</v>
      </c>
      <c r="I13" s="59" t="s">
        <v>73</v>
      </c>
      <c r="J13" s="59" t="s">
        <v>74</v>
      </c>
      <c r="K13" s="59" t="s">
        <v>75</v>
      </c>
      <c r="L13" s="59" t="s">
        <v>76</v>
      </c>
      <c r="M13" s="13" t="str">
        <f t="shared" si="0"/>
        <v>7.17</v>
      </c>
      <c r="N13" s="13" t="str">
        <f t="shared" si="1"/>
        <v>4</v>
      </c>
      <c r="O13" s="13">
        <f t="shared" si="2"/>
        <v>7.17</v>
      </c>
      <c r="P13" s="13">
        <f t="shared" si="3"/>
        <v>-4</v>
      </c>
      <c r="Q13" s="13">
        <f t="shared" si="4"/>
        <v>7.1700000000000008E-4</v>
      </c>
      <c r="R13" s="13" t="str">
        <f t="shared" si="5"/>
        <v>7.83</v>
      </c>
      <c r="S13" s="13" t="str">
        <f t="shared" si="6"/>
        <v>3</v>
      </c>
      <c r="T13" s="13">
        <f t="shared" si="7"/>
        <v>7.83</v>
      </c>
      <c r="U13" s="13">
        <f t="shared" si="8"/>
        <v>-3</v>
      </c>
      <c r="V13" s="49">
        <f t="shared" si="9"/>
        <v>7.8300000000000002E-3</v>
      </c>
      <c r="W13" s="50">
        <v>1.235493735290079</v>
      </c>
      <c r="X13" s="50">
        <v>0.90194985567612174</v>
      </c>
      <c r="Y13" s="50">
        <v>1.486001116930397</v>
      </c>
      <c r="Z13" s="51">
        <v>446.74032457020928</v>
      </c>
      <c r="AA13" s="51">
        <v>326.13469397819267</v>
      </c>
      <c r="AB13" s="52">
        <v>537.3209125445818</v>
      </c>
      <c r="AC13" s="4">
        <v>560</v>
      </c>
      <c r="AD13" s="4">
        <v>795</v>
      </c>
      <c r="AE13" s="4">
        <v>1070</v>
      </c>
      <c r="AF13" s="53" t="e">
        <v>#N/A</v>
      </c>
      <c r="AG13" s="54" t="e">
        <v>#N/A</v>
      </c>
      <c r="AH13" s="55">
        <v>29.3</v>
      </c>
      <c r="AI13" s="43"/>
      <c r="AJ13" s="44">
        <f t="shared" si="10"/>
        <v>2.4682026777937821E-2</v>
      </c>
      <c r="AK13" s="45">
        <f t="shared" si="11"/>
        <v>54.364821397577543</v>
      </c>
      <c r="AL13" s="45">
        <f t="shared" si="12"/>
        <v>19943.300898426569</v>
      </c>
      <c r="AM13" s="45">
        <f t="shared" si="13"/>
        <v>5698.0859709790193</v>
      </c>
      <c r="AN13" s="45">
        <f t="shared" si="14"/>
        <v>3988.6601796853133</v>
      </c>
      <c r="AO13" s="45">
        <f t="shared" si="15"/>
        <v>4985.8252246066413</v>
      </c>
      <c r="AP13" s="43" t="str">
        <f t="shared" si="16"/>
        <v>None</v>
      </c>
      <c r="AQ13" s="45">
        <f>IF(AP13="None", AK13*'[1]Gavi Simplified'!$Y$3, IF(AP13="Limited", AK13*'[1]Gavi Simplified'!$Y$4, IF(AP13="Accessible", AK13*'[1]Gavi Simplified'!$Y$5, AK13)))</f>
        <v>229.98473689230238</v>
      </c>
      <c r="AR13" s="45">
        <f t="shared" si="17"/>
        <v>84368.065450740731</v>
      </c>
      <c r="AS13" s="45">
        <f t="shared" si="18"/>
        <v>24105.161557354495</v>
      </c>
      <c r="AT13" s="45">
        <f t="shared" si="19"/>
        <v>16873.613090148145</v>
      </c>
      <c r="AU13" s="45">
        <f t="shared" si="20"/>
        <v>21092.016362685179</v>
      </c>
      <c r="AV13" s="45">
        <f t="shared" si="21"/>
        <v>64043.471040125143</v>
      </c>
      <c r="AW13" s="45">
        <f t="shared" si="22"/>
        <v>4985.8252246066413</v>
      </c>
      <c r="AX13" s="45">
        <f t="shared" si="23"/>
        <v>8436.8065450740705</v>
      </c>
      <c r="AY13" s="45">
        <f t="shared" si="24"/>
        <v>12655.209817611105</v>
      </c>
      <c r="AZ13" s="45">
        <f t="shared" si="25"/>
        <v>16873.613090148141</v>
      </c>
      <c r="BA13" s="45">
        <f t="shared" si="26"/>
        <v>21092.016362685179</v>
      </c>
    </row>
    <row r="14" spans="2:53" x14ac:dyDescent="0.2">
      <c r="B14" s="12" t="s">
        <v>77</v>
      </c>
      <c r="C14" s="46" t="s">
        <v>78</v>
      </c>
      <c r="D14" s="32">
        <v>94298</v>
      </c>
      <c r="E14" s="47" t="s">
        <v>79</v>
      </c>
      <c r="F14" s="47" t="s">
        <v>80</v>
      </c>
      <c r="G14" s="48" t="s">
        <v>81</v>
      </c>
      <c r="H14" s="48" t="s">
        <v>82</v>
      </c>
      <c r="I14" s="48" t="s">
        <v>83</v>
      </c>
      <c r="J14" s="48" t="s">
        <v>84</v>
      </c>
      <c r="K14" s="48" t="s">
        <v>85</v>
      </c>
      <c r="L14" s="48" t="s">
        <v>86</v>
      </c>
      <c r="M14" s="13" t="str">
        <f t="shared" si="0"/>
        <v>1.53</v>
      </c>
      <c r="N14" s="13" t="str">
        <f t="shared" si="1"/>
        <v>4</v>
      </c>
      <c r="O14" s="13">
        <f t="shared" si="2"/>
        <v>1.53</v>
      </c>
      <c r="P14" s="13">
        <f t="shared" si="3"/>
        <v>-4</v>
      </c>
      <c r="Q14" s="13">
        <f t="shared" si="4"/>
        <v>1.5300000000000001E-4</v>
      </c>
      <c r="R14" s="13" t="str">
        <f t="shared" si="5"/>
        <v>1.61</v>
      </c>
      <c r="S14" s="13" t="str">
        <f t="shared" si="6"/>
        <v>3</v>
      </c>
      <c r="T14" s="13">
        <f t="shared" si="7"/>
        <v>1.61</v>
      </c>
      <c r="U14" s="13">
        <f t="shared" si="8"/>
        <v>-3</v>
      </c>
      <c r="V14" s="49">
        <f t="shared" si="9"/>
        <v>1.6100000000000001E-3</v>
      </c>
      <c r="W14" s="50" t="e">
        <v>#N/A</v>
      </c>
      <c r="X14" s="50" t="e">
        <v>#N/A</v>
      </c>
      <c r="Y14" s="50" t="e">
        <v>#N/A</v>
      </c>
      <c r="Z14" s="51" t="e">
        <v>#N/A</v>
      </c>
      <c r="AA14" s="51" t="e">
        <v>#N/A</v>
      </c>
      <c r="AB14" s="52" t="e">
        <v>#N/A</v>
      </c>
      <c r="AC14" s="4" t="e">
        <v>#N/A</v>
      </c>
      <c r="AD14" s="4" t="e">
        <v>#N/A</v>
      </c>
      <c r="AE14" s="4" t="e">
        <v>#N/A</v>
      </c>
      <c r="AF14" s="53" t="e">
        <v>#N/A</v>
      </c>
      <c r="AG14" s="54" t="e">
        <v>#N/A</v>
      </c>
      <c r="AH14" s="55">
        <v>58.2</v>
      </c>
      <c r="AI14" s="43"/>
      <c r="AJ14" s="44">
        <f t="shared" si="10"/>
        <v>0.26723982770628535</v>
      </c>
      <c r="AK14" s="45">
        <f t="shared" si="11"/>
        <v>521.12970746399515</v>
      </c>
      <c r="AL14" s="45">
        <f t="shared" si="12"/>
        <v>491.41489154439813</v>
      </c>
      <c r="AM14" s="45">
        <f t="shared" si="13"/>
        <v>140.40425472697089</v>
      </c>
      <c r="AN14" s="45">
        <f t="shared" si="14"/>
        <v>98.28297830887962</v>
      </c>
      <c r="AO14" s="45">
        <f t="shared" si="15"/>
        <v>122.85372288609952</v>
      </c>
      <c r="AP14" s="43" t="str">
        <f t="shared" si="16"/>
        <v>Widely Accessible</v>
      </c>
      <c r="AQ14" s="45">
        <f>IF(AP14="None", AK14*'[1]Gavi Simplified'!$Y$3, IF(AP14="Limited", AK14*'[1]Gavi Simplified'!$Y$4, IF(AP14="Accessible", AK14*'[1]Gavi Simplified'!$Y$5, AK14)))</f>
        <v>521.12970746399515</v>
      </c>
      <c r="AR14" s="45">
        <f t="shared" si="17"/>
        <v>491.41489154439813</v>
      </c>
      <c r="AS14" s="45">
        <f t="shared" si="18"/>
        <v>140.40425472697089</v>
      </c>
      <c r="AT14" s="45">
        <f t="shared" si="19"/>
        <v>98.28297830887962</v>
      </c>
      <c r="AU14" s="45">
        <f t="shared" si="20"/>
        <v>122.85372288609952</v>
      </c>
      <c r="AV14" s="45">
        <f t="shared" si="21"/>
        <v>466.84414696717818</v>
      </c>
      <c r="AW14" s="45">
        <f t="shared" si="22"/>
        <v>122.85372288609952</v>
      </c>
      <c r="AX14" s="45">
        <f t="shared" si="23"/>
        <v>122.85372288609952</v>
      </c>
      <c r="AY14" s="45">
        <f t="shared" si="24"/>
        <v>122.85372288609952</v>
      </c>
      <c r="AZ14" s="45">
        <f t="shared" si="25"/>
        <v>122.85372288609952</v>
      </c>
      <c r="BA14" s="45">
        <f t="shared" si="26"/>
        <v>122.85372288609952</v>
      </c>
    </row>
    <row r="15" spans="2:53" x14ac:dyDescent="0.2">
      <c r="B15" s="60" t="s">
        <v>87</v>
      </c>
      <c r="C15" s="61" t="s">
        <v>58</v>
      </c>
      <c r="D15" s="32">
        <v>2777970</v>
      </c>
      <c r="E15" s="58" t="s">
        <v>88</v>
      </c>
      <c r="F15" s="58" t="s">
        <v>89</v>
      </c>
      <c r="G15" s="59" t="s">
        <v>90</v>
      </c>
      <c r="H15" s="59" t="s">
        <v>91</v>
      </c>
      <c r="I15" s="59" t="s">
        <v>92</v>
      </c>
      <c r="J15" s="59" t="s">
        <v>93</v>
      </c>
      <c r="K15" s="59" t="s">
        <v>94</v>
      </c>
      <c r="L15" s="59" t="s">
        <v>95</v>
      </c>
      <c r="M15" s="13" t="str">
        <f t="shared" si="0"/>
        <v>4.44</v>
      </c>
      <c r="N15" s="13" t="str">
        <f t="shared" si="1"/>
        <v>4</v>
      </c>
      <c r="O15" s="13">
        <f t="shared" si="2"/>
        <v>4.4400000000000004</v>
      </c>
      <c r="P15" s="13">
        <f t="shared" si="3"/>
        <v>-4</v>
      </c>
      <c r="Q15" s="13">
        <f t="shared" si="4"/>
        <v>4.4400000000000006E-4</v>
      </c>
      <c r="R15" s="13" t="str">
        <f t="shared" si="5"/>
        <v>4.87</v>
      </c>
      <c r="S15" s="13" t="str">
        <f t="shared" si="6"/>
        <v>3</v>
      </c>
      <c r="T15" s="13">
        <f t="shared" si="7"/>
        <v>4.87</v>
      </c>
      <c r="U15" s="13">
        <f t="shared" si="8"/>
        <v>-3</v>
      </c>
      <c r="V15" s="49">
        <f t="shared" si="9"/>
        <v>4.8700000000000002E-3</v>
      </c>
      <c r="W15" s="50">
        <v>3.0809154164117562E-2</v>
      </c>
      <c r="X15" s="50">
        <v>1.6170334384536699E-2</v>
      </c>
      <c r="Y15" s="50">
        <v>6.6231065265835054E-2</v>
      </c>
      <c r="Z15" s="51">
        <v>0.91862027972826121</v>
      </c>
      <c r="AA15" s="51">
        <v>0.48214232096391252</v>
      </c>
      <c r="AB15" s="52">
        <v>1.9747766971175711</v>
      </c>
      <c r="AC15" s="4">
        <v>35</v>
      </c>
      <c r="AD15" s="4">
        <v>50</v>
      </c>
      <c r="AE15" s="4">
        <v>75</v>
      </c>
      <c r="AF15" s="53" t="e">
        <v>#N/A</v>
      </c>
      <c r="AG15" s="54" t="e">
        <v>#N/A</v>
      </c>
      <c r="AH15" s="55">
        <v>63.2</v>
      </c>
      <c r="AI15" s="43"/>
      <c r="AJ15" s="44">
        <f t="shared" si="10"/>
        <v>0.35574508018409157</v>
      </c>
      <c r="AK15" s="45">
        <f t="shared" si="11"/>
        <v>577.18448130005027</v>
      </c>
      <c r="AL15" s="45">
        <f t="shared" si="12"/>
        <v>16034.011735171007</v>
      </c>
      <c r="AM15" s="45">
        <f t="shared" si="13"/>
        <v>4581.1462100488588</v>
      </c>
      <c r="AN15" s="45">
        <f t="shared" si="14"/>
        <v>3206.8023470342009</v>
      </c>
      <c r="AO15" s="45">
        <f t="shared" si="15"/>
        <v>4008.5029337927513</v>
      </c>
      <c r="AP15" s="43" t="str">
        <f t="shared" si="16"/>
        <v>Widely Accessible</v>
      </c>
      <c r="AQ15" s="45">
        <f>IF(AP15="None", AK15*'[1]Gavi Simplified'!$Y$3, IF(AP15="Limited", AK15*'[1]Gavi Simplified'!$Y$4, IF(AP15="Accessible", AK15*'[1]Gavi Simplified'!$Y$5, AK15)))</f>
        <v>577.18448130005027</v>
      </c>
      <c r="AR15" s="45">
        <f t="shared" si="17"/>
        <v>16034.011735171007</v>
      </c>
      <c r="AS15" s="45">
        <f t="shared" si="18"/>
        <v>4581.1462100488588</v>
      </c>
      <c r="AT15" s="45">
        <f t="shared" si="19"/>
        <v>3206.8023470342009</v>
      </c>
      <c r="AU15" s="45">
        <f t="shared" si="20"/>
        <v>4008.5029337927513</v>
      </c>
      <c r="AV15" s="45">
        <f t="shared" si="21"/>
        <v>15232.311148412457</v>
      </c>
      <c r="AW15" s="45">
        <f t="shared" si="22"/>
        <v>4008.5029337927513</v>
      </c>
      <c r="AX15" s="45">
        <f t="shared" si="23"/>
        <v>4008.5029337927513</v>
      </c>
      <c r="AY15" s="45">
        <f t="shared" si="24"/>
        <v>4008.5029337927513</v>
      </c>
      <c r="AZ15" s="45">
        <f t="shared" si="25"/>
        <v>4008.5029337927513</v>
      </c>
      <c r="BA15" s="45">
        <f t="shared" si="26"/>
        <v>4008.5029337927513</v>
      </c>
    </row>
    <row r="16" spans="2:53" x14ac:dyDescent="0.2">
      <c r="B16" s="12" t="s">
        <v>96</v>
      </c>
      <c r="C16" s="46" t="s">
        <v>58</v>
      </c>
      <c r="D16" s="32">
        <v>10412651</v>
      </c>
      <c r="E16" s="47" t="s">
        <v>88</v>
      </c>
      <c r="F16" s="47" t="s">
        <v>97</v>
      </c>
      <c r="G16" s="48" t="s">
        <v>98</v>
      </c>
      <c r="H16" s="48" t="s">
        <v>99</v>
      </c>
      <c r="I16" s="48" t="s">
        <v>92</v>
      </c>
      <c r="J16" s="48" t="s">
        <v>100</v>
      </c>
      <c r="K16" s="48" t="s">
        <v>101</v>
      </c>
      <c r="L16" s="48" t="s">
        <v>102</v>
      </c>
      <c r="M16" s="13" t="str">
        <f t="shared" si="0"/>
        <v>4.33</v>
      </c>
      <c r="N16" s="13" t="str">
        <f t="shared" si="1"/>
        <v>4</v>
      </c>
      <c r="O16" s="13">
        <f t="shared" si="2"/>
        <v>4.33</v>
      </c>
      <c r="P16" s="13">
        <f t="shared" si="3"/>
        <v>-4</v>
      </c>
      <c r="Q16" s="13">
        <f t="shared" si="4"/>
        <v>4.3300000000000001E-4</v>
      </c>
      <c r="R16" s="13" t="str">
        <f t="shared" si="5"/>
        <v>4.83</v>
      </c>
      <c r="S16" s="13" t="str">
        <f t="shared" si="6"/>
        <v>3</v>
      </c>
      <c r="T16" s="13">
        <f t="shared" si="7"/>
        <v>4.83</v>
      </c>
      <c r="U16" s="13">
        <f t="shared" si="8"/>
        <v>-3</v>
      </c>
      <c r="V16" s="49">
        <f t="shared" si="9"/>
        <v>4.8300000000000001E-3</v>
      </c>
      <c r="W16" s="50">
        <v>5.3406079433376857E-2</v>
      </c>
      <c r="X16" s="50">
        <v>3.1290257274180652E-2</v>
      </c>
      <c r="Y16" s="50">
        <v>0.10144248702478439</v>
      </c>
      <c r="Z16" s="51">
        <v>5.53454866784974</v>
      </c>
      <c r="AA16" s="51">
        <v>3.2426542736492752</v>
      </c>
      <c r="AB16" s="52">
        <v>10.512630535382581</v>
      </c>
      <c r="AC16" s="4">
        <v>120</v>
      </c>
      <c r="AD16" s="4">
        <v>177</v>
      </c>
      <c r="AE16" s="4">
        <v>240</v>
      </c>
      <c r="AF16" s="53" t="e">
        <v>#N/A</v>
      </c>
      <c r="AG16" s="54" t="e">
        <v>#N/A</v>
      </c>
      <c r="AH16" s="55">
        <v>53.3</v>
      </c>
      <c r="AI16" s="43"/>
      <c r="AJ16" s="44">
        <f t="shared" si="10"/>
        <v>0.19693706692121965</v>
      </c>
      <c r="AK16" s="45">
        <f t="shared" si="11"/>
        <v>461.31381755656366</v>
      </c>
      <c r="AL16" s="45">
        <f t="shared" si="12"/>
        <v>48034.9978369417</v>
      </c>
      <c r="AM16" s="45">
        <f t="shared" si="13"/>
        <v>13724.285096269057</v>
      </c>
      <c r="AN16" s="45">
        <f t="shared" si="14"/>
        <v>9606.9995673883386</v>
      </c>
      <c r="AO16" s="45">
        <f t="shared" si="15"/>
        <v>12008.749459235423</v>
      </c>
      <c r="AP16" s="43" t="str">
        <f t="shared" si="16"/>
        <v>Widely Accessible</v>
      </c>
      <c r="AQ16" s="45">
        <f>IF(AP16="None", AK16*'[1]Gavi Simplified'!$Y$3, IF(AP16="Limited", AK16*'[1]Gavi Simplified'!$Y$4, IF(AP16="Accessible", AK16*'[1]Gavi Simplified'!$Y$5, AK16)))</f>
        <v>461.31381755656366</v>
      </c>
      <c r="AR16" s="45">
        <f t="shared" si="17"/>
        <v>48034.9978369417</v>
      </c>
      <c r="AS16" s="45">
        <f t="shared" si="18"/>
        <v>13724.285096269057</v>
      </c>
      <c r="AT16" s="45">
        <f t="shared" si="19"/>
        <v>9606.9995673883386</v>
      </c>
      <c r="AU16" s="45">
        <f t="shared" si="20"/>
        <v>12008.749459235423</v>
      </c>
      <c r="AV16" s="45">
        <f t="shared" si="21"/>
        <v>45633.247945094612</v>
      </c>
      <c r="AW16" s="45">
        <f t="shared" si="22"/>
        <v>12008.749459235423</v>
      </c>
      <c r="AX16" s="45">
        <f t="shared" si="23"/>
        <v>12008.749459235423</v>
      </c>
      <c r="AY16" s="45">
        <f t="shared" si="24"/>
        <v>12008.749459235423</v>
      </c>
      <c r="AZ16" s="45">
        <f t="shared" si="25"/>
        <v>12008.749459235423</v>
      </c>
      <c r="BA16" s="45">
        <f t="shared" si="26"/>
        <v>12008.749459235423</v>
      </c>
    </row>
    <row r="17" spans="2:53" x14ac:dyDescent="0.2">
      <c r="B17" s="60" t="s">
        <v>103</v>
      </c>
      <c r="C17" s="61" t="s">
        <v>104</v>
      </c>
      <c r="D17" s="32">
        <v>1485509</v>
      </c>
      <c r="E17" s="58" t="s">
        <v>105</v>
      </c>
      <c r="F17" s="58" t="s">
        <v>106</v>
      </c>
      <c r="G17" s="59" t="s">
        <v>107</v>
      </c>
      <c r="H17" s="59" t="s">
        <v>108</v>
      </c>
      <c r="I17" s="59" t="s">
        <v>109</v>
      </c>
      <c r="J17" s="59" t="s">
        <v>110</v>
      </c>
      <c r="K17" s="59" t="s">
        <v>111</v>
      </c>
      <c r="L17" s="59" t="s">
        <v>112</v>
      </c>
      <c r="M17" s="13" t="str">
        <f t="shared" si="0"/>
        <v>4.83</v>
      </c>
      <c r="N17" s="13" t="str">
        <f t="shared" si="1"/>
        <v>4</v>
      </c>
      <c r="O17" s="13">
        <f t="shared" si="2"/>
        <v>4.83</v>
      </c>
      <c r="P17" s="13">
        <f t="shared" si="3"/>
        <v>-4</v>
      </c>
      <c r="Q17" s="13">
        <f t="shared" si="4"/>
        <v>4.8300000000000003E-4</v>
      </c>
      <c r="R17" s="13" t="str">
        <f t="shared" si="5"/>
        <v>5.22</v>
      </c>
      <c r="S17" s="13" t="str">
        <f t="shared" si="6"/>
        <v>3</v>
      </c>
      <c r="T17" s="13">
        <f t="shared" si="7"/>
        <v>5.22</v>
      </c>
      <c r="U17" s="13">
        <f t="shared" si="8"/>
        <v>-3</v>
      </c>
      <c r="V17" s="49">
        <f t="shared" si="9"/>
        <v>5.2199999999999998E-3</v>
      </c>
      <c r="W17" s="50" t="e">
        <v>#N/A</v>
      </c>
      <c r="X17" s="50" t="e">
        <v>#N/A</v>
      </c>
      <c r="Y17" s="50" t="e">
        <v>#N/A</v>
      </c>
      <c r="Z17" s="51" t="e">
        <v>#N/A</v>
      </c>
      <c r="AA17" s="51" t="e">
        <v>#N/A</v>
      </c>
      <c r="AB17" s="52" t="e">
        <v>#N/A</v>
      </c>
      <c r="AC17" s="4" t="e">
        <v>#N/A</v>
      </c>
      <c r="AD17" s="4" t="e">
        <v>#N/A</v>
      </c>
      <c r="AE17" s="4" t="e">
        <v>#N/A</v>
      </c>
      <c r="AF17" s="53" t="e">
        <v>#N/A</v>
      </c>
      <c r="AG17" s="54" t="e">
        <v>#N/A</v>
      </c>
      <c r="AH17" s="55">
        <v>67.599999999999994</v>
      </c>
      <c r="AI17" s="43"/>
      <c r="AJ17" s="44">
        <f t="shared" si="10"/>
        <v>0.44935748751127441</v>
      </c>
      <c r="AK17" s="45">
        <f t="shared" si="11"/>
        <v>622.95906143123011</v>
      </c>
      <c r="AL17" s="45">
        <f t="shared" si="12"/>
        <v>9254.1129238764515</v>
      </c>
      <c r="AM17" s="45">
        <f t="shared" si="13"/>
        <v>2644.0322639647006</v>
      </c>
      <c r="AN17" s="45">
        <f t="shared" si="14"/>
        <v>1850.8225847752904</v>
      </c>
      <c r="AO17" s="45">
        <f t="shared" si="15"/>
        <v>2313.5282309691129</v>
      </c>
      <c r="AP17" s="43" t="str">
        <f t="shared" si="16"/>
        <v>Widely Accessible</v>
      </c>
      <c r="AQ17" s="45">
        <f>IF(AP17="None", AK17*'[1]Gavi Simplified'!$Y$3, IF(AP17="Limited", AK17*'[1]Gavi Simplified'!$Y$4, IF(AP17="Accessible", AK17*'[1]Gavi Simplified'!$Y$5, AK17)))</f>
        <v>622.95906143123011</v>
      </c>
      <c r="AR17" s="45">
        <f t="shared" si="17"/>
        <v>9254.1129238764515</v>
      </c>
      <c r="AS17" s="45">
        <f t="shared" si="18"/>
        <v>2644.0322639647006</v>
      </c>
      <c r="AT17" s="45">
        <f t="shared" si="19"/>
        <v>1850.8225847752904</v>
      </c>
      <c r="AU17" s="45">
        <f t="shared" si="20"/>
        <v>2313.5282309691129</v>
      </c>
      <c r="AV17" s="45">
        <f t="shared" si="21"/>
        <v>8791.4072776826288</v>
      </c>
      <c r="AW17" s="45">
        <f t="shared" si="22"/>
        <v>2313.5282309691129</v>
      </c>
      <c r="AX17" s="45">
        <f t="shared" si="23"/>
        <v>2313.5282309691129</v>
      </c>
      <c r="AY17" s="45">
        <f t="shared" si="24"/>
        <v>2313.5282309691129</v>
      </c>
      <c r="AZ17" s="45">
        <f t="shared" si="25"/>
        <v>2313.5282309691129</v>
      </c>
      <c r="BA17" s="45">
        <f t="shared" si="26"/>
        <v>2313.5282309691129</v>
      </c>
    </row>
    <row r="18" spans="2:53" x14ac:dyDescent="0.2">
      <c r="B18" s="62" t="s">
        <v>113</v>
      </c>
      <c r="C18" s="46" t="s">
        <v>114</v>
      </c>
      <c r="D18" s="32">
        <v>172954319</v>
      </c>
      <c r="E18" s="47" t="s">
        <v>115</v>
      </c>
      <c r="F18" s="47" t="s">
        <v>116</v>
      </c>
      <c r="G18" s="48" t="s">
        <v>117</v>
      </c>
      <c r="H18" s="48" t="s">
        <v>118</v>
      </c>
      <c r="I18" s="48" t="s">
        <v>119</v>
      </c>
      <c r="J18" s="48" t="s">
        <v>120</v>
      </c>
      <c r="K18" s="48" t="s">
        <v>121</v>
      </c>
      <c r="L18" s="48" t="s">
        <v>122</v>
      </c>
      <c r="M18" s="13" t="str">
        <f t="shared" si="0"/>
        <v>6.39</v>
      </c>
      <c r="N18" s="13" t="str">
        <f t="shared" si="1"/>
        <v>4</v>
      </c>
      <c r="O18" s="13">
        <f t="shared" si="2"/>
        <v>6.39</v>
      </c>
      <c r="P18" s="13">
        <f t="shared" si="3"/>
        <v>-4</v>
      </c>
      <c r="Q18" s="13">
        <f t="shared" si="4"/>
        <v>6.3900000000000003E-4</v>
      </c>
      <c r="R18" s="13" t="str">
        <f t="shared" si="5"/>
        <v>6.65</v>
      </c>
      <c r="S18" s="13" t="str">
        <f t="shared" si="6"/>
        <v>3</v>
      </c>
      <c r="T18" s="13">
        <f t="shared" si="7"/>
        <v>6.65</v>
      </c>
      <c r="U18" s="13">
        <f t="shared" si="8"/>
        <v>-3</v>
      </c>
      <c r="V18" s="49">
        <f t="shared" si="9"/>
        <v>6.6500000000000005E-3</v>
      </c>
      <c r="W18" s="50">
        <v>0.63635689189103062</v>
      </c>
      <c r="X18" s="50">
        <v>0.40153787035181238</v>
      </c>
      <c r="Y18" s="50">
        <v>1.4084390179306341</v>
      </c>
      <c r="Z18" s="51">
        <v>1081.4814751943411</v>
      </c>
      <c r="AA18" s="51">
        <v>682.40915421535772</v>
      </c>
      <c r="AB18" s="52">
        <v>2393.6264794846011</v>
      </c>
      <c r="AC18" s="4">
        <v>105</v>
      </c>
      <c r="AD18" s="4">
        <v>165</v>
      </c>
      <c r="AE18" s="4">
        <v>230</v>
      </c>
      <c r="AF18" s="63">
        <v>6.5000000000000002E-2</v>
      </c>
      <c r="AG18" s="54">
        <v>0.14199999999999999</v>
      </c>
      <c r="AH18" s="55">
        <v>44.1</v>
      </c>
      <c r="AI18" s="43">
        <v>1</v>
      </c>
      <c r="AJ18" s="44">
        <f t="shared" si="10"/>
        <v>0.10202624330537703</v>
      </c>
      <c r="AK18" s="45">
        <f t="shared" si="11"/>
        <v>332.44702724179842</v>
      </c>
      <c r="AL18" s="45">
        <f t="shared" si="12"/>
        <v>574981.49200179696</v>
      </c>
      <c r="AM18" s="45">
        <f t="shared" si="13"/>
        <v>164280.42628622771</v>
      </c>
      <c r="AN18" s="45">
        <f t="shared" si="14"/>
        <v>114996.29840035939</v>
      </c>
      <c r="AO18" s="45">
        <f t="shared" si="15"/>
        <v>143745.37300044924</v>
      </c>
      <c r="AP18" s="43" t="str">
        <f t="shared" si="16"/>
        <v>Accessible</v>
      </c>
      <c r="AQ18" s="45">
        <f>IF(AP18="None", AK18*'[1]Gavi Simplified'!$Y$3, IF(AP18="Limited", AK18*'[1]Gavi Simplified'!$Y$4, IF(AP18="Accessible", AK18*'[1]Gavi Simplified'!$Y$5, AK18)))</f>
        <v>1030.2823537751956</v>
      </c>
      <c r="AR18" s="45">
        <f t="shared" si="17"/>
        <v>1781917.8287490604</v>
      </c>
      <c r="AS18" s="45">
        <f t="shared" si="18"/>
        <v>509119.37964258867</v>
      </c>
      <c r="AT18" s="45">
        <f t="shared" si="19"/>
        <v>356383.56574981206</v>
      </c>
      <c r="AU18" s="45">
        <f t="shared" si="20"/>
        <v>445479.45718726504</v>
      </c>
      <c r="AV18" s="45">
        <f t="shared" si="21"/>
        <v>1391087.8531247913</v>
      </c>
      <c r="AW18" s="45">
        <f t="shared" si="22"/>
        <v>143745.37300044924</v>
      </c>
      <c r="AX18" s="45">
        <f t="shared" si="23"/>
        <v>178191.78287490603</v>
      </c>
      <c r="AY18" s="45">
        <f t="shared" si="24"/>
        <v>267287.67431235907</v>
      </c>
      <c r="AZ18" s="45">
        <f t="shared" si="25"/>
        <v>356383.56574981206</v>
      </c>
      <c r="BA18" s="45">
        <f t="shared" si="26"/>
        <v>445479.45718726504</v>
      </c>
    </row>
    <row r="19" spans="2:53" x14ac:dyDescent="0.2">
      <c r="B19" s="56" t="s">
        <v>123</v>
      </c>
      <c r="C19" s="57" t="s">
        <v>124</v>
      </c>
      <c r="D19" s="32">
        <v>13712828</v>
      </c>
      <c r="E19" s="58" t="s">
        <v>125</v>
      </c>
      <c r="F19" s="58" t="s">
        <v>126</v>
      </c>
      <c r="G19" s="59" t="s">
        <v>127</v>
      </c>
      <c r="H19" s="59" t="s">
        <v>128</v>
      </c>
      <c r="I19" s="59" t="s">
        <v>129</v>
      </c>
      <c r="J19" s="59" t="s">
        <v>130</v>
      </c>
      <c r="K19" s="59" t="s">
        <v>131</v>
      </c>
      <c r="L19" s="59" t="s">
        <v>132</v>
      </c>
      <c r="M19" s="13" t="str">
        <f t="shared" si="0"/>
        <v>7.32</v>
      </c>
      <c r="N19" s="13" t="str">
        <f t="shared" si="1"/>
        <v>4</v>
      </c>
      <c r="O19" s="13">
        <f t="shared" si="2"/>
        <v>7.32</v>
      </c>
      <c r="P19" s="13">
        <f t="shared" si="3"/>
        <v>-4</v>
      </c>
      <c r="Q19" s="13">
        <f t="shared" si="4"/>
        <v>7.3200000000000001E-4</v>
      </c>
      <c r="R19" s="13" t="str">
        <f t="shared" si="5"/>
        <v>7.53</v>
      </c>
      <c r="S19" s="13" t="str">
        <f t="shared" si="6"/>
        <v>3</v>
      </c>
      <c r="T19" s="13">
        <f t="shared" si="7"/>
        <v>7.53</v>
      </c>
      <c r="U19" s="13">
        <f t="shared" si="8"/>
        <v>-3</v>
      </c>
      <c r="V19" s="49">
        <f t="shared" si="9"/>
        <v>7.5300000000000002E-3</v>
      </c>
      <c r="W19" s="50">
        <v>2.3892222915072558</v>
      </c>
      <c r="X19" s="50">
        <v>1.687940328887982</v>
      </c>
      <c r="Y19" s="50">
        <v>2.8350495508433169</v>
      </c>
      <c r="Z19" s="51">
        <v>313.84715002120907</v>
      </c>
      <c r="AA19" s="51">
        <v>221.7270714032874</v>
      </c>
      <c r="AB19" s="52">
        <v>372.41081537865841</v>
      </c>
      <c r="AC19" s="4">
        <v>220</v>
      </c>
      <c r="AD19" s="4">
        <v>293</v>
      </c>
      <c r="AE19" s="4">
        <v>393</v>
      </c>
      <c r="AF19" s="53">
        <v>1.9</v>
      </c>
      <c r="AG19" s="54">
        <v>3.39</v>
      </c>
      <c r="AH19" s="55">
        <v>31.4</v>
      </c>
      <c r="AI19" s="43">
        <v>1</v>
      </c>
      <c r="AJ19" s="44">
        <f t="shared" si="10"/>
        <v>3.1385070689462606E-2</v>
      </c>
      <c r="AK19" s="45">
        <f t="shared" si="11"/>
        <v>101.44298412881062</v>
      </c>
      <c r="AL19" s="45">
        <f t="shared" si="12"/>
        <v>13910.7019316511</v>
      </c>
      <c r="AM19" s="45">
        <f t="shared" si="13"/>
        <v>3974.4862661860284</v>
      </c>
      <c r="AN19" s="45">
        <f t="shared" si="14"/>
        <v>2782.1403863302198</v>
      </c>
      <c r="AO19" s="45">
        <f t="shared" si="15"/>
        <v>3477.6754829127749</v>
      </c>
      <c r="AP19" s="43" t="str">
        <f t="shared" si="16"/>
        <v>Limited</v>
      </c>
      <c r="AQ19" s="45">
        <f>IF(AP19="None", AK19*'[1]Gavi Simplified'!$Y$3, IF(AP19="Limited", AK19*'[1]Gavi Simplified'!$Y$4, IF(AP19="Accessible", AK19*'[1]Gavi Simplified'!$Y$5, AK19)))</f>
        <v>353.41940949344854</v>
      </c>
      <c r="AR19" s="45">
        <f t="shared" si="17"/>
        <v>48463.795742452268</v>
      </c>
      <c r="AS19" s="45">
        <f t="shared" si="18"/>
        <v>13846.798783557791</v>
      </c>
      <c r="AT19" s="45">
        <f t="shared" si="19"/>
        <v>9692.7591484904533</v>
      </c>
      <c r="AU19" s="45">
        <f t="shared" si="20"/>
        <v>12115.948935613067</v>
      </c>
      <c r="AV19" s="45">
        <f t="shared" si="21"/>
        <v>37402.332502629361</v>
      </c>
      <c r="AW19" s="45">
        <f t="shared" si="22"/>
        <v>3477.6754829127749</v>
      </c>
      <c r="AX19" s="45">
        <f t="shared" si="23"/>
        <v>4846.3795742452266</v>
      </c>
      <c r="AY19" s="45">
        <f t="shared" si="24"/>
        <v>7269.5693613678404</v>
      </c>
      <c r="AZ19" s="45">
        <f t="shared" si="25"/>
        <v>9692.7591484904533</v>
      </c>
      <c r="BA19" s="45">
        <f t="shared" si="26"/>
        <v>12115.948935613067</v>
      </c>
    </row>
    <row r="20" spans="2:53" x14ac:dyDescent="0.2">
      <c r="B20" s="62" t="s">
        <v>133</v>
      </c>
      <c r="C20" s="64" t="s">
        <v>114</v>
      </c>
      <c r="D20" s="32">
        <v>787424</v>
      </c>
      <c r="E20" s="47" t="s">
        <v>134</v>
      </c>
      <c r="F20" s="47" t="s">
        <v>135</v>
      </c>
      <c r="G20" s="48" t="s">
        <v>136</v>
      </c>
      <c r="H20" s="48" t="s">
        <v>137</v>
      </c>
      <c r="I20" s="48" t="s">
        <v>138</v>
      </c>
      <c r="J20" s="48" t="s">
        <v>139</v>
      </c>
      <c r="K20" s="48" t="s">
        <v>140</v>
      </c>
      <c r="L20" s="48" t="s">
        <v>141</v>
      </c>
      <c r="M20" s="13" t="str">
        <f t="shared" si="0"/>
        <v>6.11</v>
      </c>
      <c r="N20" s="13" t="str">
        <f t="shared" si="1"/>
        <v>4</v>
      </c>
      <c r="O20" s="13">
        <f t="shared" si="2"/>
        <v>6.11</v>
      </c>
      <c r="P20" s="13">
        <f t="shared" si="3"/>
        <v>-4</v>
      </c>
      <c r="Q20" s="13">
        <f t="shared" si="4"/>
        <v>6.1100000000000011E-4</v>
      </c>
      <c r="R20" s="13" t="str">
        <f t="shared" si="5"/>
        <v>6.21</v>
      </c>
      <c r="S20" s="13" t="str">
        <f t="shared" si="6"/>
        <v>3</v>
      </c>
      <c r="T20" s="13">
        <f t="shared" si="7"/>
        <v>6.21</v>
      </c>
      <c r="U20" s="13">
        <f t="shared" si="8"/>
        <v>-3</v>
      </c>
      <c r="V20" s="49">
        <f t="shared" si="9"/>
        <v>6.2100000000000002E-3</v>
      </c>
      <c r="W20" s="50">
        <v>0.17338723251323271</v>
      </c>
      <c r="X20" s="50">
        <v>0.1213363385819298</v>
      </c>
      <c r="Y20" s="50">
        <v>0.305470197114449</v>
      </c>
      <c r="Z20" s="51">
        <v>1.3848267079950281</v>
      </c>
      <c r="AA20" s="51">
        <v>0.96910135702039091</v>
      </c>
      <c r="AB20" s="52">
        <v>2.439760306043929</v>
      </c>
      <c r="AC20" s="4">
        <v>2</v>
      </c>
      <c r="AD20" s="4">
        <v>4</v>
      </c>
      <c r="AE20" s="4">
        <v>6</v>
      </c>
      <c r="AF20" s="63">
        <v>0.26500000000000001</v>
      </c>
      <c r="AG20" s="65">
        <v>0.79400000000000004</v>
      </c>
      <c r="AH20" s="55">
        <v>42.1</v>
      </c>
      <c r="AI20" s="43"/>
      <c r="AJ20" s="44">
        <f t="shared" si="10"/>
        <v>8.6846180338644954E-2</v>
      </c>
      <c r="AK20" s="45">
        <f t="shared" si="11"/>
        <v>300.88126939695076</v>
      </c>
      <c r="AL20" s="45">
        <f t="shared" si="12"/>
        <v>2369.2113267362456</v>
      </c>
      <c r="AM20" s="45">
        <f t="shared" si="13"/>
        <v>676.91752192464162</v>
      </c>
      <c r="AN20" s="45">
        <f t="shared" si="14"/>
        <v>473.84226534724911</v>
      </c>
      <c r="AO20" s="45">
        <f t="shared" si="15"/>
        <v>592.3028316840614</v>
      </c>
      <c r="AP20" s="43" t="str">
        <f t="shared" si="16"/>
        <v>Accessible</v>
      </c>
      <c r="AQ20" s="45">
        <f>IF(AP20="None", AK20*'[1]Gavi Simplified'!$Y$3, IF(AP20="Limited", AK20*'[1]Gavi Simplified'!$Y$4, IF(AP20="Accessible", AK20*'[1]Gavi Simplified'!$Y$5, AK20)))</f>
        <v>932.45731511893598</v>
      </c>
      <c r="AR20" s="45">
        <f t="shared" si="17"/>
        <v>7342.3926890021312</v>
      </c>
      <c r="AS20" s="45">
        <f t="shared" si="18"/>
        <v>2097.8264825720375</v>
      </c>
      <c r="AT20" s="45">
        <f t="shared" si="19"/>
        <v>1468.4785378004262</v>
      </c>
      <c r="AU20" s="45">
        <f t="shared" si="20"/>
        <v>1835.5981722505328</v>
      </c>
      <c r="AV20" s="45">
        <f t="shared" si="21"/>
        <v>5731.9777139855532</v>
      </c>
      <c r="AW20" s="45">
        <f t="shared" si="22"/>
        <v>592.3028316840614</v>
      </c>
      <c r="AX20" s="45">
        <f t="shared" si="23"/>
        <v>734.23926890021312</v>
      </c>
      <c r="AY20" s="45">
        <f t="shared" si="24"/>
        <v>1101.3589033503197</v>
      </c>
      <c r="AZ20" s="45">
        <f t="shared" si="25"/>
        <v>1468.4785378004262</v>
      </c>
      <c r="BA20" s="45">
        <f t="shared" si="26"/>
        <v>1835.5981722505328</v>
      </c>
    </row>
    <row r="21" spans="2:53" x14ac:dyDescent="0.2">
      <c r="B21" s="56" t="s">
        <v>142</v>
      </c>
      <c r="C21" s="57" t="s">
        <v>143</v>
      </c>
      <c r="D21" s="32">
        <v>12388571</v>
      </c>
      <c r="E21" s="58" t="s">
        <v>144</v>
      </c>
      <c r="F21" s="58" t="s">
        <v>145</v>
      </c>
      <c r="G21" s="59" t="s">
        <v>146</v>
      </c>
      <c r="H21" s="59" t="s">
        <v>147</v>
      </c>
      <c r="I21" s="59" t="s">
        <v>148</v>
      </c>
      <c r="J21" s="59" t="s">
        <v>149</v>
      </c>
      <c r="K21" s="59" t="s">
        <v>150</v>
      </c>
      <c r="L21" s="59" t="s">
        <v>151</v>
      </c>
      <c r="M21" s="13" t="str">
        <f t="shared" si="0"/>
        <v>3.81</v>
      </c>
      <c r="N21" s="13" t="str">
        <f t="shared" si="1"/>
        <v>5</v>
      </c>
      <c r="O21" s="13">
        <f t="shared" si="2"/>
        <v>3.81</v>
      </c>
      <c r="P21" s="13">
        <f t="shared" si="3"/>
        <v>-5</v>
      </c>
      <c r="Q21" s="13">
        <f t="shared" si="4"/>
        <v>3.8100000000000005E-5</v>
      </c>
      <c r="R21" s="13" t="str">
        <f t="shared" si="5"/>
        <v>3.96</v>
      </c>
      <c r="S21" s="13" t="str">
        <f t="shared" si="6"/>
        <v>4</v>
      </c>
      <c r="T21" s="13">
        <f t="shared" si="7"/>
        <v>3.96</v>
      </c>
      <c r="U21" s="13">
        <f t="shared" si="8"/>
        <v>-4</v>
      </c>
      <c r="V21" s="49">
        <f t="shared" si="9"/>
        <v>3.9600000000000003E-4</v>
      </c>
      <c r="W21" s="50">
        <v>1.6916663988493109E-2</v>
      </c>
      <c r="X21" s="50">
        <v>9.0671945430929608E-4</v>
      </c>
      <c r="Y21" s="50">
        <v>0.4300109331506537</v>
      </c>
      <c r="Z21" s="51">
        <v>2.058938493555738</v>
      </c>
      <c r="AA21" s="51">
        <v>0.11035743150086411</v>
      </c>
      <c r="AB21" s="52">
        <v>52.33691840873233</v>
      </c>
      <c r="AC21" s="4">
        <v>310</v>
      </c>
      <c r="AD21" s="4">
        <v>430</v>
      </c>
      <c r="AE21" s="4">
        <v>575</v>
      </c>
      <c r="AF21" s="53" t="e">
        <v>#N/A</v>
      </c>
      <c r="AG21" s="54" t="e">
        <v>#N/A</v>
      </c>
      <c r="AH21" s="55">
        <v>40.5</v>
      </c>
      <c r="AI21" s="43"/>
      <c r="AJ21" s="44">
        <f t="shared" si="10"/>
        <v>7.5918153361775223E-2</v>
      </c>
      <c r="AK21" s="45">
        <f t="shared" si="11"/>
        <v>274.52949863338881</v>
      </c>
      <c r="AL21" s="45">
        <f t="shared" si="12"/>
        <v>34010.281854141402</v>
      </c>
      <c r="AM21" s="45">
        <f t="shared" si="13"/>
        <v>9717.2233868975436</v>
      </c>
      <c r="AN21" s="45">
        <f t="shared" si="14"/>
        <v>6802.0563708282798</v>
      </c>
      <c r="AO21" s="45">
        <f t="shared" si="15"/>
        <v>8502.5704635353504</v>
      </c>
      <c r="AP21" s="43" t="str">
        <f t="shared" si="16"/>
        <v>Accessible</v>
      </c>
      <c r="AQ21" s="45">
        <f>IF(AP21="None", AK21*'[1]Gavi Simplified'!$Y$3, IF(AP21="Limited", AK21*'[1]Gavi Simplified'!$Y$4, IF(AP21="Accessible", AK21*'[1]Gavi Simplified'!$Y$5, AK21)))</f>
        <v>850.79087751027544</v>
      </c>
      <c r="AR21" s="45">
        <f t="shared" si="17"/>
        <v>105400.83192188351</v>
      </c>
      <c r="AS21" s="45">
        <f t="shared" si="18"/>
        <v>30114.523406252432</v>
      </c>
      <c r="AT21" s="45">
        <f t="shared" si="19"/>
        <v>21080.166384376702</v>
      </c>
      <c r="AU21" s="45">
        <f t="shared" si="20"/>
        <v>26350.207980470877</v>
      </c>
      <c r="AV21" s="45">
        <f t="shared" si="21"/>
        <v>82283.152808853803</v>
      </c>
      <c r="AW21" s="45">
        <f t="shared" si="22"/>
        <v>8502.5704635353504</v>
      </c>
      <c r="AX21" s="45">
        <f t="shared" si="23"/>
        <v>10540.083192188351</v>
      </c>
      <c r="AY21" s="45">
        <f t="shared" si="24"/>
        <v>15810.124788282526</v>
      </c>
      <c r="AZ21" s="45">
        <f t="shared" si="25"/>
        <v>21080.166384376702</v>
      </c>
      <c r="BA21" s="45">
        <f t="shared" si="26"/>
        <v>26350.207980470877</v>
      </c>
    </row>
    <row r="22" spans="2:53" x14ac:dyDescent="0.2">
      <c r="B22" s="66" t="s">
        <v>152</v>
      </c>
      <c r="C22" s="64" t="s">
        <v>153</v>
      </c>
      <c r="D22" s="32">
        <v>2675352</v>
      </c>
      <c r="E22" s="47" t="s">
        <v>154</v>
      </c>
      <c r="F22" s="47" t="s">
        <v>60</v>
      </c>
      <c r="G22" s="48" t="s">
        <v>155</v>
      </c>
      <c r="H22" s="48" t="s">
        <v>156</v>
      </c>
      <c r="I22" s="48" t="s">
        <v>73</v>
      </c>
      <c r="J22" s="48" t="s">
        <v>157</v>
      </c>
      <c r="K22" s="48" t="s">
        <v>158</v>
      </c>
      <c r="L22" s="48" t="s">
        <v>159</v>
      </c>
      <c r="M22" s="13" t="str">
        <f t="shared" si="0"/>
        <v>6.65</v>
      </c>
      <c r="N22" s="13" t="str">
        <f t="shared" si="1"/>
        <v>4</v>
      </c>
      <c r="O22" s="13">
        <f t="shared" si="2"/>
        <v>6.65</v>
      </c>
      <c r="P22" s="13">
        <f t="shared" si="3"/>
        <v>-4</v>
      </c>
      <c r="Q22" s="13">
        <f t="shared" si="4"/>
        <v>6.6500000000000012E-4</v>
      </c>
      <c r="R22" s="13" t="str">
        <f t="shared" si="5"/>
        <v>7.22</v>
      </c>
      <c r="S22" s="13" t="str">
        <f t="shared" si="6"/>
        <v>3</v>
      </c>
      <c r="T22" s="13">
        <f t="shared" si="7"/>
        <v>7.22</v>
      </c>
      <c r="U22" s="13">
        <f t="shared" si="8"/>
        <v>-3</v>
      </c>
      <c r="V22" s="49">
        <f t="shared" si="9"/>
        <v>7.2199999999999999E-3</v>
      </c>
      <c r="W22" s="50">
        <v>0.18716208186659411</v>
      </c>
      <c r="X22" s="50">
        <v>0.1106062314793828</v>
      </c>
      <c r="Y22" s="50">
        <v>0.26666626465949889</v>
      </c>
      <c r="Z22" s="51">
        <v>4.6992305834917953</v>
      </c>
      <c r="AA22" s="51">
        <v>2.7770805951131039</v>
      </c>
      <c r="AB22" s="52">
        <v>6.6954067510674617</v>
      </c>
      <c r="AC22" s="4" t="e">
        <v>#N/A</v>
      </c>
      <c r="AD22" s="4" t="e">
        <v>#N/A</v>
      </c>
      <c r="AE22" s="4" t="e">
        <v>#N/A</v>
      </c>
      <c r="AF22" s="63" t="e">
        <v>#N/A</v>
      </c>
      <c r="AG22" s="54" t="e">
        <v>#N/A</v>
      </c>
      <c r="AH22" s="55">
        <v>37.5</v>
      </c>
      <c r="AI22" s="43"/>
      <c r="AJ22" s="44">
        <f t="shared" si="10"/>
        <v>5.8121273664315569E-2</v>
      </c>
      <c r="AK22" s="45">
        <f t="shared" si="11"/>
        <v>222.18675533588521</v>
      </c>
      <c r="AL22" s="45">
        <f t="shared" si="12"/>
        <v>5944.2778026137112</v>
      </c>
      <c r="AM22" s="45">
        <f t="shared" si="13"/>
        <v>1698.3650864610604</v>
      </c>
      <c r="AN22" s="45">
        <f t="shared" si="14"/>
        <v>1188.8555605227423</v>
      </c>
      <c r="AO22" s="45">
        <f t="shared" si="15"/>
        <v>1486.0694506534278</v>
      </c>
      <c r="AP22" s="43" t="str">
        <f t="shared" si="16"/>
        <v>Accessible</v>
      </c>
      <c r="AQ22" s="45">
        <f>IF(AP22="None", AK22*'[1]Gavi Simplified'!$Y$3, IF(AP22="Limited", AK22*'[1]Gavi Simplified'!$Y$4, IF(AP22="Accessible", AK22*'[1]Gavi Simplified'!$Y$5, AK22)))</f>
        <v>688.57614749742572</v>
      </c>
      <c r="AR22" s="45">
        <f t="shared" si="17"/>
        <v>18421.83573359533</v>
      </c>
      <c r="AS22" s="45">
        <f t="shared" si="18"/>
        <v>5263.3816381700944</v>
      </c>
      <c r="AT22" s="45">
        <f t="shared" si="19"/>
        <v>3684.3671467190657</v>
      </c>
      <c r="AU22" s="45">
        <f t="shared" si="20"/>
        <v>4605.4589333988324</v>
      </c>
      <c r="AV22" s="45">
        <f t="shared" si="21"/>
        <v>14381.354464170159</v>
      </c>
      <c r="AW22" s="45">
        <f t="shared" si="22"/>
        <v>1486.0694506534278</v>
      </c>
      <c r="AX22" s="45">
        <f t="shared" si="23"/>
        <v>1842.1835733595328</v>
      </c>
      <c r="AY22" s="45">
        <f t="shared" si="24"/>
        <v>2763.2753600392994</v>
      </c>
      <c r="AZ22" s="45">
        <f t="shared" si="25"/>
        <v>3684.3671467190657</v>
      </c>
      <c r="BA22" s="45">
        <f t="shared" si="26"/>
        <v>4605.4589333988324</v>
      </c>
    </row>
    <row r="23" spans="2:53" x14ac:dyDescent="0.2">
      <c r="B23" s="60" t="s">
        <v>160</v>
      </c>
      <c r="C23" s="61" t="s">
        <v>160</v>
      </c>
      <c r="D23" s="32">
        <v>216422446</v>
      </c>
      <c r="E23" s="58" t="s">
        <v>161</v>
      </c>
      <c r="F23" s="58" t="s">
        <v>162</v>
      </c>
      <c r="G23" s="59" t="s">
        <v>163</v>
      </c>
      <c r="H23" s="59" t="s">
        <v>164</v>
      </c>
      <c r="I23" s="59" t="s">
        <v>165</v>
      </c>
      <c r="J23" s="59" t="s">
        <v>166</v>
      </c>
      <c r="K23" s="59" t="s">
        <v>167</v>
      </c>
      <c r="L23" s="59" t="s">
        <v>168</v>
      </c>
      <c r="M23" s="13" t="str">
        <f t="shared" si="0"/>
        <v>7.35</v>
      </c>
      <c r="N23" s="13" t="str">
        <f t="shared" si="1"/>
        <v>5</v>
      </c>
      <c r="O23" s="13">
        <f t="shared" si="2"/>
        <v>7.35</v>
      </c>
      <c r="P23" s="13">
        <f t="shared" si="3"/>
        <v>-5</v>
      </c>
      <c r="Q23" s="13">
        <f t="shared" si="4"/>
        <v>7.3499999999999998E-5</v>
      </c>
      <c r="R23" s="13" t="str">
        <f t="shared" si="5"/>
        <v>7.96</v>
      </c>
      <c r="S23" s="13" t="str">
        <f t="shared" si="6"/>
        <v>4</v>
      </c>
      <c r="T23" s="13">
        <f t="shared" si="7"/>
        <v>7.96</v>
      </c>
      <c r="U23" s="13">
        <f t="shared" si="8"/>
        <v>-4</v>
      </c>
      <c r="V23" s="49">
        <f t="shared" si="9"/>
        <v>7.9600000000000005E-4</v>
      </c>
      <c r="W23" s="50">
        <v>1.8822271766849079E-2</v>
      </c>
      <c r="X23" s="50">
        <v>4.9069958763474255E-4</v>
      </c>
      <c r="Y23" s="50">
        <v>0.2694573790827513</v>
      </c>
      <c r="Z23" s="51">
        <v>40.932035358339249</v>
      </c>
      <c r="AA23" s="51">
        <v>1.067104604597372</v>
      </c>
      <c r="AB23" s="52">
        <v>585.97809577940063</v>
      </c>
      <c r="AC23" s="4" t="e">
        <v>#N/A</v>
      </c>
      <c r="AD23" s="4" t="e">
        <v>#N/A</v>
      </c>
      <c r="AE23" s="4" t="e">
        <v>#N/A</v>
      </c>
      <c r="AF23" s="53" t="e">
        <v>#N/A</v>
      </c>
      <c r="AG23" s="54" t="e">
        <v>#N/A</v>
      </c>
      <c r="AH23" s="67">
        <v>53</v>
      </c>
      <c r="AI23" s="68"/>
      <c r="AJ23" s="44">
        <f t="shared" si="10"/>
        <v>0.19311637980305216</v>
      </c>
      <c r="AK23" s="45">
        <f t="shared" si="11"/>
        <v>457.47493624506887</v>
      </c>
      <c r="AL23" s="45">
        <f t="shared" si="12"/>
        <v>990078.44685851864</v>
      </c>
      <c r="AM23" s="45">
        <f t="shared" si="13"/>
        <v>282879.55624529102</v>
      </c>
      <c r="AN23" s="45">
        <f t="shared" si="14"/>
        <v>198015.68937170372</v>
      </c>
      <c r="AO23" s="45">
        <f t="shared" si="15"/>
        <v>247519.61171462963</v>
      </c>
      <c r="AP23" s="43" t="str">
        <f t="shared" si="16"/>
        <v>Widely Accessible</v>
      </c>
      <c r="AQ23" s="45">
        <f>IF(AP23="None", AK23*'[1]Gavi Simplified'!$Y$3, IF(AP23="Limited", AK23*'[1]Gavi Simplified'!$Y$4, IF(AP23="Accessible", AK23*'[1]Gavi Simplified'!$Y$5, AK23)))</f>
        <v>457.47493624506887</v>
      </c>
      <c r="AR23" s="45">
        <f t="shared" si="17"/>
        <v>990078.44685851864</v>
      </c>
      <c r="AS23" s="45">
        <f t="shared" si="18"/>
        <v>282879.55624529102</v>
      </c>
      <c r="AT23" s="45">
        <f t="shared" si="19"/>
        <v>198015.68937170372</v>
      </c>
      <c r="AU23" s="45">
        <f t="shared" si="20"/>
        <v>247519.61171462963</v>
      </c>
      <c r="AV23" s="45">
        <f t="shared" si="21"/>
        <v>940574.52451559273</v>
      </c>
      <c r="AW23" s="45">
        <f t="shared" si="22"/>
        <v>247519.61171462963</v>
      </c>
      <c r="AX23" s="45">
        <f t="shared" si="23"/>
        <v>247519.61171462963</v>
      </c>
      <c r="AY23" s="45">
        <f t="shared" si="24"/>
        <v>247519.61171462963</v>
      </c>
      <c r="AZ23" s="45">
        <f t="shared" si="25"/>
        <v>247519.61171462963</v>
      </c>
      <c r="BA23" s="45">
        <f t="shared" si="26"/>
        <v>247519.61171462963</v>
      </c>
    </row>
    <row r="24" spans="2:53" x14ac:dyDescent="0.2">
      <c r="B24" s="69" t="s">
        <v>169</v>
      </c>
      <c r="C24" s="64" t="s">
        <v>124</v>
      </c>
      <c r="D24" s="32">
        <v>23251485</v>
      </c>
      <c r="E24" s="47" t="s">
        <v>125</v>
      </c>
      <c r="F24" s="47" t="s">
        <v>170</v>
      </c>
      <c r="G24" s="48" t="s">
        <v>171</v>
      </c>
      <c r="H24" s="48" t="s">
        <v>172</v>
      </c>
      <c r="I24" s="48" t="s">
        <v>129</v>
      </c>
      <c r="J24" s="48" t="s">
        <v>173</v>
      </c>
      <c r="K24" s="48" t="s">
        <v>174</v>
      </c>
      <c r="L24" s="48" t="s">
        <v>159</v>
      </c>
      <c r="M24" s="13" t="str">
        <f t="shared" si="0"/>
        <v>6.67</v>
      </c>
      <c r="N24" s="13" t="str">
        <f t="shared" si="1"/>
        <v>4</v>
      </c>
      <c r="O24" s="13">
        <f t="shared" si="2"/>
        <v>6.67</v>
      </c>
      <c r="P24" s="13">
        <f t="shared" si="3"/>
        <v>-4</v>
      </c>
      <c r="Q24" s="13">
        <f t="shared" si="4"/>
        <v>6.6700000000000006E-4</v>
      </c>
      <c r="R24" s="13" t="str">
        <f t="shared" si="5"/>
        <v>7.19</v>
      </c>
      <c r="S24" s="13" t="str">
        <f t="shared" si="6"/>
        <v>3</v>
      </c>
      <c r="T24" s="13">
        <f t="shared" si="7"/>
        <v>7.19</v>
      </c>
      <c r="U24" s="13">
        <f t="shared" si="8"/>
        <v>-3</v>
      </c>
      <c r="V24" s="49">
        <f t="shared" si="9"/>
        <v>7.1900000000000002E-3</v>
      </c>
      <c r="W24" s="50">
        <v>3.473203456091865</v>
      </c>
      <c r="X24" s="50">
        <v>2.3678632816257852</v>
      </c>
      <c r="Y24" s="50">
        <v>4.1448676686035233</v>
      </c>
      <c r="Z24" s="51">
        <v>789.59243135829468</v>
      </c>
      <c r="AA24" s="51">
        <v>538.30619176185758</v>
      </c>
      <c r="AB24" s="52">
        <v>942.2874822869228</v>
      </c>
      <c r="AC24" s="4">
        <v>380</v>
      </c>
      <c r="AD24" s="4">
        <v>560</v>
      </c>
      <c r="AE24" s="4">
        <v>775</v>
      </c>
      <c r="AF24" s="53">
        <v>1.92</v>
      </c>
      <c r="AG24" s="54">
        <v>3.91</v>
      </c>
      <c r="AH24" s="55">
        <v>28.5</v>
      </c>
      <c r="AI24" s="43">
        <v>2</v>
      </c>
      <c r="AJ24" s="44">
        <f t="shared" si="10"/>
        <v>2.2420795642997104E-2</v>
      </c>
      <c r="AK24" s="45">
        <f t="shared" si="11"/>
        <v>35.536767837204025</v>
      </c>
      <c r="AL24" s="45">
        <f t="shared" si="12"/>
        <v>8262.8262431523181</v>
      </c>
      <c r="AM24" s="45">
        <f t="shared" si="13"/>
        <v>2360.8074980435194</v>
      </c>
      <c r="AN24" s="45">
        <f t="shared" si="14"/>
        <v>1652.5652486304634</v>
      </c>
      <c r="AO24" s="45">
        <f t="shared" si="15"/>
        <v>2065.7065607880795</v>
      </c>
      <c r="AP24" s="43" t="str">
        <f t="shared" si="16"/>
        <v>None</v>
      </c>
      <c r="AQ24" s="45">
        <f>IF(AP24="None", AK24*'[1]Gavi Simplified'!$Y$3, IF(AP24="Limited", AK24*'[1]Gavi Simplified'!$Y$4, IF(AP24="Accessible", AK24*'[1]Gavi Simplified'!$Y$5, AK24)))</f>
        <v>150.33460960484973</v>
      </c>
      <c r="AR24" s="45">
        <f t="shared" si="17"/>
        <v>34955.029202080193</v>
      </c>
      <c r="AS24" s="45">
        <f t="shared" si="18"/>
        <v>9987.1512005943405</v>
      </c>
      <c r="AT24" s="45">
        <f t="shared" si="19"/>
        <v>6991.0058404160382</v>
      </c>
      <c r="AU24" s="45">
        <f t="shared" si="20"/>
        <v>8738.7573005200484</v>
      </c>
      <c r="AV24" s="45">
        <f t="shared" si="21"/>
        <v>26534.22700224421</v>
      </c>
      <c r="AW24" s="45">
        <f t="shared" si="22"/>
        <v>2065.7065607880795</v>
      </c>
      <c r="AX24" s="45">
        <f t="shared" si="23"/>
        <v>3495.5029202080191</v>
      </c>
      <c r="AY24" s="45">
        <f t="shared" si="24"/>
        <v>5243.2543803120288</v>
      </c>
      <c r="AZ24" s="45">
        <f t="shared" si="25"/>
        <v>6991.0058404160382</v>
      </c>
      <c r="BA24" s="45">
        <f t="shared" si="26"/>
        <v>8738.7573005200484</v>
      </c>
    </row>
    <row r="25" spans="2:53" x14ac:dyDescent="0.2">
      <c r="B25" s="60" t="s">
        <v>175</v>
      </c>
      <c r="C25" s="61" t="s">
        <v>68</v>
      </c>
      <c r="D25" s="32">
        <v>13238559</v>
      </c>
      <c r="E25" s="58" t="s">
        <v>69</v>
      </c>
      <c r="F25" s="58" t="s">
        <v>176</v>
      </c>
      <c r="G25" s="59" t="s">
        <v>177</v>
      </c>
      <c r="H25" s="59" t="s">
        <v>178</v>
      </c>
      <c r="I25" s="59" t="s">
        <v>73</v>
      </c>
      <c r="J25" s="59" t="s">
        <v>179</v>
      </c>
      <c r="K25" s="59" t="s">
        <v>180</v>
      </c>
      <c r="L25" s="59" t="s">
        <v>66</v>
      </c>
      <c r="M25" s="13" t="str">
        <f t="shared" si="0"/>
        <v>7.19</v>
      </c>
      <c r="N25" s="13" t="str">
        <f t="shared" si="1"/>
        <v>4</v>
      </c>
      <c r="O25" s="13">
        <f t="shared" si="2"/>
        <v>7.19</v>
      </c>
      <c r="P25" s="13">
        <f t="shared" si="3"/>
        <v>-4</v>
      </c>
      <c r="Q25" s="13">
        <f t="shared" si="4"/>
        <v>7.1900000000000002E-4</v>
      </c>
      <c r="R25" s="13" t="str">
        <f t="shared" si="5"/>
        <v>7.40</v>
      </c>
      <c r="S25" s="13" t="str">
        <f t="shared" si="6"/>
        <v>3</v>
      </c>
      <c r="T25" s="13">
        <f t="shared" si="7"/>
        <v>7.4</v>
      </c>
      <c r="U25" s="13">
        <f t="shared" si="8"/>
        <v>-3</v>
      </c>
      <c r="V25" s="49">
        <f t="shared" si="9"/>
        <v>7.4000000000000003E-3</v>
      </c>
      <c r="W25" s="50">
        <v>2.269569196047486</v>
      </c>
      <c r="X25" s="50">
        <v>1.610791831323263</v>
      </c>
      <c r="Y25" s="50">
        <v>2.6936402440920122</v>
      </c>
      <c r="Z25" s="51">
        <v>296.01740972084087</v>
      </c>
      <c r="AA25" s="51">
        <v>210.0938038541415</v>
      </c>
      <c r="AB25" s="52">
        <v>351.32852929294347</v>
      </c>
      <c r="AC25" s="4">
        <v>310</v>
      </c>
      <c r="AD25" s="4">
        <v>455</v>
      </c>
      <c r="AE25" s="4">
        <v>610</v>
      </c>
      <c r="AF25" s="53" t="e">
        <v>#N/A</v>
      </c>
      <c r="AG25" s="54" t="e">
        <v>#N/A</v>
      </c>
      <c r="AH25" s="55">
        <v>25.8</v>
      </c>
      <c r="AI25" s="43">
        <v>2</v>
      </c>
      <c r="AJ25" s="44">
        <f t="shared" si="10"/>
        <v>1.5871604507584618E-2</v>
      </c>
      <c r="AK25" s="45">
        <f t="shared" si="11"/>
        <v>10</v>
      </c>
      <c r="AL25" s="45">
        <f t="shared" si="12"/>
        <v>1323.8559</v>
      </c>
      <c r="AM25" s="45">
        <f t="shared" si="13"/>
        <v>378.24454285714285</v>
      </c>
      <c r="AN25" s="45">
        <f t="shared" si="14"/>
        <v>264.77117999999996</v>
      </c>
      <c r="AO25" s="45">
        <f t="shared" si="15"/>
        <v>330.96397499999995</v>
      </c>
      <c r="AP25" s="43" t="str">
        <f t="shared" si="16"/>
        <v>None</v>
      </c>
      <c r="AQ25" s="45">
        <f>IF(AP25="None", AK25*'[1]Gavi Simplified'!$Y$3, IF(AP25="Limited", AK25*'[1]Gavi Simplified'!$Y$4, IF(AP25="Accessible", AK25*'[1]Gavi Simplified'!$Y$5, AK25)))</f>
        <v>42.303962558874574</v>
      </c>
      <c r="AR25" s="45">
        <f t="shared" si="17"/>
        <v>5600.4350426945202</v>
      </c>
      <c r="AS25" s="45">
        <f t="shared" si="18"/>
        <v>1600.1242979127201</v>
      </c>
      <c r="AT25" s="45">
        <f t="shared" si="19"/>
        <v>1120.087008538904</v>
      </c>
      <c r="AU25" s="45">
        <f t="shared" si="20"/>
        <v>1400.1087606736301</v>
      </c>
      <c r="AV25" s="45">
        <f t="shared" si="21"/>
        <v>4251.268504886164</v>
      </c>
      <c r="AW25" s="45">
        <f t="shared" si="22"/>
        <v>330.96397499999995</v>
      </c>
      <c r="AX25" s="45">
        <f t="shared" si="23"/>
        <v>560.043504269452</v>
      </c>
      <c r="AY25" s="45">
        <f t="shared" si="24"/>
        <v>840.06525640417783</v>
      </c>
      <c r="AZ25" s="45">
        <f t="shared" si="25"/>
        <v>1120.087008538904</v>
      </c>
      <c r="BA25" s="45">
        <f t="shared" si="26"/>
        <v>1400.1087606736301</v>
      </c>
    </row>
    <row r="26" spans="2:53" x14ac:dyDescent="0.2">
      <c r="B26" s="62" t="s">
        <v>181</v>
      </c>
      <c r="C26" s="46" t="s">
        <v>182</v>
      </c>
      <c r="D26" s="32">
        <v>16944826</v>
      </c>
      <c r="E26" s="47" t="s">
        <v>183</v>
      </c>
      <c r="F26" s="47" t="s">
        <v>184</v>
      </c>
      <c r="G26" s="48" t="s">
        <v>185</v>
      </c>
      <c r="H26" s="48" t="s">
        <v>186</v>
      </c>
      <c r="I26" s="48" t="s">
        <v>187</v>
      </c>
      <c r="J26" s="48" t="s">
        <v>188</v>
      </c>
      <c r="K26" s="48" t="s">
        <v>189</v>
      </c>
      <c r="L26" s="48" t="s">
        <v>132</v>
      </c>
      <c r="M26" s="13" t="str">
        <f t="shared" si="0"/>
        <v>7.12</v>
      </c>
      <c r="N26" s="13" t="str">
        <f t="shared" si="1"/>
        <v>4</v>
      </c>
      <c r="O26" s="13">
        <f t="shared" si="2"/>
        <v>7.12</v>
      </c>
      <c r="P26" s="13">
        <f t="shared" si="3"/>
        <v>-4</v>
      </c>
      <c r="Q26" s="13">
        <f t="shared" si="4"/>
        <v>7.1200000000000007E-4</v>
      </c>
      <c r="R26" s="13" t="str">
        <f t="shared" si="5"/>
        <v>7.66</v>
      </c>
      <c r="S26" s="13" t="str">
        <f t="shared" si="6"/>
        <v>3</v>
      </c>
      <c r="T26" s="13">
        <f t="shared" si="7"/>
        <v>7.66</v>
      </c>
      <c r="U26" s="13">
        <f t="shared" si="8"/>
        <v>-3</v>
      </c>
      <c r="V26" s="49">
        <f t="shared" si="9"/>
        <v>7.6600000000000001E-3</v>
      </c>
      <c r="W26" s="50">
        <v>0.23187037109352709</v>
      </c>
      <c r="X26" s="50">
        <v>0.16422744766005901</v>
      </c>
      <c r="Y26" s="50">
        <v>0.41816511698798547</v>
      </c>
      <c r="Z26" s="51">
        <v>40.487529443425487</v>
      </c>
      <c r="AA26" s="51">
        <v>28.676210725833759</v>
      </c>
      <c r="AB26" s="52">
        <v>73.016972398924821</v>
      </c>
      <c r="AC26" s="4">
        <v>540</v>
      </c>
      <c r="AD26" s="4">
        <v>800</v>
      </c>
      <c r="AE26" s="4">
        <v>1050</v>
      </c>
      <c r="AF26" s="53">
        <v>3.2</v>
      </c>
      <c r="AG26" s="54">
        <v>6.4</v>
      </c>
      <c r="AH26" s="67">
        <v>38</v>
      </c>
      <c r="AI26" s="68">
        <v>1</v>
      </c>
      <c r="AJ26" s="44">
        <f t="shared" si="10"/>
        <v>6.0855646590947332E-2</v>
      </c>
      <c r="AK26" s="45">
        <f t="shared" si="11"/>
        <v>231.19509895310921</v>
      </c>
      <c r="AL26" s="45">
        <f t="shared" si="12"/>
        <v>39175.607238132179</v>
      </c>
      <c r="AM26" s="45">
        <f t="shared" si="13"/>
        <v>11193.030639466337</v>
      </c>
      <c r="AN26" s="45">
        <f t="shared" si="14"/>
        <v>7835.1214476264349</v>
      </c>
      <c r="AO26" s="45">
        <f t="shared" si="15"/>
        <v>9793.901809533043</v>
      </c>
      <c r="AP26" s="43" t="str">
        <f t="shared" si="16"/>
        <v>Accessible</v>
      </c>
      <c r="AQ26" s="45">
        <f>IF(AP26="None", AK26*'[1]Gavi Simplified'!$Y$3, IF(AP26="Limited", AK26*'[1]Gavi Simplified'!$Y$4, IF(AP26="Accessible", AK26*'[1]Gavi Simplified'!$Y$5, AK26)))</f>
        <v>716.49379062563105</v>
      </c>
      <c r="AR26" s="45">
        <f t="shared" si="17"/>
        <v>121408.62612231748</v>
      </c>
      <c r="AS26" s="45">
        <f t="shared" si="18"/>
        <v>34688.178892090706</v>
      </c>
      <c r="AT26" s="45">
        <f t="shared" si="19"/>
        <v>24281.725224463491</v>
      </c>
      <c r="AU26" s="45">
        <f t="shared" si="20"/>
        <v>30352.156530579363</v>
      </c>
      <c r="AV26" s="45">
        <f t="shared" si="21"/>
        <v>94779.940095155252</v>
      </c>
      <c r="AW26" s="45">
        <f t="shared" si="22"/>
        <v>9793.901809533043</v>
      </c>
      <c r="AX26" s="45">
        <f t="shared" si="23"/>
        <v>12140.862612231746</v>
      </c>
      <c r="AY26" s="45">
        <f t="shared" si="24"/>
        <v>18211.293918347616</v>
      </c>
      <c r="AZ26" s="45">
        <f t="shared" si="25"/>
        <v>24281.725224463491</v>
      </c>
      <c r="BA26" s="45">
        <f t="shared" si="26"/>
        <v>30352.156530579363</v>
      </c>
    </row>
    <row r="27" spans="2:53" x14ac:dyDescent="0.2">
      <c r="B27" s="70" t="s">
        <v>190</v>
      </c>
      <c r="C27" s="57" t="s">
        <v>124</v>
      </c>
      <c r="D27" s="32">
        <v>28647293</v>
      </c>
      <c r="E27" s="58" t="s">
        <v>125</v>
      </c>
      <c r="F27" s="58" t="s">
        <v>191</v>
      </c>
      <c r="G27" s="59" t="s">
        <v>192</v>
      </c>
      <c r="H27" s="59" t="s">
        <v>193</v>
      </c>
      <c r="I27" s="59" t="s">
        <v>129</v>
      </c>
      <c r="J27" s="59" t="s">
        <v>74</v>
      </c>
      <c r="K27" s="59" t="s">
        <v>194</v>
      </c>
      <c r="L27" s="59" t="s">
        <v>195</v>
      </c>
      <c r="M27" s="13" t="str">
        <f t="shared" si="0"/>
        <v>6.95</v>
      </c>
      <c r="N27" s="13" t="str">
        <f t="shared" si="1"/>
        <v>4</v>
      </c>
      <c r="O27" s="13">
        <f t="shared" si="2"/>
        <v>6.95</v>
      </c>
      <c r="P27" s="13">
        <f t="shared" si="3"/>
        <v>-4</v>
      </c>
      <c r="Q27" s="13">
        <f t="shared" si="4"/>
        <v>6.9500000000000009E-4</v>
      </c>
      <c r="R27" s="13" t="str">
        <f t="shared" si="5"/>
        <v>7.68</v>
      </c>
      <c r="S27" s="13" t="str">
        <f t="shared" si="6"/>
        <v>3</v>
      </c>
      <c r="T27" s="13">
        <f t="shared" si="7"/>
        <v>7.68</v>
      </c>
      <c r="U27" s="13">
        <f t="shared" si="8"/>
        <v>-3</v>
      </c>
      <c r="V27" s="49">
        <f t="shared" si="9"/>
        <v>7.6800000000000002E-3</v>
      </c>
      <c r="W27" s="50">
        <v>0.80570209560623063</v>
      </c>
      <c r="X27" s="50">
        <v>0.57884486537680246</v>
      </c>
      <c r="Y27" s="50">
        <v>0.98750589980275105</v>
      </c>
      <c r="Z27" s="51">
        <v>230.8876561561087</v>
      </c>
      <c r="AA27" s="51">
        <v>165.8778535809665</v>
      </c>
      <c r="AB27" s="52">
        <v>282.98663226664581</v>
      </c>
      <c r="AC27" s="4">
        <v>510</v>
      </c>
      <c r="AD27" s="4">
        <v>750</v>
      </c>
      <c r="AE27" s="4">
        <v>1010</v>
      </c>
      <c r="AF27" s="53">
        <v>2.21</v>
      </c>
      <c r="AG27" s="54">
        <v>4.1399999999999997</v>
      </c>
      <c r="AH27" s="55">
        <v>33.700000000000003</v>
      </c>
      <c r="AI27" s="43">
        <v>2</v>
      </c>
      <c r="AJ27" s="44">
        <f t="shared" si="10"/>
        <v>4.0112582063630976E-2</v>
      </c>
      <c r="AK27" s="45">
        <f t="shared" si="11"/>
        <v>149.52062914413773</v>
      </c>
      <c r="AL27" s="45">
        <f t="shared" si="12"/>
        <v>42833.612726364532</v>
      </c>
      <c r="AM27" s="45">
        <f t="shared" si="13"/>
        <v>12238.175064675581</v>
      </c>
      <c r="AN27" s="45">
        <f t="shared" si="14"/>
        <v>8566.7225452729053</v>
      </c>
      <c r="AO27" s="45">
        <f t="shared" si="15"/>
        <v>10708.403181591131</v>
      </c>
      <c r="AP27" s="43" t="str">
        <f t="shared" si="16"/>
        <v>Limited</v>
      </c>
      <c r="AQ27" s="45">
        <f>IF(AP27="None", AK27*'[1]Gavi Simplified'!$Y$3, IF(AP27="Limited", AK27*'[1]Gavi Simplified'!$Y$4, IF(AP27="Accessible", AK27*'[1]Gavi Simplified'!$Y$5, AK27)))</f>
        <v>520.91815824453943</v>
      </c>
      <c r="AR27" s="45">
        <f t="shared" si="17"/>
        <v>149228.95108251687</v>
      </c>
      <c r="AS27" s="45">
        <f t="shared" si="18"/>
        <v>42636.843166433391</v>
      </c>
      <c r="AT27" s="45">
        <f t="shared" si="19"/>
        <v>29845.79021650337</v>
      </c>
      <c r="AU27" s="45">
        <f t="shared" si="20"/>
        <v>37307.23777062921</v>
      </c>
      <c r="AV27" s="45">
        <f t="shared" si="21"/>
        <v>115168.66893935291</v>
      </c>
      <c r="AW27" s="45">
        <f t="shared" si="22"/>
        <v>10708.403181591131</v>
      </c>
      <c r="AX27" s="45">
        <f t="shared" si="23"/>
        <v>14922.895108251683</v>
      </c>
      <c r="AY27" s="45">
        <f t="shared" si="24"/>
        <v>22384.342662377527</v>
      </c>
      <c r="AZ27" s="45">
        <f t="shared" si="25"/>
        <v>29845.790216503367</v>
      </c>
      <c r="BA27" s="45">
        <f t="shared" si="26"/>
        <v>37307.23777062921</v>
      </c>
    </row>
    <row r="28" spans="2:53" x14ac:dyDescent="0.2">
      <c r="B28" s="69" t="s">
        <v>196</v>
      </c>
      <c r="C28" s="46" t="s">
        <v>68</v>
      </c>
      <c r="D28" s="32">
        <v>5742315</v>
      </c>
      <c r="E28" s="47" t="s">
        <v>69</v>
      </c>
      <c r="F28" s="47" t="s">
        <v>197</v>
      </c>
      <c r="G28" s="48" t="s">
        <v>198</v>
      </c>
      <c r="H28" s="48" t="s">
        <v>72</v>
      </c>
      <c r="I28" s="48" t="s">
        <v>73</v>
      </c>
      <c r="J28" s="48" t="s">
        <v>74</v>
      </c>
      <c r="K28" s="48" t="s">
        <v>199</v>
      </c>
      <c r="L28" s="48" t="s">
        <v>200</v>
      </c>
      <c r="M28" s="13" t="str">
        <f t="shared" si="0"/>
        <v>7.50</v>
      </c>
      <c r="N28" s="13" t="str">
        <f t="shared" si="1"/>
        <v>4</v>
      </c>
      <c r="O28" s="13">
        <f t="shared" si="2"/>
        <v>7.5</v>
      </c>
      <c r="P28" s="13">
        <f t="shared" si="3"/>
        <v>-4</v>
      </c>
      <c r="Q28" s="13">
        <f t="shared" si="4"/>
        <v>7.5000000000000002E-4</v>
      </c>
      <c r="R28" s="13" t="str">
        <f t="shared" si="5"/>
        <v>7.83</v>
      </c>
      <c r="S28" s="13" t="str">
        <f t="shared" si="6"/>
        <v>3</v>
      </c>
      <c r="T28" s="13">
        <f t="shared" si="7"/>
        <v>7.83</v>
      </c>
      <c r="U28" s="13">
        <f t="shared" si="8"/>
        <v>-3</v>
      </c>
      <c r="V28" s="49">
        <f t="shared" si="9"/>
        <v>7.8300000000000002E-3</v>
      </c>
      <c r="W28" s="50">
        <v>5.300670419689343</v>
      </c>
      <c r="X28" s="50">
        <v>3.5649496288353522</v>
      </c>
      <c r="Y28" s="50">
        <v>6.5394859179951084</v>
      </c>
      <c r="Z28" s="51">
        <v>268.8043681628331</v>
      </c>
      <c r="AA28" s="51">
        <v>180.7835531429956</v>
      </c>
      <c r="AB28" s="52">
        <v>331.62642479466621</v>
      </c>
      <c r="AC28" s="4">
        <v>98</v>
      </c>
      <c r="AD28" s="4">
        <v>149</v>
      </c>
      <c r="AE28" s="4">
        <v>200</v>
      </c>
      <c r="AF28" s="53">
        <v>1.96</v>
      </c>
      <c r="AG28" s="54">
        <v>4</v>
      </c>
      <c r="AH28" s="55">
        <v>15.2</v>
      </c>
      <c r="AI28" s="43">
        <v>3</v>
      </c>
      <c r="AJ28" s="44">
        <f t="shared" si="10"/>
        <v>2.5298274760154858E-3</v>
      </c>
      <c r="AK28" s="45">
        <f t="shared" si="11"/>
        <v>10</v>
      </c>
      <c r="AL28" s="45">
        <f t="shared" si="12"/>
        <v>574.23149999999998</v>
      </c>
      <c r="AM28" s="45">
        <f t="shared" si="13"/>
        <v>164.06614285714286</v>
      </c>
      <c r="AN28" s="45">
        <f t="shared" si="14"/>
        <v>114.8463</v>
      </c>
      <c r="AO28" s="45">
        <f t="shared" si="15"/>
        <v>143.557875</v>
      </c>
      <c r="AP28" s="43" t="str">
        <f t="shared" si="16"/>
        <v>None</v>
      </c>
      <c r="AQ28" s="45">
        <f>IF(AP28="None", AK28*'[1]Gavi Simplified'!$Y$3, IF(AP28="Limited", AK28*'[1]Gavi Simplified'!$Y$4, IF(AP28="Accessible", AK28*'[1]Gavi Simplified'!$Y$5, AK28)))</f>
        <v>42.303962558874574</v>
      </c>
      <c r="AR28" s="45">
        <f t="shared" si="17"/>
        <v>2429.2267876126384</v>
      </c>
      <c r="AS28" s="45">
        <f t="shared" si="18"/>
        <v>694.06479646075388</v>
      </c>
      <c r="AT28" s="45">
        <f t="shared" si="19"/>
        <v>485.84535752252771</v>
      </c>
      <c r="AU28" s="45">
        <f t="shared" si="20"/>
        <v>607.3066969031596</v>
      </c>
      <c r="AV28" s="45">
        <f t="shared" si="21"/>
        <v>1844.016626328847</v>
      </c>
      <c r="AW28" s="45">
        <f t="shared" si="22"/>
        <v>143.557875</v>
      </c>
      <c r="AX28" s="45">
        <f t="shared" si="23"/>
        <v>242.92267876126385</v>
      </c>
      <c r="AY28" s="45">
        <f t="shared" si="24"/>
        <v>364.38401814189575</v>
      </c>
      <c r="AZ28" s="45">
        <f t="shared" si="25"/>
        <v>485.84535752252771</v>
      </c>
      <c r="BA28" s="45">
        <f t="shared" si="26"/>
        <v>607.3066969031596</v>
      </c>
    </row>
    <row r="29" spans="2:53" x14ac:dyDescent="0.2">
      <c r="B29" s="70" t="s">
        <v>201</v>
      </c>
      <c r="C29" s="61" t="s">
        <v>124</v>
      </c>
      <c r="D29" s="32">
        <v>18278568</v>
      </c>
      <c r="E29" s="58" t="s">
        <v>125</v>
      </c>
      <c r="F29" s="58" t="s">
        <v>202</v>
      </c>
      <c r="G29" s="59" t="s">
        <v>171</v>
      </c>
      <c r="H29" s="59" t="s">
        <v>203</v>
      </c>
      <c r="I29" s="59" t="s">
        <v>129</v>
      </c>
      <c r="J29" s="59" t="s">
        <v>204</v>
      </c>
      <c r="K29" s="59" t="s">
        <v>205</v>
      </c>
      <c r="L29" s="59" t="s">
        <v>159</v>
      </c>
      <c r="M29" s="13" t="str">
        <f t="shared" si="0"/>
        <v>6.67</v>
      </c>
      <c r="N29" s="13" t="str">
        <f t="shared" si="1"/>
        <v>4</v>
      </c>
      <c r="O29" s="13">
        <f t="shared" si="2"/>
        <v>6.67</v>
      </c>
      <c r="P29" s="13">
        <f t="shared" si="3"/>
        <v>-4</v>
      </c>
      <c r="Q29" s="13">
        <f t="shared" si="4"/>
        <v>6.6700000000000006E-4</v>
      </c>
      <c r="R29" s="13" t="str">
        <f t="shared" si="5"/>
        <v>7.16</v>
      </c>
      <c r="S29" s="13" t="str">
        <f t="shared" si="6"/>
        <v>3</v>
      </c>
      <c r="T29" s="13">
        <f t="shared" si="7"/>
        <v>7.16</v>
      </c>
      <c r="U29" s="13">
        <f t="shared" si="8"/>
        <v>-3</v>
      </c>
      <c r="V29" s="49">
        <f t="shared" si="9"/>
        <v>7.1600000000000006E-3</v>
      </c>
      <c r="W29" s="50">
        <v>6.2683734028926494</v>
      </c>
      <c r="X29" s="50">
        <v>4.2960282039678868</v>
      </c>
      <c r="Y29" s="50">
        <v>7.9460347640099096</v>
      </c>
      <c r="Z29" s="51">
        <v>1124.4552669815471</v>
      </c>
      <c r="AA29" s="51">
        <v>770.64514676546867</v>
      </c>
      <c r="AB29" s="52">
        <v>1425.4033810248491</v>
      </c>
      <c r="AC29" s="4">
        <v>310</v>
      </c>
      <c r="AD29" s="4">
        <v>470</v>
      </c>
      <c r="AE29" s="4">
        <v>648</v>
      </c>
      <c r="AF29" s="53">
        <v>2.0499999999999998</v>
      </c>
      <c r="AG29" s="54">
        <v>4.29</v>
      </c>
      <c r="AH29" s="55">
        <v>23.8</v>
      </c>
      <c r="AI29" s="43">
        <v>2</v>
      </c>
      <c r="AJ29" s="44">
        <f t="shared" si="10"/>
        <v>1.1994743240961463E-2</v>
      </c>
      <c r="AK29" s="45">
        <f t="shared" si="11"/>
        <v>10</v>
      </c>
      <c r="AL29" s="45">
        <f t="shared" si="12"/>
        <v>1827.8568</v>
      </c>
      <c r="AM29" s="45">
        <f t="shared" si="13"/>
        <v>522.24480000000005</v>
      </c>
      <c r="AN29" s="45">
        <f t="shared" si="14"/>
        <v>365.57136000000003</v>
      </c>
      <c r="AO29" s="45">
        <f t="shared" si="15"/>
        <v>456.96420000000001</v>
      </c>
      <c r="AP29" s="43" t="str">
        <f t="shared" si="16"/>
        <v>None</v>
      </c>
      <c r="AQ29" s="45">
        <f>IF(AP29="None", AK29*'[1]Gavi Simplified'!$Y$3, IF(AP29="Limited", AK29*'[1]Gavi Simplified'!$Y$4, IF(AP29="Accessible", AK29*'[1]Gavi Simplified'!$Y$5, AK29)))</f>
        <v>42.303962558874574</v>
      </c>
      <c r="AR29" s="45">
        <f t="shared" si="17"/>
        <v>7732.5585630184287</v>
      </c>
      <c r="AS29" s="45">
        <f t="shared" si="18"/>
        <v>2209.3024465766939</v>
      </c>
      <c r="AT29" s="45">
        <f t="shared" si="19"/>
        <v>1546.5117126036857</v>
      </c>
      <c r="AU29" s="45">
        <f t="shared" si="20"/>
        <v>1933.1396407546072</v>
      </c>
      <c r="AV29" s="45">
        <f t="shared" si="21"/>
        <v>5869.7551941129004</v>
      </c>
      <c r="AW29" s="45">
        <f t="shared" si="22"/>
        <v>456.96420000000001</v>
      </c>
      <c r="AX29" s="45">
        <f t="shared" si="23"/>
        <v>773.25585630184287</v>
      </c>
      <c r="AY29" s="45">
        <f t="shared" si="24"/>
        <v>1159.8837844527643</v>
      </c>
      <c r="AZ29" s="45">
        <f t="shared" si="25"/>
        <v>1546.5117126036857</v>
      </c>
      <c r="BA29" s="45">
        <f t="shared" si="26"/>
        <v>1933.1396407546072</v>
      </c>
    </row>
    <row r="30" spans="2:53" x14ac:dyDescent="0.2">
      <c r="B30" s="62" t="s">
        <v>206</v>
      </c>
      <c r="C30" s="64" t="s">
        <v>206</v>
      </c>
      <c r="D30" s="32">
        <v>1425671352</v>
      </c>
      <c r="E30" s="47" t="s">
        <v>207</v>
      </c>
      <c r="F30" s="47" t="s">
        <v>106</v>
      </c>
      <c r="G30" s="48" t="s">
        <v>208</v>
      </c>
      <c r="H30" s="48" t="s">
        <v>209</v>
      </c>
      <c r="I30" s="48" t="s">
        <v>210</v>
      </c>
      <c r="J30" s="48" t="s">
        <v>211</v>
      </c>
      <c r="K30" s="48" t="s">
        <v>212</v>
      </c>
      <c r="L30" s="48" t="s">
        <v>213</v>
      </c>
      <c r="M30" s="13" t="str">
        <f t="shared" si="0"/>
        <v>4.76</v>
      </c>
      <c r="N30" s="13" t="str">
        <f t="shared" si="1"/>
        <v>4</v>
      </c>
      <c r="O30" s="13">
        <f t="shared" si="2"/>
        <v>4.76</v>
      </c>
      <c r="P30" s="13">
        <f t="shared" si="3"/>
        <v>-4</v>
      </c>
      <c r="Q30" s="13">
        <f t="shared" si="4"/>
        <v>4.7600000000000002E-4</v>
      </c>
      <c r="R30" s="13" t="str">
        <f t="shared" si="5"/>
        <v>5.10</v>
      </c>
      <c r="S30" s="13" t="str">
        <f t="shared" si="6"/>
        <v>3</v>
      </c>
      <c r="T30" s="13">
        <f t="shared" si="7"/>
        <v>5.0999999999999996</v>
      </c>
      <c r="U30" s="13">
        <f t="shared" si="8"/>
        <v>-3</v>
      </c>
      <c r="V30" s="49">
        <f t="shared" si="9"/>
        <v>5.0999999999999995E-3</v>
      </c>
      <c r="W30" s="50">
        <v>3.4991267205434357E-2</v>
      </c>
      <c r="X30" s="50">
        <v>1.883369227162927E-2</v>
      </c>
      <c r="Y30" s="50">
        <v>7.2755878389809125E-2</v>
      </c>
      <c r="Z30" s="51">
        <v>496.10547091745451</v>
      </c>
      <c r="AA30" s="51">
        <v>267.02370390518348</v>
      </c>
      <c r="AB30" s="52">
        <v>1031.531356057422</v>
      </c>
      <c r="AC30" s="4" t="e">
        <v>#N/A</v>
      </c>
      <c r="AD30" s="4" t="e">
        <v>#N/A</v>
      </c>
      <c r="AE30" s="4" t="e">
        <v>#N/A</v>
      </c>
      <c r="AF30" s="53" t="e">
        <v>#N/A</v>
      </c>
      <c r="AG30" s="54" t="e">
        <v>#N/A</v>
      </c>
      <c r="AH30" s="55">
        <v>70.2</v>
      </c>
      <c r="AI30" s="43"/>
      <c r="AJ30" s="44">
        <f t="shared" si="10"/>
        <v>0.51224942332203383</v>
      </c>
      <c r="AK30" s="45">
        <f t="shared" si="11"/>
        <v>648.62701329892434</v>
      </c>
      <c r="AL30" s="45">
        <f t="shared" si="12"/>
        <v>9247289.5099359937</v>
      </c>
      <c r="AM30" s="45">
        <f t="shared" si="13"/>
        <v>2642082.7171245697</v>
      </c>
      <c r="AN30" s="45">
        <f t="shared" si="14"/>
        <v>1849457.9019871987</v>
      </c>
      <c r="AO30" s="45">
        <f t="shared" si="15"/>
        <v>2311822.3774839984</v>
      </c>
      <c r="AP30" s="43" t="str">
        <f t="shared" si="16"/>
        <v>Widely Accessible</v>
      </c>
      <c r="AQ30" s="45">
        <f>IF(AP30="None", AK30*'[1]Gavi Simplified'!$Y$3, IF(AP30="Limited", AK30*'[1]Gavi Simplified'!$Y$4, IF(AP30="Accessible", AK30*'[1]Gavi Simplified'!$Y$5, AK30)))</f>
        <v>648.62701329892434</v>
      </c>
      <c r="AR30" s="45">
        <f t="shared" si="17"/>
        <v>9247289.5099359937</v>
      </c>
      <c r="AS30" s="45">
        <f t="shared" si="18"/>
        <v>2642082.7171245697</v>
      </c>
      <c r="AT30" s="45">
        <f t="shared" si="19"/>
        <v>1849457.9019871987</v>
      </c>
      <c r="AU30" s="45">
        <f t="shared" si="20"/>
        <v>2311822.3774839984</v>
      </c>
      <c r="AV30" s="45">
        <f t="shared" si="21"/>
        <v>8784925.0344391949</v>
      </c>
      <c r="AW30" s="45">
        <f t="shared" si="22"/>
        <v>2311822.3774839984</v>
      </c>
      <c r="AX30" s="45">
        <f t="shared" si="23"/>
        <v>2311822.3774839984</v>
      </c>
      <c r="AY30" s="45">
        <f t="shared" si="24"/>
        <v>2311822.3774839984</v>
      </c>
      <c r="AZ30" s="45">
        <f t="shared" si="25"/>
        <v>2311822.3774839984</v>
      </c>
      <c r="BA30" s="45">
        <f t="shared" si="26"/>
        <v>2311822.3774839984</v>
      </c>
    </row>
    <row r="31" spans="2:53" x14ac:dyDescent="0.2">
      <c r="B31" s="60" t="s">
        <v>214</v>
      </c>
      <c r="C31" s="61" t="s">
        <v>143</v>
      </c>
      <c r="D31" s="32">
        <v>52085168</v>
      </c>
      <c r="E31" s="58" t="s">
        <v>215</v>
      </c>
      <c r="F31" s="58" t="s">
        <v>216</v>
      </c>
      <c r="G31" s="59" t="s">
        <v>217</v>
      </c>
      <c r="H31" s="59" t="s">
        <v>218</v>
      </c>
      <c r="I31" s="59" t="s">
        <v>219</v>
      </c>
      <c r="J31" s="59" t="s">
        <v>220</v>
      </c>
      <c r="K31" s="59" t="s">
        <v>221</v>
      </c>
      <c r="L31" s="59" t="s">
        <v>222</v>
      </c>
      <c r="M31" s="13" t="str">
        <f t="shared" si="0"/>
        <v>5.62</v>
      </c>
      <c r="N31" s="13" t="str">
        <f t="shared" si="1"/>
        <v>5</v>
      </c>
      <c r="O31" s="13">
        <f t="shared" si="2"/>
        <v>5.62</v>
      </c>
      <c r="P31" s="13">
        <f t="shared" si="3"/>
        <v>-5</v>
      </c>
      <c r="Q31" s="13">
        <f t="shared" si="4"/>
        <v>5.6200000000000004E-5</v>
      </c>
      <c r="R31" s="13" t="str">
        <f t="shared" si="5"/>
        <v>6.28</v>
      </c>
      <c r="S31" s="13" t="str">
        <f t="shared" si="6"/>
        <v>4</v>
      </c>
      <c r="T31" s="13">
        <f t="shared" si="7"/>
        <v>6.28</v>
      </c>
      <c r="U31" s="13">
        <f t="shared" si="8"/>
        <v>-4</v>
      </c>
      <c r="V31" s="49">
        <f t="shared" si="9"/>
        <v>6.2800000000000009E-4</v>
      </c>
      <c r="W31" s="50">
        <v>1.8627553466643361E-2</v>
      </c>
      <c r="X31" s="50">
        <v>6.4974515572119079E-4</v>
      </c>
      <c r="Y31" s="50">
        <v>0.32823987761142348</v>
      </c>
      <c r="Z31" s="51">
        <v>9.8963622124981416</v>
      </c>
      <c r="AA31" s="51">
        <v>0.34519366262174012</v>
      </c>
      <c r="AB31" s="52">
        <v>174.3857950667344</v>
      </c>
      <c r="AC31" s="4" t="e">
        <v>#N/A</v>
      </c>
      <c r="AD31" s="4" t="e">
        <v>#N/A</v>
      </c>
      <c r="AE31" s="4" t="e">
        <v>#N/A</v>
      </c>
      <c r="AF31" s="53" t="e">
        <v>#N/A</v>
      </c>
      <c r="AG31" s="54" t="e">
        <v>#N/A</v>
      </c>
      <c r="AH31" s="55">
        <v>61.1</v>
      </c>
      <c r="AI31" s="43"/>
      <c r="AJ31" s="44">
        <f t="shared" si="10"/>
        <v>0.31637374273904617</v>
      </c>
      <c r="AK31" s="45">
        <f t="shared" si="11"/>
        <v>554.20157042467508</v>
      </c>
      <c r="AL31" s="45">
        <f t="shared" si="12"/>
        <v>288656.81901433034</v>
      </c>
      <c r="AM31" s="45">
        <f t="shared" si="13"/>
        <v>82473.376861237237</v>
      </c>
      <c r="AN31" s="45">
        <f t="shared" si="14"/>
        <v>57731.363802866064</v>
      </c>
      <c r="AO31" s="45">
        <f t="shared" si="15"/>
        <v>72164.204753582584</v>
      </c>
      <c r="AP31" s="43" t="str">
        <f t="shared" si="16"/>
        <v>Widely Accessible</v>
      </c>
      <c r="AQ31" s="45">
        <f>IF(AP31="None", AK31*'[1]Gavi Simplified'!$Y$3, IF(AP31="Limited", AK31*'[1]Gavi Simplified'!$Y$4, IF(AP31="Accessible", AK31*'[1]Gavi Simplified'!$Y$5, AK31)))</f>
        <v>554.20157042467508</v>
      </c>
      <c r="AR31" s="45">
        <f t="shared" si="17"/>
        <v>288656.81901433034</v>
      </c>
      <c r="AS31" s="45">
        <f t="shared" si="18"/>
        <v>82473.376861237237</v>
      </c>
      <c r="AT31" s="45">
        <f t="shared" si="19"/>
        <v>57731.363802866064</v>
      </c>
      <c r="AU31" s="45">
        <f t="shared" si="20"/>
        <v>72164.204753582584</v>
      </c>
      <c r="AV31" s="45">
        <f t="shared" si="21"/>
        <v>274223.97806361387</v>
      </c>
      <c r="AW31" s="45">
        <f t="shared" si="22"/>
        <v>72164.204753582584</v>
      </c>
      <c r="AX31" s="45">
        <f t="shared" si="23"/>
        <v>72164.204753582584</v>
      </c>
      <c r="AY31" s="45">
        <f t="shared" si="24"/>
        <v>72164.204753582584</v>
      </c>
      <c r="AZ31" s="45">
        <f t="shared" si="25"/>
        <v>72164.204753582584</v>
      </c>
      <c r="BA31" s="45">
        <f t="shared" si="26"/>
        <v>72164.204753582584</v>
      </c>
    </row>
    <row r="32" spans="2:53" x14ac:dyDescent="0.2">
      <c r="B32" s="66" t="s">
        <v>223</v>
      </c>
      <c r="C32" s="64" t="s">
        <v>68</v>
      </c>
      <c r="D32" s="32">
        <v>6106869</v>
      </c>
      <c r="E32" s="47" t="s">
        <v>224</v>
      </c>
      <c r="F32" s="47" t="s">
        <v>225</v>
      </c>
      <c r="G32" s="48" t="s">
        <v>226</v>
      </c>
      <c r="H32" s="48" t="s">
        <v>227</v>
      </c>
      <c r="I32" s="48" t="s">
        <v>228</v>
      </c>
      <c r="J32" s="48" t="s">
        <v>188</v>
      </c>
      <c r="K32" s="48" t="s">
        <v>229</v>
      </c>
      <c r="L32" s="48" t="s">
        <v>230</v>
      </c>
      <c r="M32" s="13" t="str">
        <f t="shared" si="0"/>
        <v>6.90</v>
      </c>
      <c r="N32" s="13" t="str">
        <f t="shared" si="1"/>
        <v>4</v>
      </c>
      <c r="O32" s="13">
        <f t="shared" si="2"/>
        <v>6.9</v>
      </c>
      <c r="P32" s="13">
        <f t="shared" si="3"/>
        <v>-4</v>
      </c>
      <c r="Q32" s="13">
        <f t="shared" si="4"/>
        <v>6.9000000000000008E-4</v>
      </c>
      <c r="R32" s="13" t="str">
        <f t="shared" si="5"/>
        <v>7.74</v>
      </c>
      <c r="S32" s="13" t="str">
        <f t="shared" si="6"/>
        <v>3</v>
      </c>
      <c r="T32" s="13">
        <f t="shared" si="7"/>
        <v>7.74</v>
      </c>
      <c r="U32" s="13">
        <f t="shared" si="8"/>
        <v>-3</v>
      </c>
      <c r="V32" s="49">
        <f t="shared" si="9"/>
        <v>7.7400000000000004E-3</v>
      </c>
      <c r="W32" s="50">
        <v>0.38231764372875371</v>
      </c>
      <c r="X32" s="50">
        <v>0.25219229298770462</v>
      </c>
      <c r="Y32" s="50">
        <v>0.49563526117691592</v>
      </c>
      <c r="Z32" s="51">
        <v>22.761915389713671</v>
      </c>
      <c r="AA32" s="51">
        <v>15.014686685495191</v>
      </c>
      <c r="AB32" s="52">
        <v>29.50846779928278</v>
      </c>
      <c r="AC32" s="4">
        <v>93</v>
      </c>
      <c r="AD32" s="4">
        <v>133</v>
      </c>
      <c r="AE32" s="4">
        <v>178</v>
      </c>
      <c r="AF32" s="53" t="e">
        <v>#N/A</v>
      </c>
      <c r="AG32" s="54" t="e">
        <v>#N/A</v>
      </c>
      <c r="AH32" s="67">
        <v>34</v>
      </c>
      <c r="AI32" s="68"/>
      <c r="AJ32" s="44">
        <f t="shared" si="10"/>
        <v>4.1365680080600056E-2</v>
      </c>
      <c r="AK32" s="45">
        <f t="shared" si="11"/>
        <v>155.54832000194347</v>
      </c>
      <c r="AL32" s="45">
        <f t="shared" si="12"/>
        <v>9499.1321342194842</v>
      </c>
      <c r="AM32" s="45">
        <f t="shared" si="13"/>
        <v>2714.0377526341385</v>
      </c>
      <c r="AN32" s="45">
        <f t="shared" si="14"/>
        <v>1899.8264268438968</v>
      </c>
      <c r="AO32" s="45">
        <f t="shared" si="15"/>
        <v>2374.7830335548711</v>
      </c>
      <c r="AP32" s="43" t="str">
        <f t="shared" si="16"/>
        <v>Limited</v>
      </c>
      <c r="AQ32" s="45">
        <f>IF(AP32="None", AK32*'[1]Gavi Simplified'!$Y$3, IF(AP32="Limited", AK32*'[1]Gavi Simplified'!$Y$4, IF(AP32="Accessible", AK32*'[1]Gavi Simplified'!$Y$5, AK32)))</f>
        <v>541.91816097385322</v>
      </c>
      <c r="AR32" s="45">
        <f t="shared" si="17"/>
        <v>33094.232177882346</v>
      </c>
      <c r="AS32" s="45">
        <f t="shared" si="18"/>
        <v>9455.4949079663838</v>
      </c>
      <c r="AT32" s="45">
        <f t="shared" si="19"/>
        <v>6618.8464355764681</v>
      </c>
      <c r="AU32" s="45">
        <f t="shared" si="20"/>
        <v>8273.5580444705847</v>
      </c>
      <c r="AV32" s="45">
        <f t="shared" si="21"/>
        <v>25540.745558072507</v>
      </c>
      <c r="AW32" s="45">
        <f t="shared" si="22"/>
        <v>2374.7830335548711</v>
      </c>
      <c r="AX32" s="45">
        <f t="shared" si="23"/>
        <v>3309.4232177882341</v>
      </c>
      <c r="AY32" s="45">
        <f t="shared" si="24"/>
        <v>4964.1348266823516</v>
      </c>
      <c r="AZ32" s="45">
        <f t="shared" si="25"/>
        <v>6618.8464355764681</v>
      </c>
      <c r="BA32" s="45">
        <f t="shared" si="26"/>
        <v>8273.5580444705847</v>
      </c>
    </row>
    <row r="33" spans="2:53" x14ac:dyDescent="0.2">
      <c r="B33" s="60" t="s">
        <v>231</v>
      </c>
      <c r="C33" s="61" t="s">
        <v>78</v>
      </c>
      <c r="D33" s="32">
        <v>11194449</v>
      </c>
      <c r="E33" s="58" t="s">
        <v>232</v>
      </c>
      <c r="F33" s="58" t="s">
        <v>233</v>
      </c>
      <c r="G33" s="59" t="s">
        <v>234</v>
      </c>
      <c r="H33" s="59" t="s">
        <v>95</v>
      </c>
      <c r="I33" s="59" t="s">
        <v>235</v>
      </c>
      <c r="J33" s="59" t="s">
        <v>236</v>
      </c>
      <c r="K33" s="59" t="s">
        <v>237</v>
      </c>
      <c r="L33" s="59" t="s">
        <v>238</v>
      </c>
      <c r="M33" s="13" t="str">
        <f t="shared" si="0"/>
        <v>9.46</v>
      </c>
      <c r="N33" s="13" t="str">
        <f t="shared" si="1"/>
        <v>5</v>
      </c>
      <c r="O33" s="13">
        <f t="shared" si="2"/>
        <v>9.4600000000000009</v>
      </c>
      <c r="P33" s="13">
        <f t="shared" si="3"/>
        <v>-5</v>
      </c>
      <c r="Q33" s="13">
        <f t="shared" si="4"/>
        <v>9.4600000000000023E-5</v>
      </c>
      <c r="R33" s="13" t="str">
        <f t="shared" si="5"/>
        <v>1.03</v>
      </c>
      <c r="S33" s="13" t="str">
        <f t="shared" si="6"/>
        <v>3</v>
      </c>
      <c r="T33" s="13">
        <f t="shared" si="7"/>
        <v>1.03</v>
      </c>
      <c r="U33" s="13">
        <f t="shared" si="8"/>
        <v>-3</v>
      </c>
      <c r="V33" s="49">
        <f t="shared" si="9"/>
        <v>1.0300000000000001E-3</v>
      </c>
      <c r="W33" s="50">
        <v>1.9758302085670669E-3</v>
      </c>
      <c r="X33" s="50">
        <v>7.1017735923866755E-5</v>
      </c>
      <c r="Y33" s="50">
        <v>8.5648419694931754E-2</v>
      </c>
      <c r="Z33" s="51">
        <v>0.2235627832509125</v>
      </c>
      <c r="AA33" s="51">
        <v>8.035570381744692E-3</v>
      </c>
      <c r="AB33" s="52">
        <v>9.6910144429504292</v>
      </c>
      <c r="AC33" s="4" t="e">
        <v>#N/A</v>
      </c>
      <c r="AD33" s="4" t="e">
        <v>#N/A</v>
      </c>
      <c r="AE33" s="4" t="e">
        <v>#N/A</v>
      </c>
      <c r="AF33" s="53" t="e">
        <v>#N/A</v>
      </c>
      <c r="AG33" s="54" t="e">
        <v>#N/A</v>
      </c>
      <c r="AH33" s="55">
        <v>66.2</v>
      </c>
      <c r="AI33" s="43"/>
      <c r="AJ33" s="44">
        <f t="shared" si="10"/>
        <v>0.41787461667183273</v>
      </c>
      <c r="AK33" s="45">
        <f t="shared" si="11"/>
        <v>608.72583645676741</v>
      </c>
      <c r="AL33" s="45">
        <f t="shared" si="12"/>
        <v>68143.503311976237</v>
      </c>
      <c r="AM33" s="45">
        <f t="shared" si="13"/>
        <v>19469.572374850355</v>
      </c>
      <c r="AN33" s="45">
        <f t="shared" si="14"/>
        <v>13628.700662395247</v>
      </c>
      <c r="AO33" s="45">
        <f t="shared" si="15"/>
        <v>17035.875827994059</v>
      </c>
      <c r="AP33" s="43" t="str">
        <f t="shared" si="16"/>
        <v>Widely Accessible</v>
      </c>
      <c r="AQ33" s="45">
        <f>IF(AP33="None", AK33*'[1]Gavi Simplified'!$Y$3, IF(AP33="Limited", AK33*'[1]Gavi Simplified'!$Y$4, IF(AP33="Accessible", AK33*'[1]Gavi Simplified'!$Y$5, AK33)))</f>
        <v>608.72583645676741</v>
      </c>
      <c r="AR33" s="45">
        <f t="shared" si="17"/>
        <v>68143.503311976237</v>
      </c>
      <c r="AS33" s="45">
        <f t="shared" si="18"/>
        <v>19469.572374850355</v>
      </c>
      <c r="AT33" s="45">
        <f t="shared" si="19"/>
        <v>13628.700662395247</v>
      </c>
      <c r="AU33" s="45">
        <f t="shared" si="20"/>
        <v>17035.875827994059</v>
      </c>
      <c r="AV33" s="45">
        <f t="shared" si="21"/>
        <v>64736.328146377426</v>
      </c>
      <c r="AW33" s="45">
        <f t="shared" si="22"/>
        <v>17035.875827994059</v>
      </c>
      <c r="AX33" s="45">
        <f t="shared" si="23"/>
        <v>17035.875827994059</v>
      </c>
      <c r="AY33" s="45">
        <f t="shared" si="24"/>
        <v>17035.875827994059</v>
      </c>
      <c r="AZ33" s="45">
        <f t="shared" si="25"/>
        <v>17035.875827994059</v>
      </c>
      <c r="BA33" s="45">
        <f t="shared" si="26"/>
        <v>17035.875827994059</v>
      </c>
    </row>
    <row r="34" spans="2:53" x14ac:dyDescent="0.2">
      <c r="B34" s="12" t="s">
        <v>239</v>
      </c>
      <c r="C34" s="46" t="s">
        <v>68</v>
      </c>
      <c r="D34" s="32">
        <v>102262808</v>
      </c>
      <c r="E34" s="47" t="s">
        <v>69</v>
      </c>
      <c r="F34" s="47" t="s">
        <v>240</v>
      </c>
      <c r="G34" s="48" t="s">
        <v>241</v>
      </c>
      <c r="H34" s="48" t="s">
        <v>186</v>
      </c>
      <c r="I34" s="48" t="s">
        <v>73</v>
      </c>
      <c r="J34" s="48" t="s">
        <v>242</v>
      </c>
      <c r="K34" s="48" t="s">
        <v>194</v>
      </c>
      <c r="L34" s="48" t="s">
        <v>76</v>
      </c>
      <c r="M34" s="13" t="str">
        <f t="shared" si="0"/>
        <v>7.08</v>
      </c>
      <c r="N34" s="13" t="str">
        <f t="shared" si="1"/>
        <v>4</v>
      </c>
      <c r="O34" s="13">
        <f t="shared" si="2"/>
        <v>7.08</v>
      </c>
      <c r="P34" s="13">
        <f t="shared" si="3"/>
        <v>-4</v>
      </c>
      <c r="Q34" s="13">
        <f t="shared" si="4"/>
        <v>7.0800000000000008E-4</v>
      </c>
      <c r="R34" s="13" t="str">
        <f t="shared" si="5"/>
        <v>7.66</v>
      </c>
      <c r="S34" s="13" t="str">
        <f t="shared" si="6"/>
        <v>3</v>
      </c>
      <c r="T34" s="13">
        <f t="shared" si="7"/>
        <v>7.66</v>
      </c>
      <c r="U34" s="13">
        <f t="shared" si="8"/>
        <v>-3</v>
      </c>
      <c r="V34" s="49">
        <f t="shared" si="9"/>
        <v>7.6600000000000001E-3</v>
      </c>
      <c r="W34" s="50">
        <v>3.0906909184644049</v>
      </c>
      <c r="X34" s="50">
        <v>2.129886154940047</v>
      </c>
      <c r="Y34" s="50">
        <v>3.675783479511483</v>
      </c>
      <c r="Z34" s="51">
        <v>3041.0915844068609</v>
      </c>
      <c r="AA34" s="51">
        <v>2095.7057927846831</v>
      </c>
      <c r="AB34" s="52">
        <v>3616.7945940055588</v>
      </c>
      <c r="AC34" s="4">
        <v>1520</v>
      </c>
      <c r="AD34" s="4">
        <v>2296</v>
      </c>
      <c r="AE34" s="4">
        <v>3175</v>
      </c>
      <c r="AF34" s="53" t="e">
        <v>#N/A</v>
      </c>
      <c r="AG34" s="54" t="e">
        <v>#N/A</v>
      </c>
      <c r="AH34" s="67">
        <v>29</v>
      </c>
      <c r="AI34" s="68">
        <v>3</v>
      </c>
      <c r="AJ34" s="44">
        <f t="shared" si="10"/>
        <v>2.3815911432517503E-2</v>
      </c>
      <c r="AK34" s="45">
        <f t="shared" si="11"/>
        <v>47.365239890400517</v>
      </c>
      <c r="AL34" s="45">
        <f t="shared" si="12"/>
        <v>48437.02432785969</v>
      </c>
      <c r="AM34" s="45">
        <f t="shared" si="13"/>
        <v>13839.149807959911</v>
      </c>
      <c r="AN34" s="45">
        <f t="shared" si="14"/>
        <v>9687.404865571938</v>
      </c>
      <c r="AO34" s="45">
        <f t="shared" si="15"/>
        <v>12109.256081964922</v>
      </c>
      <c r="AP34" s="43" t="str">
        <f t="shared" si="16"/>
        <v>None</v>
      </c>
      <c r="AQ34" s="45">
        <f>IF(AP34="None", AK34*'[1]Gavi Simplified'!$Y$3, IF(AP34="Limited", AK34*'[1]Gavi Simplified'!$Y$4, IF(AP34="Accessible", AK34*'[1]Gavi Simplified'!$Y$5, AK34)))</f>
        <v>200.37373349156161</v>
      </c>
      <c r="AR34" s="45">
        <f t="shared" si="17"/>
        <v>204907.80636290737</v>
      </c>
      <c r="AS34" s="45">
        <f t="shared" si="18"/>
        <v>58545.087532259247</v>
      </c>
      <c r="AT34" s="45">
        <f t="shared" si="19"/>
        <v>40981.561272581472</v>
      </c>
      <c r="AU34" s="45">
        <f t="shared" si="20"/>
        <v>51226.951590726836</v>
      </c>
      <c r="AV34" s="45">
        <f t="shared" si="21"/>
        <v>155544.72053600004</v>
      </c>
      <c r="AW34" s="45">
        <f t="shared" si="22"/>
        <v>12109.256081964922</v>
      </c>
      <c r="AX34" s="45">
        <f t="shared" si="23"/>
        <v>20490.780636290732</v>
      </c>
      <c r="AY34" s="45">
        <f t="shared" si="24"/>
        <v>30736.170954436097</v>
      </c>
      <c r="AZ34" s="45">
        <f t="shared" si="25"/>
        <v>40981.561272581464</v>
      </c>
      <c r="BA34" s="45">
        <f t="shared" si="26"/>
        <v>51226.951590726836</v>
      </c>
    </row>
    <row r="35" spans="2:53" x14ac:dyDescent="0.2">
      <c r="B35" s="60" t="s">
        <v>243</v>
      </c>
      <c r="C35" s="61" t="s">
        <v>48</v>
      </c>
      <c r="D35" s="32">
        <v>1136455</v>
      </c>
      <c r="E35" s="58" t="s">
        <v>224</v>
      </c>
      <c r="F35" s="58" t="s">
        <v>244</v>
      </c>
      <c r="G35" s="59" t="s">
        <v>245</v>
      </c>
      <c r="H35" s="59" t="s">
        <v>246</v>
      </c>
      <c r="I35" s="59" t="s">
        <v>228</v>
      </c>
      <c r="J35" s="59" t="s">
        <v>179</v>
      </c>
      <c r="K35" s="59" t="s">
        <v>131</v>
      </c>
      <c r="L35" s="59" t="s">
        <v>230</v>
      </c>
      <c r="M35" s="13" t="str">
        <f t="shared" si="0"/>
        <v>7.22</v>
      </c>
      <c r="N35" s="13" t="str">
        <f t="shared" si="1"/>
        <v>4</v>
      </c>
      <c r="O35" s="13">
        <f t="shared" si="2"/>
        <v>7.22</v>
      </c>
      <c r="P35" s="13">
        <f t="shared" si="3"/>
        <v>-4</v>
      </c>
      <c r="Q35" s="13">
        <f t="shared" si="4"/>
        <v>7.2199999999999999E-4</v>
      </c>
      <c r="R35" s="13" t="str">
        <f t="shared" si="5"/>
        <v>7.63</v>
      </c>
      <c r="S35" s="13" t="str">
        <f t="shared" si="6"/>
        <v>3</v>
      </c>
      <c r="T35" s="13">
        <f t="shared" si="7"/>
        <v>7.63</v>
      </c>
      <c r="U35" s="13">
        <f t="shared" si="8"/>
        <v>-3</v>
      </c>
      <c r="V35" s="49">
        <f t="shared" si="9"/>
        <v>7.6299999999999996E-3</v>
      </c>
      <c r="W35" s="50">
        <v>0.86211543134117197</v>
      </c>
      <c r="X35" s="50">
        <v>0.62214656916959243</v>
      </c>
      <c r="Y35" s="50">
        <v>1.0529355182222819</v>
      </c>
      <c r="Z35" s="51">
        <v>8.9135787440853189</v>
      </c>
      <c r="AA35" s="51">
        <v>6.4324941104796203</v>
      </c>
      <c r="AB35" s="52">
        <v>10.886504652303829</v>
      </c>
      <c r="AC35" s="4">
        <v>14</v>
      </c>
      <c r="AD35" s="4">
        <v>20</v>
      </c>
      <c r="AE35" s="4">
        <v>27</v>
      </c>
      <c r="AF35" s="53" t="e">
        <v>#N/A</v>
      </c>
      <c r="AG35" s="54" t="e">
        <v>#N/A</v>
      </c>
      <c r="AH35" s="55">
        <v>32.6</v>
      </c>
      <c r="AI35" s="43">
        <v>2</v>
      </c>
      <c r="AJ35" s="44">
        <f t="shared" si="10"/>
        <v>3.5748429220851308E-2</v>
      </c>
      <c r="AK35" s="45">
        <f t="shared" si="11"/>
        <v>126.95047356801479</v>
      </c>
      <c r="AL35" s="45">
        <f t="shared" si="12"/>
        <v>1442.7350043873826</v>
      </c>
      <c r="AM35" s="45">
        <f t="shared" si="13"/>
        <v>412.21000125353788</v>
      </c>
      <c r="AN35" s="45">
        <f t="shared" si="14"/>
        <v>288.54700087747648</v>
      </c>
      <c r="AO35" s="45">
        <f t="shared" si="15"/>
        <v>360.68375109684558</v>
      </c>
      <c r="AP35" s="43" t="str">
        <f t="shared" si="16"/>
        <v>Limited</v>
      </c>
      <c r="AQ35" s="45">
        <f>IF(AP35="None", AK35*'[1]Gavi Simplified'!$Y$3, IF(AP35="Limited", AK35*'[1]Gavi Simplified'!$Y$4, IF(AP35="Accessible", AK35*'[1]Gavi Simplified'!$Y$5, AK35)))</f>
        <v>442.2855044006825</v>
      </c>
      <c r="AR35" s="45">
        <f t="shared" si="17"/>
        <v>5026.3757290367766</v>
      </c>
      <c r="AS35" s="45">
        <f t="shared" si="18"/>
        <v>1436.1073511533648</v>
      </c>
      <c r="AT35" s="45">
        <f t="shared" si="19"/>
        <v>1005.2751458073553</v>
      </c>
      <c r="AU35" s="45">
        <f t="shared" si="20"/>
        <v>1256.5939322591942</v>
      </c>
      <c r="AV35" s="45">
        <f t="shared" si="21"/>
        <v>3879.1467614225894</v>
      </c>
      <c r="AW35" s="45">
        <f t="shared" si="22"/>
        <v>360.68375109684558</v>
      </c>
      <c r="AX35" s="45">
        <f t="shared" si="23"/>
        <v>502.63757290367772</v>
      </c>
      <c r="AY35" s="45">
        <f t="shared" si="24"/>
        <v>753.9563593555165</v>
      </c>
      <c r="AZ35" s="45">
        <f t="shared" si="25"/>
        <v>1005.2751458073554</v>
      </c>
      <c r="BA35" s="45">
        <f t="shared" si="26"/>
        <v>1256.5939322591942</v>
      </c>
    </row>
    <row r="36" spans="2:53" x14ac:dyDescent="0.2">
      <c r="B36" s="12" t="s">
        <v>247</v>
      </c>
      <c r="C36" s="46" t="s">
        <v>78</v>
      </c>
      <c r="D36" s="32">
        <v>11332972</v>
      </c>
      <c r="E36" s="47" t="s">
        <v>248</v>
      </c>
      <c r="F36" s="47" t="s">
        <v>249</v>
      </c>
      <c r="G36" s="48" t="s">
        <v>147</v>
      </c>
      <c r="H36" s="48" t="s">
        <v>250</v>
      </c>
      <c r="I36" s="48" t="s">
        <v>251</v>
      </c>
      <c r="J36" s="48" t="s">
        <v>252</v>
      </c>
      <c r="K36" s="48" t="s">
        <v>236</v>
      </c>
      <c r="L36" s="48" t="s">
        <v>253</v>
      </c>
      <c r="M36" s="13" t="str">
        <f t="shared" si="0"/>
        <v>3.96</v>
      </c>
      <c r="N36" s="13" t="str">
        <f t="shared" si="1"/>
        <v>4</v>
      </c>
      <c r="O36" s="13">
        <f t="shared" si="2"/>
        <v>3.96</v>
      </c>
      <c r="P36" s="13">
        <f t="shared" si="3"/>
        <v>-4</v>
      </c>
      <c r="Q36" s="13">
        <f t="shared" si="4"/>
        <v>3.9600000000000003E-4</v>
      </c>
      <c r="R36" s="13" t="str">
        <f t="shared" si="5"/>
        <v>4.23</v>
      </c>
      <c r="S36" s="13" t="str">
        <f t="shared" si="6"/>
        <v>3</v>
      </c>
      <c r="T36" s="13">
        <f t="shared" si="7"/>
        <v>4.2300000000000004</v>
      </c>
      <c r="U36" s="13">
        <f t="shared" si="8"/>
        <v>-3</v>
      </c>
      <c r="V36" s="49">
        <f t="shared" si="9"/>
        <v>4.2300000000000003E-3</v>
      </c>
      <c r="W36" s="50">
        <v>1.786330862158661E-2</v>
      </c>
      <c r="X36" s="50">
        <v>7.8708746952712216E-4</v>
      </c>
      <c r="Y36" s="50">
        <v>0.38061799029640658</v>
      </c>
      <c r="Z36" s="51">
        <v>1.9999008613640861</v>
      </c>
      <c r="AA36" s="51">
        <v>8.8119000887326104E-2</v>
      </c>
      <c r="AB36" s="52">
        <v>42.612388486900677</v>
      </c>
      <c r="AC36" s="4" t="e">
        <v>#N/A</v>
      </c>
      <c r="AD36" s="4" t="e">
        <v>#N/A</v>
      </c>
      <c r="AE36" s="4" t="e">
        <v>#N/A</v>
      </c>
      <c r="AF36" s="53" t="e">
        <v>#N/A</v>
      </c>
      <c r="AG36" s="54" t="e">
        <v>#N/A</v>
      </c>
      <c r="AH36" s="55">
        <v>45.4</v>
      </c>
      <c r="AI36" s="43"/>
      <c r="AJ36" s="44">
        <f t="shared" si="10"/>
        <v>0.11285093335561612</v>
      </c>
      <c r="AK36" s="45">
        <f t="shared" si="11"/>
        <v>352.20609288477135</v>
      </c>
      <c r="AL36" s="45">
        <f t="shared" si="12"/>
        <v>39915.417888925134</v>
      </c>
      <c r="AM36" s="45">
        <f t="shared" si="13"/>
        <v>11404.405111121467</v>
      </c>
      <c r="AN36" s="45">
        <f t="shared" si="14"/>
        <v>7983.0835777850261</v>
      </c>
      <c r="AO36" s="45">
        <f t="shared" si="15"/>
        <v>9978.8544722312836</v>
      </c>
      <c r="AP36" s="43" t="str">
        <f t="shared" si="16"/>
        <v>Accessible</v>
      </c>
      <c r="AQ36" s="45">
        <f>IF(AP36="None", AK36*'[1]Gavi Simplified'!$Y$3, IF(AP36="Limited", AK36*'[1]Gavi Simplified'!$Y$4, IF(AP36="Accessible", AK36*'[1]Gavi Simplified'!$Y$5, AK36)))</f>
        <v>1091.5174227963848</v>
      </c>
      <c r="AR36" s="45">
        <f t="shared" si="17"/>
        <v>123701.36390063592</v>
      </c>
      <c r="AS36" s="45">
        <f t="shared" si="18"/>
        <v>35343.246828753116</v>
      </c>
      <c r="AT36" s="45">
        <f t="shared" si="19"/>
        <v>24740.272780127179</v>
      </c>
      <c r="AU36" s="45">
        <f t="shared" si="20"/>
        <v>30925.340975158975</v>
      </c>
      <c r="AV36" s="45">
        <f t="shared" si="21"/>
        <v>96569.809202676421</v>
      </c>
      <c r="AW36" s="45">
        <f t="shared" si="22"/>
        <v>9978.8544722312836</v>
      </c>
      <c r="AX36" s="45">
        <f t="shared" si="23"/>
        <v>12370.136390063592</v>
      </c>
      <c r="AY36" s="45">
        <f t="shared" si="24"/>
        <v>18555.204585095387</v>
      </c>
      <c r="AZ36" s="45">
        <f t="shared" si="25"/>
        <v>24740.272780127183</v>
      </c>
      <c r="BA36" s="45">
        <f t="shared" si="26"/>
        <v>30925.340975158975</v>
      </c>
    </row>
    <row r="37" spans="2:53" x14ac:dyDescent="0.2">
      <c r="B37" s="56" t="s">
        <v>254</v>
      </c>
      <c r="C37" s="57" t="s">
        <v>143</v>
      </c>
      <c r="D37" s="32">
        <v>18190484</v>
      </c>
      <c r="E37" s="58" t="s">
        <v>255</v>
      </c>
      <c r="F37" s="58" t="s">
        <v>256</v>
      </c>
      <c r="G37" s="59" t="s">
        <v>257</v>
      </c>
      <c r="H37" s="59" t="s">
        <v>258</v>
      </c>
      <c r="I37" s="59" t="s">
        <v>259</v>
      </c>
      <c r="J37" s="59" t="s">
        <v>260</v>
      </c>
      <c r="K37" s="59" t="s">
        <v>261</v>
      </c>
      <c r="L37" s="59" t="s">
        <v>173</v>
      </c>
      <c r="M37" s="13" t="str">
        <f t="shared" si="0"/>
        <v>4.48</v>
      </c>
      <c r="N37" s="13" t="str">
        <f t="shared" si="1"/>
        <v>5</v>
      </c>
      <c r="O37" s="13">
        <f t="shared" si="2"/>
        <v>4.4800000000000004</v>
      </c>
      <c r="P37" s="13">
        <f t="shared" si="3"/>
        <v>-5</v>
      </c>
      <c r="Q37" s="13">
        <f t="shared" si="4"/>
        <v>4.4800000000000005E-5</v>
      </c>
      <c r="R37" s="13" t="str">
        <f t="shared" si="5"/>
        <v>5.01</v>
      </c>
      <c r="S37" s="13" t="str">
        <f t="shared" si="6"/>
        <v>4</v>
      </c>
      <c r="T37" s="13">
        <f t="shared" si="7"/>
        <v>5.01</v>
      </c>
      <c r="U37" s="13">
        <f t="shared" si="8"/>
        <v>-4</v>
      </c>
      <c r="V37" s="49">
        <f t="shared" si="9"/>
        <v>5.0100000000000003E-4</v>
      </c>
      <c r="W37" s="50">
        <v>1.882657496343523E-2</v>
      </c>
      <c r="X37" s="50">
        <v>4.9281980366950586E-4</v>
      </c>
      <c r="Y37" s="50">
        <v>0.27024278330646823</v>
      </c>
      <c r="Z37" s="51">
        <v>3.4961607556959189</v>
      </c>
      <c r="AA37" s="51">
        <v>9.1518359582953457E-2</v>
      </c>
      <c r="AB37" s="52">
        <v>50.185029159106982</v>
      </c>
      <c r="AC37" s="4" t="e">
        <v>#N/A</v>
      </c>
      <c r="AD37" s="4" t="e">
        <v>#N/A</v>
      </c>
      <c r="AE37" s="4" t="e">
        <v>#N/A</v>
      </c>
      <c r="AF37" s="53" t="e">
        <v>#N/A</v>
      </c>
      <c r="AG37" s="54" t="e">
        <v>#N/A</v>
      </c>
      <c r="AH37" s="55">
        <v>52.9</v>
      </c>
      <c r="AI37" s="43"/>
      <c r="AJ37" s="44">
        <f t="shared" si="10"/>
        <v>0.19185463145969983</v>
      </c>
      <c r="AK37" s="45">
        <f t="shared" si="11"/>
        <v>456.19047882835594</v>
      </c>
      <c r="AL37" s="45">
        <f t="shared" si="12"/>
        <v>82983.25606079548</v>
      </c>
      <c r="AM37" s="45">
        <f t="shared" si="13"/>
        <v>23709.501731655851</v>
      </c>
      <c r="AN37" s="45">
        <f t="shared" si="14"/>
        <v>16596.651212159097</v>
      </c>
      <c r="AO37" s="45">
        <f t="shared" si="15"/>
        <v>20745.81401519887</v>
      </c>
      <c r="AP37" s="43" t="str">
        <f t="shared" si="16"/>
        <v>Widely Accessible</v>
      </c>
      <c r="AQ37" s="45">
        <f>IF(AP37="None", AK37*'[1]Gavi Simplified'!$Y$3, IF(AP37="Limited", AK37*'[1]Gavi Simplified'!$Y$4, IF(AP37="Accessible", AK37*'[1]Gavi Simplified'!$Y$5, AK37)))</f>
        <v>456.19047882835594</v>
      </c>
      <c r="AR37" s="45">
        <f t="shared" si="17"/>
        <v>82983.25606079548</v>
      </c>
      <c r="AS37" s="45">
        <f t="shared" si="18"/>
        <v>23709.501731655851</v>
      </c>
      <c r="AT37" s="45">
        <f t="shared" si="19"/>
        <v>16596.651212159097</v>
      </c>
      <c r="AU37" s="45">
        <f t="shared" si="20"/>
        <v>20745.81401519887</v>
      </c>
      <c r="AV37" s="45">
        <f t="shared" si="21"/>
        <v>78834.093257755711</v>
      </c>
      <c r="AW37" s="45">
        <f t="shared" si="22"/>
        <v>20745.81401519887</v>
      </c>
      <c r="AX37" s="45">
        <f t="shared" si="23"/>
        <v>20745.81401519887</v>
      </c>
      <c r="AY37" s="45">
        <f t="shared" si="24"/>
        <v>20745.81401519887</v>
      </c>
      <c r="AZ37" s="45">
        <f t="shared" si="25"/>
        <v>20745.81401519887</v>
      </c>
      <c r="BA37" s="45">
        <f t="shared" si="26"/>
        <v>20745.81401519887</v>
      </c>
    </row>
    <row r="38" spans="2:53" x14ac:dyDescent="0.2">
      <c r="B38" s="12" t="s">
        <v>262</v>
      </c>
      <c r="C38" s="46" t="s">
        <v>48</v>
      </c>
      <c r="D38" s="32">
        <v>112716598</v>
      </c>
      <c r="E38" s="47" t="s">
        <v>49</v>
      </c>
      <c r="F38" s="47" t="s">
        <v>50</v>
      </c>
      <c r="G38" s="48" t="s">
        <v>263</v>
      </c>
      <c r="H38" s="48" t="s">
        <v>264</v>
      </c>
      <c r="I38" s="48" t="s">
        <v>53</v>
      </c>
      <c r="J38" s="48" t="s">
        <v>265</v>
      </c>
      <c r="K38" s="48" t="s">
        <v>266</v>
      </c>
      <c r="L38" s="48" t="s">
        <v>267</v>
      </c>
      <c r="M38" s="13" t="str">
        <f t="shared" si="0"/>
        <v>4.30</v>
      </c>
      <c r="N38" s="13" t="str">
        <f t="shared" si="1"/>
        <v>4</v>
      </c>
      <c r="O38" s="13">
        <f t="shared" si="2"/>
        <v>4.3</v>
      </c>
      <c r="P38" s="13">
        <f t="shared" si="3"/>
        <v>-4</v>
      </c>
      <c r="Q38" s="13">
        <f t="shared" si="4"/>
        <v>4.2999999999999999E-4</v>
      </c>
      <c r="R38" s="13" t="str">
        <f t="shared" si="5"/>
        <v>4.43</v>
      </c>
      <c r="S38" s="13" t="str">
        <f t="shared" si="6"/>
        <v>3</v>
      </c>
      <c r="T38" s="13">
        <f t="shared" si="7"/>
        <v>4.43</v>
      </c>
      <c r="U38" s="13">
        <f t="shared" si="8"/>
        <v>-3</v>
      </c>
      <c r="V38" s="49">
        <f t="shared" si="9"/>
        <v>4.4299999999999999E-3</v>
      </c>
      <c r="W38" s="50">
        <v>8.8069891080024207E-2</v>
      </c>
      <c r="X38" s="50">
        <v>4.7272999291209608E-2</v>
      </c>
      <c r="Y38" s="50">
        <v>0.14683659257180101</v>
      </c>
      <c r="Z38" s="51">
        <v>95.610659123512221</v>
      </c>
      <c r="AA38" s="51">
        <v>51.32063370977697</v>
      </c>
      <c r="AB38" s="52">
        <v>159.40911504573029</v>
      </c>
      <c r="AC38" s="4" t="e">
        <v>#N/A</v>
      </c>
      <c r="AD38" s="4" t="e">
        <v>#N/A</v>
      </c>
      <c r="AE38" s="4" t="e">
        <v>#N/A</v>
      </c>
      <c r="AF38" s="53" t="e">
        <v>#N/A</v>
      </c>
      <c r="AG38" s="54" t="e">
        <v>#N/A</v>
      </c>
      <c r="AH38" s="55">
        <v>51.6</v>
      </c>
      <c r="AI38" s="43"/>
      <c r="AJ38" s="44">
        <f t="shared" si="10"/>
        <v>0.17598102586137784</v>
      </c>
      <c r="AK38" s="45">
        <f t="shared" si="11"/>
        <v>439.26795989221</v>
      </c>
      <c r="AL38" s="45">
        <f t="shared" si="12"/>
        <v>495127.90049450361</v>
      </c>
      <c r="AM38" s="45">
        <f t="shared" si="13"/>
        <v>141465.11442700104</v>
      </c>
      <c r="AN38" s="45">
        <f t="shared" si="14"/>
        <v>99025.580098900726</v>
      </c>
      <c r="AO38" s="45">
        <f t="shared" si="15"/>
        <v>123781.9751236259</v>
      </c>
      <c r="AP38" s="43" t="str">
        <f t="shared" si="16"/>
        <v>Widely Accessible</v>
      </c>
      <c r="AQ38" s="45">
        <f>IF(AP38="None", AK38*'[1]Gavi Simplified'!$Y$3, IF(AP38="Limited", AK38*'[1]Gavi Simplified'!$Y$4, IF(AP38="Accessible", AK38*'[1]Gavi Simplified'!$Y$5, AK38)))</f>
        <v>439.26795989221</v>
      </c>
      <c r="AR38" s="45">
        <f t="shared" si="17"/>
        <v>495127.90049450361</v>
      </c>
      <c r="AS38" s="45">
        <f t="shared" si="18"/>
        <v>141465.11442700104</v>
      </c>
      <c r="AT38" s="45">
        <f t="shared" si="19"/>
        <v>99025.580098900726</v>
      </c>
      <c r="AU38" s="45">
        <f t="shared" si="20"/>
        <v>123781.9751236259</v>
      </c>
      <c r="AV38" s="45">
        <f t="shared" si="21"/>
        <v>470371.50546977844</v>
      </c>
      <c r="AW38" s="45">
        <f t="shared" si="22"/>
        <v>123781.9751236259</v>
      </c>
      <c r="AX38" s="45">
        <f t="shared" si="23"/>
        <v>123781.9751236259</v>
      </c>
      <c r="AY38" s="45">
        <f t="shared" si="24"/>
        <v>123781.9751236259</v>
      </c>
      <c r="AZ38" s="45">
        <f t="shared" si="25"/>
        <v>123781.9751236259</v>
      </c>
      <c r="BA38" s="45">
        <f t="shared" si="26"/>
        <v>123781.9751236259</v>
      </c>
    </row>
    <row r="39" spans="2:53" x14ac:dyDescent="0.2">
      <c r="B39" s="56" t="s">
        <v>268</v>
      </c>
      <c r="C39" s="57" t="s">
        <v>269</v>
      </c>
      <c r="D39" s="32">
        <v>6364943</v>
      </c>
      <c r="E39" s="58" t="s">
        <v>270</v>
      </c>
      <c r="F39" s="58" t="s">
        <v>271</v>
      </c>
      <c r="G39" s="59" t="s">
        <v>272</v>
      </c>
      <c r="H39" s="59" t="s">
        <v>273</v>
      </c>
      <c r="I39" s="59" t="s">
        <v>274</v>
      </c>
      <c r="J39" s="59" t="s">
        <v>275</v>
      </c>
      <c r="K39" s="59" t="s">
        <v>276</v>
      </c>
      <c r="L39" s="59" t="s">
        <v>277</v>
      </c>
      <c r="M39" s="13" t="str">
        <f t="shared" si="0"/>
        <v>9.17</v>
      </c>
      <c r="N39" s="13" t="str">
        <f t="shared" si="1"/>
        <v>5</v>
      </c>
      <c r="O39" s="13">
        <f t="shared" si="2"/>
        <v>9.17</v>
      </c>
      <c r="P39" s="13">
        <f t="shared" si="3"/>
        <v>-5</v>
      </c>
      <c r="Q39" s="13">
        <f t="shared" si="4"/>
        <v>9.1700000000000006E-5</v>
      </c>
      <c r="R39" s="13" t="str">
        <f t="shared" si="5"/>
        <v>9.57</v>
      </c>
      <c r="S39" s="13" t="str">
        <f t="shared" si="6"/>
        <v>4</v>
      </c>
      <c r="T39" s="13">
        <f t="shared" si="7"/>
        <v>9.57</v>
      </c>
      <c r="U39" s="13">
        <f t="shared" si="8"/>
        <v>-4</v>
      </c>
      <c r="V39" s="49">
        <f t="shared" si="9"/>
        <v>9.5700000000000006E-4</v>
      </c>
      <c r="W39" s="50">
        <v>1.824821591732452E-2</v>
      </c>
      <c r="X39" s="50">
        <v>7.271159759414163E-4</v>
      </c>
      <c r="Y39" s="50">
        <v>0.35737972162107912</v>
      </c>
      <c r="Z39" s="51">
        <v>1.2018517779965019</v>
      </c>
      <c r="AA39" s="51">
        <v>4.7888825540758878E-2</v>
      </c>
      <c r="AB39" s="52">
        <v>23.537503928940971</v>
      </c>
      <c r="AC39" s="4" t="e">
        <v>#N/A</v>
      </c>
      <c r="AD39" s="4" t="e">
        <v>#N/A</v>
      </c>
      <c r="AE39" s="4" t="e">
        <v>#N/A</v>
      </c>
      <c r="AF39" s="53" t="e">
        <v>#N/A</v>
      </c>
      <c r="AG39" s="54" t="e">
        <v>#N/A</v>
      </c>
      <c r="AH39" s="55">
        <v>54.7</v>
      </c>
      <c r="AI39" s="43"/>
      <c r="AJ39" s="44">
        <f t="shared" si="10"/>
        <v>0.21548160744905409</v>
      </c>
      <c r="AK39" s="45">
        <f t="shared" si="11"/>
        <v>478.94754605612707</v>
      </c>
      <c r="AL39" s="45">
        <f t="shared" si="12"/>
        <v>30484.738306371237</v>
      </c>
      <c r="AM39" s="45">
        <f t="shared" si="13"/>
        <v>8709.925230391782</v>
      </c>
      <c r="AN39" s="45">
        <f t="shared" si="14"/>
        <v>6096.9476612742474</v>
      </c>
      <c r="AO39" s="45">
        <f t="shared" si="15"/>
        <v>7621.1845765928092</v>
      </c>
      <c r="AP39" s="43" t="str">
        <f t="shared" si="16"/>
        <v>Widely Accessible</v>
      </c>
      <c r="AQ39" s="45">
        <f>IF(AP39="None", AK39*'[1]Gavi Simplified'!$Y$3, IF(AP39="Limited", AK39*'[1]Gavi Simplified'!$Y$4, IF(AP39="Accessible", AK39*'[1]Gavi Simplified'!$Y$5, AK39)))</f>
        <v>478.94754605612707</v>
      </c>
      <c r="AR39" s="45">
        <f t="shared" si="17"/>
        <v>30484.738306371237</v>
      </c>
      <c r="AS39" s="45">
        <f t="shared" si="18"/>
        <v>8709.925230391782</v>
      </c>
      <c r="AT39" s="45">
        <f t="shared" si="19"/>
        <v>6096.9476612742474</v>
      </c>
      <c r="AU39" s="45">
        <f t="shared" si="20"/>
        <v>7621.1845765928092</v>
      </c>
      <c r="AV39" s="45">
        <f t="shared" si="21"/>
        <v>28960.501391052676</v>
      </c>
      <c r="AW39" s="45">
        <f t="shared" si="22"/>
        <v>7621.1845765928092</v>
      </c>
      <c r="AX39" s="45">
        <f t="shared" si="23"/>
        <v>7621.1845765928092</v>
      </c>
      <c r="AY39" s="45">
        <f t="shared" si="24"/>
        <v>7621.1845765928092</v>
      </c>
      <c r="AZ39" s="45">
        <f t="shared" si="25"/>
        <v>7621.1845765928092</v>
      </c>
      <c r="BA39" s="45">
        <f t="shared" si="26"/>
        <v>7621.1845765928092</v>
      </c>
    </row>
    <row r="40" spans="2:53" x14ac:dyDescent="0.2">
      <c r="B40" s="66" t="s">
        <v>278</v>
      </c>
      <c r="C40" s="64" t="s">
        <v>68</v>
      </c>
      <c r="D40" s="32">
        <v>1714671</v>
      </c>
      <c r="E40" s="47" t="s">
        <v>69</v>
      </c>
      <c r="F40" s="47" t="s">
        <v>279</v>
      </c>
      <c r="G40" s="48" t="s">
        <v>280</v>
      </c>
      <c r="H40" s="48" t="s">
        <v>281</v>
      </c>
      <c r="I40" s="48" t="s">
        <v>73</v>
      </c>
      <c r="J40" s="48" t="s">
        <v>282</v>
      </c>
      <c r="K40" s="48" t="s">
        <v>283</v>
      </c>
      <c r="L40" s="48" t="s">
        <v>284</v>
      </c>
      <c r="M40" s="13" t="str">
        <f t="shared" si="0"/>
        <v>7.45</v>
      </c>
      <c r="N40" s="13" t="str">
        <f t="shared" si="1"/>
        <v>4</v>
      </c>
      <c r="O40" s="13">
        <f t="shared" si="2"/>
        <v>7.45</v>
      </c>
      <c r="P40" s="13">
        <f t="shared" si="3"/>
        <v>-4</v>
      </c>
      <c r="Q40" s="13">
        <f t="shared" si="4"/>
        <v>7.45E-4</v>
      </c>
      <c r="R40" s="13" t="str">
        <f t="shared" si="5"/>
        <v>7.75</v>
      </c>
      <c r="S40" s="13" t="str">
        <f t="shared" si="6"/>
        <v>3</v>
      </c>
      <c r="T40" s="13">
        <f t="shared" si="7"/>
        <v>7.75</v>
      </c>
      <c r="U40" s="13">
        <f t="shared" si="8"/>
        <v>-3</v>
      </c>
      <c r="V40" s="49">
        <f t="shared" si="9"/>
        <v>7.7499999999999999E-3</v>
      </c>
      <c r="W40" s="50">
        <v>0.39931753468769748</v>
      </c>
      <c r="X40" s="50">
        <v>0.2650748800786657</v>
      </c>
      <c r="Y40" s="50">
        <v>0.51544811236768839</v>
      </c>
      <c r="Z40" s="51">
        <v>6.2203336098308313</v>
      </c>
      <c r="AA40" s="51">
        <v>4.1291805203714764</v>
      </c>
      <c r="AB40" s="52">
        <v>8.0293474214503924</v>
      </c>
      <c r="AC40" s="4" t="e">
        <v>#N/A</v>
      </c>
      <c r="AD40" s="4" t="e">
        <v>#N/A</v>
      </c>
      <c r="AE40" s="4" t="e">
        <v>#N/A</v>
      </c>
      <c r="AF40" s="53" t="e">
        <v>#N/A</v>
      </c>
      <c r="AG40" s="54" t="e">
        <v>#N/A</v>
      </c>
      <c r="AH40" s="55">
        <v>42.4</v>
      </c>
      <c r="AI40" s="43"/>
      <c r="AJ40" s="44">
        <f t="shared" si="10"/>
        <v>8.9013145322232132E-2</v>
      </c>
      <c r="AK40" s="45">
        <f t="shared" si="11"/>
        <v>305.71054412524882</v>
      </c>
      <c r="AL40" s="45">
        <f t="shared" si="12"/>
        <v>5241.9300440578454</v>
      </c>
      <c r="AM40" s="45">
        <f t="shared" si="13"/>
        <v>1497.6942983022416</v>
      </c>
      <c r="AN40" s="45">
        <f t="shared" si="14"/>
        <v>1048.3860088115691</v>
      </c>
      <c r="AO40" s="45">
        <f t="shared" si="15"/>
        <v>1310.4825110144614</v>
      </c>
      <c r="AP40" s="43" t="str">
        <f t="shared" si="16"/>
        <v>Accessible</v>
      </c>
      <c r="AQ40" s="45">
        <f>IF(AP40="None", AK40*'[1]Gavi Simplified'!$Y$3, IF(AP40="Limited", AK40*'[1]Gavi Simplified'!$Y$4, IF(AP40="Accessible", AK40*'[1]Gavi Simplified'!$Y$5, AK40)))</f>
        <v>947.42365900649656</v>
      </c>
      <c r="AR40" s="45">
        <f t="shared" si="17"/>
        <v>16245.198728123285</v>
      </c>
      <c r="AS40" s="45">
        <f t="shared" si="18"/>
        <v>4641.485350892367</v>
      </c>
      <c r="AT40" s="45">
        <f t="shared" si="19"/>
        <v>3249.0397456246569</v>
      </c>
      <c r="AU40" s="45">
        <f t="shared" si="20"/>
        <v>4061.2996820308213</v>
      </c>
      <c r="AV40" s="45">
        <f t="shared" si="21"/>
        <v>12682.121620700762</v>
      </c>
      <c r="AW40" s="45">
        <f t="shared" si="22"/>
        <v>1310.4825110144614</v>
      </c>
      <c r="AX40" s="45">
        <f t="shared" si="23"/>
        <v>1624.5198728123287</v>
      </c>
      <c r="AY40" s="45">
        <f t="shared" si="24"/>
        <v>2436.779809218493</v>
      </c>
      <c r="AZ40" s="45">
        <f t="shared" si="25"/>
        <v>3249.0397456246574</v>
      </c>
      <c r="BA40" s="45">
        <f t="shared" si="26"/>
        <v>4061.2996820308213</v>
      </c>
    </row>
    <row r="41" spans="2:53" x14ac:dyDescent="0.2">
      <c r="B41" s="60" t="s">
        <v>285</v>
      </c>
      <c r="C41" s="61" t="s">
        <v>48</v>
      </c>
      <c r="D41" s="32">
        <v>3748901</v>
      </c>
      <c r="E41" s="58" t="s">
        <v>224</v>
      </c>
      <c r="F41" s="58" t="s">
        <v>184</v>
      </c>
      <c r="G41" s="59" t="s">
        <v>286</v>
      </c>
      <c r="H41" s="59" t="s">
        <v>287</v>
      </c>
      <c r="I41" s="59" t="s">
        <v>228</v>
      </c>
      <c r="J41" s="59" t="s">
        <v>288</v>
      </c>
      <c r="K41" s="59" t="s">
        <v>289</v>
      </c>
      <c r="L41" s="59" t="s">
        <v>290</v>
      </c>
      <c r="M41" s="13" t="str">
        <f t="shared" si="0"/>
        <v>7.38</v>
      </c>
      <c r="N41" s="13" t="str">
        <f t="shared" si="1"/>
        <v>4</v>
      </c>
      <c r="O41" s="13">
        <f t="shared" si="2"/>
        <v>7.38</v>
      </c>
      <c r="P41" s="13">
        <f t="shared" si="3"/>
        <v>-4</v>
      </c>
      <c r="Q41" s="13">
        <f t="shared" si="4"/>
        <v>7.3800000000000005E-4</v>
      </c>
      <c r="R41" s="13" t="str">
        <f t="shared" si="5"/>
        <v>7.60</v>
      </c>
      <c r="S41" s="13" t="str">
        <f t="shared" si="6"/>
        <v>3</v>
      </c>
      <c r="T41" s="13">
        <f t="shared" si="7"/>
        <v>7.6</v>
      </c>
      <c r="U41" s="13">
        <f t="shared" si="8"/>
        <v>-3</v>
      </c>
      <c r="V41" s="49">
        <f t="shared" si="9"/>
        <v>7.6E-3</v>
      </c>
      <c r="W41" s="50">
        <v>0.69767632957236059</v>
      </c>
      <c r="X41" s="50">
        <v>0.49541697163894521</v>
      </c>
      <c r="Y41" s="50">
        <v>0.86218119139426663</v>
      </c>
      <c r="Z41" s="51">
        <v>25.260528259521749</v>
      </c>
      <c r="AA41" s="51">
        <v>17.937392859526991</v>
      </c>
      <c r="AB41" s="52">
        <v>31.21669953084475</v>
      </c>
      <c r="AC41" s="4" t="e">
        <v>#N/A</v>
      </c>
      <c r="AD41" s="4" t="e">
        <v>#N/A</v>
      </c>
      <c r="AE41" s="4" t="e">
        <v>#N/A</v>
      </c>
      <c r="AF41" s="53" t="e">
        <v>#N/A</v>
      </c>
      <c r="AG41" s="54" t="e">
        <v>#N/A</v>
      </c>
      <c r="AH41" s="55">
        <v>25.6</v>
      </c>
      <c r="AI41" s="43">
        <v>2</v>
      </c>
      <c r="AJ41" s="44">
        <f t="shared" si="10"/>
        <v>1.5448634249639718E-2</v>
      </c>
      <c r="AK41" s="45">
        <f t="shared" si="11"/>
        <v>10</v>
      </c>
      <c r="AL41" s="45">
        <f t="shared" si="12"/>
        <v>374.89010000000002</v>
      </c>
      <c r="AM41" s="45">
        <f t="shared" si="13"/>
        <v>107.11145714285715</v>
      </c>
      <c r="AN41" s="45">
        <f t="shared" si="14"/>
        <v>74.978020000000001</v>
      </c>
      <c r="AO41" s="45">
        <f t="shared" si="15"/>
        <v>93.722525000000005</v>
      </c>
      <c r="AP41" s="43" t="str">
        <f t="shared" si="16"/>
        <v>None</v>
      </c>
      <c r="AQ41" s="45">
        <f>IF(AP41="None", AK41*'[1]Gavi Simplified'!$Y$3, IF(AP41="Limited", AK41*'[1]Gavi Simplified'!$Y$4, IF(AP41="Accessible", AK41*'[1]Gavi Simplified'!$Y$5, AK41)))</f>
        <v>42.303962558874574</v>
      </c>
      <c r="AR41" s="45">
        <f t="shared" si="17"/>
        <v>1585.9336754092744</v>
      </c>
      <c r="AS41" s="45">
        <f t="shared" si="18"/>
        <v>453.1239072597927</v>
      </c>
      <c r="AT41" s="45">
        <f t="shared" si="19"/>
        <v>317.18673508185486</v>
      </c>
      <c r="AU41" s="45">
        <f t="shared" si="20"/>
        <v>396.48341885231855</v>
      </c>
      <c r="AV41" s="45">
        <f t="shared" si="21"/>
        <v>1203.8760977864922</v>
      </c>
      <c r="AW41" s="45">
        <f t="shared" si="22"/>
        <v>93.722525000000005</v>
      </c>
      <c r="AX41" s="45">
        <f t="shared" si="23"/>
        <v>158.59336754092743</v>
      </c>
      <c r="AY41" s="45">
        <f t="shared" si="24"/>
        <v>237.89005131139118</v>
      </c>
      <c r="AZ41" s="45">
        <f t="shared" si="25"/>
        <v>317.18673508185486</v>
      </c>
      <c r="BA41" s="45">
        <f t="shared" si="26"/>
        <v>396.48341885231855</v>
      </c>
    </row>
    <row r="42" spans="2:53" x14ac:dyDescent="0.2">
      <c r="B42" s="66" t="s">
        <v>291</v>
      </c>
      <c r="C42" s="64" t="s">
        <v>153</v>
      </c>
      <c r="D42" s="32">
        <v>1210822</v>
      </c>
      <c r="E42" s="47" t="s">
        <v>154</v>
      </c>
      <c r="F42" s="47" t="s">
        <v>244</v>
      </c>
      <c r="G42" s="48" t="s">
        <v>292</v>
      </c>
      <c r="H42" s="48" t="s">
        <v>293</v>
      </c>
      <c r="I42" s="48" t="s">
        <v>73</v>
      </c>
      <c r="J42" s="48" t="s">
        <v>294</v>
      </c>
      <c r="K42" s="48" t="s">
        <v>295</v>
      </c>
      <c r="L42" s="48" t="s">
        <v>296</v>
      </c>
      <c r="M42" s="13" t="str">
        <f t="shared" si="0"/>
        <v>6.50</v>
      </c>
      <c r="N42" s="13" t="str">
        <f t="shared" si="1"/>
        <v>4</v>
      </c>
      <c r="O42" s="13">
        <f t="shared" si="2"/>
        <v>6.5</v>
      </c>
      <c r="P42" s="13">
        <f t="shared" si="3"/>
        <v>-4</v>
      </c>
      <c r="Q42" s="13">
        <f t="shared" si="4"/>
        <v>6.5000000000000008E-4</v>
      </c>
      <c r="R42" s="13" t="str">
        <f t="shared" si="5"/>
        <v>7.09</v>
      </c>
      <c r="S42" s="13" t="str">
        <f t="shared" si="6"/>
        <v>3</v>
      </c>
      <c r="T42" s="13">
        <f t="shared" si="7"/>
        <v>7.09</v>
      </c>
      <c r="U42" s="13">
        <f t="shared" si="8"/>
        <v>-3</v>
      </c>
      <c r="V42" s="49">
        <f t="shared" si="9"/>
        <v>7.0899999999999999E-3</v>
      </c>
      <c r="W42" s="50">
        <v>0.24243496744345511</v>
      </c>
      <c r="X42" s="50">
        <v>0.14910802974994911</v>
      </c>
      <c r="Y42" s="50">
        <v>0.33196140311611011</v>
      </c>
      <c r="Z42" s="51">
        <v>2.9016896039402278</v>
      </c>
      <c r="AA42" s="51">
        <v>1.7846650767915779</v>
      </c>
      <c r="AB42" s="52">
        <v>3.9732261500441091</v>
      </c>
      <c r="AC42" s="4" t="e">
        <v>#N/A</v>
      </c>
      <c r="AD42" s="4" t="e">
        <v>#N/A</v>
      </c>
      <c r="AE42" s="4" t="e">
        <v>#N/A</v>
      </c>
      <c r="AF42" s="53" t="e">
        <v>#N/A</v>
      </c>
      <c r="AG42" s="54" t="e">
        <v>#N/A</v>
      </c>
      <c r="AH42" s="55">
        <v>32.5</v>
      </c>
      <c r="AI42" s="43"/>
      <c r="AJ42" s="44">
        <f t="shared" si="10"/>
        <v>3.5369258349866005E-2</v>
      </c>
      <c r="AK42" s="45">
        <f t="shared" si="11"/>
        <v>124.86100955899065</v>
      </c>
      <c r="AL42" s="45">
        <f t="shared" si="12"/>
        <v>1511.8445731623617</v>
      </c>
      <c r="AM42" s="45">
        <f t="shared" si="13"/>
        <v>431.95559233210332</v>
      </c>
      <c r="AN42" s="45">
        <f t="shared" si="14"/>
        <v>302.3689146324723</v>
      </c>
      <c r="AO42" s="45">
        <f t="shared" si="15"/>
        <v>377.96114329059037</v>
      </c>
      <c r="AP42" s="43" t="str">
        <f t="shared" si="16"/>
        <v>Limited</v>
      </c>
      <c r="AQ42" s="45">
        <f>IF(AP42="None", AK42*'[1]Gavi Simplified'!$Y$3, IF(AP42="Limited", AK42*'[1]Gavi Simplified'!$Y$4, IF(AP42="Accessible", AK42*'[1]Gavi Simplified'!$Y$5, AK42)))</f>
        <v>435.00597548531221</v>
      </c>
      <c r="AR42" s="45">
        <f t="shared" si="17"/>
        <v>5267.1480524907665</v>
      </c>
      <c r="AS42" s="45">
        <f t="shared" si="18"/>
        <v>1504.8994435687905</v>
      </c>
      <c r="AT42" s="45">
        <f t="shared" si="19"/>
        <v>1053.4296104981534</v>
      </c>
      <c r="AU42" s="45">
        <f t="shared" si="20"/>
        <v>1316.7870131226916</v>
      </c>
      <c r="AV42" s="45">
        <f t="shared" si="21"/>
        <v>4064.9647800341272</v>
      </c>
      <c r="AW42" s="45">
        <f t="shared" si="22"/>
        <v>377.96114329059037</v>
      </c>
      <c r="AX42" s="45">
        <f t="shared" si="23"/>
        <v>526.71480524907668</v>
      </c>
      <c r="AY42" s="45">
        <f t="shared" si="24"/>
        <v>790.07220787361507</v>
      </c>
      <c r="AZ42" s="45">
        <f t="shared" si="25"/>
        <v>1053.4296104981534</v>
      </c>
      <c r="BA42" s="45">
        <f t="shared" si="26"/>
        <v>1316.7870131226916</v>
      </c>
    </row>
    <row r="43" spans="2:53" x14ac:dyDescent="0.2">
      <c r="B43" s="70" t="s">
        <v>297</v>
      </c>
      <c r="C43" s="57" t="s">
        <v>153</v>
      </c>
      <c r="D43" s="32">
        <v>126527060</v>
      </c>
      <c r="E43" s="58" t="s">
        <v>154</v>
      </c>
      <c r="F43" s="58" t="s">
        <v>244</v>
      </c>
      <c r="G43" s="59" t="s">
        <v>226</v>
      </c>
      <c r="H43" s="59" t="s">
        <v>298</v>
      </c>
      <c r="I43" s="59" t="s">
        <v>73</v>
      </c>
      <c r="J43" s="59" t="s">
        <v>299</v>
      </c>
      <c r="K43" s="59" t="s">
        <v>300</v>
      </c>
      <c r="L43" s="59" t="s">
        <v>230</v>
      </c>
      <c r="M43" s="13" t="str">
        <f t="shared" si="0"/>
        <v>6.90</v>
      </c>
      <c r="N43" s="13" t="str">
        <f t="shared" si="1"/>
        <v>4</v>
      </c>
      <c r="O43" s="13">
        <f t="shared" si="2"/>
        <v>6.9</v>
      </c>
      <c r="P43" s="13">
        <f t="shared" si="3"/>
        <v>-4</v>
      </c>
      <c r="Q43" s="13">
        <f t="shared" si="4"/>
        <v>6.9000000000000008E-4</v>
      </c>
      <c r="R43" s="13" t="str">
        <f t="shared" si="5"/>
        <v>7.08</v>
      </c>
      <c r="S43" s="13" t="str">
        <f t="shared" si="6"/>
        <v>3</v>
      </c>
      <c r="T43" s="13">
        <f t="shared" si="7"/>
        <v>7.08</v>
      </c>
      <c r="U43" s="13">
        <f t="shared" si="8"/>
        <v>-3</v>
      </c>
      <c r="V43" s="49">
        <f t="shared" si="9"/>
        <v>7.0800000000000004E-3</v>
      </c>
      <c r="W43" s="50">
        <v>1.9328633452018069</v>
      </c>
      <c r="X43" s="50">
        <v>1.3892513834499349</v>
      </c>
      <c r="Y43" s="50">
        <v>2.2980461987414391</v>
      </c>
      <c r="Z43" s="51">
        <v>2398.6547128326051</v>
      </c>
      <c r="AA43" s="51">
        <v>1724.0403396824099</v>
      </c>
      <c r="AB43" s="52">
        <v>2851.841211952149</v>
      </c>
      <c r="AC43" s="4">
        <v>2510</v>
      </c>
      <c r="AD43" s="4">
        <v>3670</v>
      </c>
      <c r="AE43" s="4">
        <v>4940</v>
      </c>
      <c r="AF43" s="53">
        <v>2.3199999999999998</v>
      </c>
      <c r="AG43" s="54">
        <v>4.57</v>
      </c>
      <c r="AH43" s="55">
        <v>31.2</v>
      </c>
      <c r="AI43" s="43">
        <v>1</v>
      </c>
      <c r="AJ43" s="44">
        <f t="shared" si="10"/>
        <v>3.0696663683365058E-2</v>
      </c>
      <c r="AK43" s="45">
        <f t="shared" si="11"/>
        <v>97.097154645874525</v>
      </c>
      <c r="AL43" s="45">
        <f t="shared" si="12"/>
        <v>122854.17511707846</v>
      </c>
      <c r="AM43" s="45">
        <f t="shared" si="13"/>
        <v>35101.192890593848</v>
      </c>
      <c r="AN43" s="45">
        <f t="shared" si="14"/>
        <v>24570.835023415693</v>
      </c>
      <c r="AO43" s="45">
        <f t="shared" si="15"/>
        <v>30713.543779269618</v>
      </c>
      <c r="AP43" s="43" t="str">
        <f t="shared" si="16"/>
        <v>Limited</v>
      </c>
      <c r="AQ43" s="45">
        <f>IF(AP43="None", AK43*'[1]Gavi Simplified'!$Y$3, IF(AP43="Limited", AK43*'[1]Gavi Simplified'!$Y$4, IF(AP43="Accessible", AK43*'[1]Gavi Simplified'!$Y$5, AK43)))</f>
        <v>338.27888003437596</v>
      </c>
      <c r="AR43" s="45">
        <f t="shared" si="17"/>
        <v>428014.32150842284</v>
      </c>
      <c r="AS43" s="45">
        <f t="shared" si="18"/>
        <v>122289.80614526368</v>
      </c>
      <c r="AT43" s="45">
        <f t="shared" si="19"/>
        <v>85602.864301684574</v>
      </c>
      <c r="AU43" s="45">
        <f t="shared" si="20"/>
        <v>107003.58037710571</v>
      </c>
      <c r="AV43" s="45">
        <f t="shared" si="21"/>
        <v>330323.56883516558</v>
      </c>
      <c r="AW43" s="45">
        <f t="shared" si="22"/>
        <v>30713.543779269618</v>
      </c>
      <c r="AX43" s="45">
        <f t="shared" si="23"/>
        <v>42801.43215084228</v>
      </c>
      <c r="AY43" s="45">
        <f t="shared" si="24"/>
        <v>64202.148226263416</v>
      </c>
      <c r="AZ43" s="45">
        <f t="shared" si="25"/>
        <v>85602.86430168456</v>
      </c>
      <c r="BA43" s="45">
        <f t="shared" si="26"/>
        <v>107003.58037710571</v>
      </c>
    </row>
    <row r="44" spans="2:53" x14ac:dyDescent="0.2">
      <c r="B44" s="12" t="s">
        <v>301</v>
      </c>
      <c r="C44" s="46" t="s">
        <v>68</v>
      </c>
      <c r="D44" s="32">
        <v>2436566</v>
      </c>
      <c r="E44" s="47" t="s">
        <v>125</v>
      </c>
      <c r="F44" s="47" t="s">
        <v>279</v>
      </c>
      <c r="G44" s="48" t="s">
        <v>302</v>
      </c>
      <c r="H44" s="48" t="s">
        <v>303</v>
      </c>
      <c r="I44" s="48" t="s">
        <v>129</v>
      </c>
      <c r="J44" s="48" t="s">
        <v>242</v>
      </c>
      <c r="K44" s="48" t="s">
        <v>304</v>
      </c>
      <c r="L44" s="48" t="s">
        <v>305</v>
      </c>
      <c r="M44" s="13" t="str">
        <f t="shared" si="0"/>
        <v>7.05</v>
      </c>
      <c r="N44" s="13" t="str">
        <f t="shared" si="1"/>
        <v>4</v>
      </c>
      <c r="O44" s="13">
        <f t="shared" si="2"/>
        <v>7.05</v>
      </c>
      <c r="P44" s="13">
        <f t="shared" si="3"/>
        <v>-4</v>
      </c>
      <c r="Q44" s="13">
        <f t="shared" si="4"/>
        <v>7.0500000000000001E-4</v>
      </c>
      <c r="R44" s="13" t="str">
        <f t="shared" si="5"/>
        <v>7.73</v>
      </c>
      <c r="S44" s="13" t="str">
        <f t="shared" si="6"/>
        <v>3</v>
      </c>
      <c r="T44" s="13">
        <f t="shared" si="7"/>
        <v>7.73</v>
      </c>
      <c r="U44" s="13">
        <f t="shared" si="8"/>
        <v>-3</v>
      </c>
      <c r="V44" s="49">
        <f t="shared" si="9"/>
        <v>7.7300000000000008E-3</v>
      </c>
      <c r="W44" s="50">
        <v>9.5809395639634171E-2</v>
      </c>
      <c r="X44" s="50">
        <v>5.186303682377353E-2</v>
      </c>
      <c r="Y44" s="50">
        <v>0.15644982994416121</v>
      </c>
      <c r="Z44" s="51">
        <v>2.2961986713595239</v>
      </c>
      <c r="AA44" s="51">
        <v>1.242966156423128</v>
      </c>
      <c r="AB44" s="52">
        <v>3.749526747913198</v>
      </c>
      <c r="AC44" s="4" t="e">
        <v>#N/A</v>
      </c>
      <c r="AD44" s="4" t="e">
        <v>#N/A</v>
      </c>
      <c r="AE44" s="4" t="e">
        <v>#N/A</v>
      </c>
      <c r="AF44" s="53" t="e">
        <v>#N/A</v>
      </c>
      <c r="AG44" s="54" t="e">
        <v>#N/A</v>
      </c>
      <c r="AH44" s="55">
        <v>39.6</v>
      </c>
      <c r="AI44" s="43"/>
      <c r="AJ44" s="44">
        <f t="shared" si="10"/>
        <v>7.0221518482742371E-2</v>
      </c>
      <c r="AK44" s="45">
        <f t="shared" si="11"/>
        <v>259.24525991128667</v>
      </c>
      <c r="AL44" s="45">
        <f t="shared" si="12"/>
        <v>6316.6818596100411</v>
      </c>
      <c r="AM44" s="45">
        <f t="shared" si="13"/>
        <v>1804.7662456028688</v>
      </c>
      <c r="AN44" s="45">
        <f t="shared" si="14"/>
        <v>1263.3363719220081</v>
      </c>
      <c r="AO44" s="45">
        <f t="shared" si="15"/>
        <v>1579.17046490251</v>
      </c>
      <c r="AP44" s="43" t="str">
        <f t="shared" si="16"/>
        <v>Accessible</v>
      </c>
      <c r="AQ44" s="45">
        <f>IF(AP44="None", AK44*'[1]Gavi Simplified'!$Y$3, IF(AP44="Limited", AK44*'[1]Gavi Simplified'!$Y$4, IF(AP44="Accessible", AK44*'[1]Gavi Simplified'!$Y$5, AK44)))</f>
        <v>803.42368768482379</v>
      </c>
      <c r="AR44" s="45">
        <f t="shared" si="17"/>
        <v>19575.948410074605</v>
      </c>
      <c r="AS44" s="45">
        <f t="shared" si="18"/>
        <v>5593.1281171641731</v>
      </c>
      <c r="AT44" s="45">
        <f t="shared" si="19"/>
        <v>3915.1896820149209</v>
      </c>
      <c r="AU44" s="45">
        <f t="shared" si="20"/>
        <v>4893.9871025186512</v>
      </c>
      <c r="AV44" s="45">
        <f t="shared" si="21"/>
        <v>15282.334351954732</v>
      </c>
      <c r="AW44" s="45">
        <f t="shared" si="22"/>
        <v>1579.17046490251</v>
      </c>
      <c r="AX44" s="45">
        <f t="shared" si="23"/>
        <v>1957.5948410074604</v>
      </c>
      <c r="AY44" s="45">
        <f t="shared" si="24"/>
        <v>2936.3922615111906</v>
      </c>
      <c r="AZ44" s="45">
        <f t="shared" si="25"/>
        <v>3915.1896820149209</v>
      </c>
      <c r="BA44" s="45">
        <f t="shared" si="26"/>
        <v>4893.9871025186512</v>
      </c>
    </row>
    <row r="45" spans="2:53" x14ac:dyDescent="0.2">
      <c r="B45" s="60" t="s">
        <v>306</v>
      </c>
      <c r="C45" s="61" t="s">
        <v>124</v>
      </c>
      <c r="D45" s="32">
        <v>2773168</v>
      </c>
      <c r="E45" s="58" t="s">
        <v>125</v>
      </c>
      <c r="F45" s="58" t="s">
        <v>307</v>
      </c>
      <c r="G45" s="59" t="s">
        <v>308</v>
      </c>
      <c r="H45" s="59" t="s">
        <v>309</v>
      </c>
      <c r="I45" s="59" t="s">
        <v>129</v>
      </c>
      <c r="J45" s="59" t="s">
        <v>188</v>
      </c>
      <c r="K45" s="59" t="s">
        <v>310</v>
      </c>
      <c r="L45" s="59" t="s">
        <v>159</v>
      </c>
      <c r="M45" s="13" t="str">
        <f t="shared" si="0"/>
        <v>7.02</v>
      </c>
      <c r="N45" s="13" t="str">
        <f t="shared" si="1"/>
        <v>4</v>
      </c>
      <c r="O45" s="13">
        <f t="shared" si="2"/>
        <v>7.02</v>
      </c>
      <c r="P45" s="13">
        <f t="shared" si="3"/>
        <v>-4</v>
      </c>
      <c r="Q45" s="13">
        <f t="shared" si="4"/>
        <v>7.0200000000000004E-4</v>
      </c>
      <c r="R45" s="13" t="str">
        <f t="shared" si="5"/>
        <v>7.46</v>
      </c>
      <c r="S45" s="13" t="str">
        <f t="shared" si="6"/>
        <v>3</v>
      </c>
      <c r="T45" s="13">
        <f t="shared" si="7"/>
        <v>7.46</v>
      </c>
      <c r="U45" s="13">
        <f t="shared" si="8"/>
        <v>-3</v>
      </c>
      <c r="V45" s="49">
        <f t="shared" si="9"/>
        <v>7.4600000000000005E-3</v>
      </c>
      <c r="W45" s="50">
        <v>0.90565771523377725</v>
      </c>
      <c r="X45" s="50">
        <v>0.65541202904347062</v>
      </c>
      <c r="Y45" s="50">
        <v>1.103432246317908</v>
      </c>
      <c r="Z45" s="51">
        <v>23.85822560258022</v>
      </c>
      <c r="AA45" s="51">
        <v>17.2658696420729</v>
      </c>
      <c r="AB45" s="52">
        <v>29.06830585881886</v>
      </c>
      <c r="AC45" s="4" t="e">
        <v>#N/A</v>
      </c>
      <c r="AD45" s="4" t="e">
        <v>#N/A</v>
      </c>
      <c r="AE45" s="4" t="e">
        <v>#N/A</v>
      </c>
      <c r="AF45" s="53" t="e">
        <v>#N/A</v>
      </c>
      <c r="AG45" s="54" t="e">
        <v>#N/A</v>
      </c>
      <c r="AH45" s="55">
        <v>34.700000000000003</v>
      </c>
      <c r="AI45" s="43">
        <v>2</v>
      </c>
      <c r="AJ45" s="44">
        <f t="shared" si="10"/>
        <v>4.4397607729850602E-2</v>
      </c>
      <c r="AK45" s="45">
        <f t="shared" si="11"/>
        <v>169.40859589034744</v>
      </c>
      <c r="AL45" s="45">
        <f t="shared" si="12"/>
        <v>4697.9849704804301</v>
      </c>
      <c r="AM45" s="45">
        <f t="shared" si="13"/>
        <v>1342.2814201372657</v>
      </c>
      <c r="AN45" s="45">
        <f t="shared" si="14"/>
        <v>939.59699409608595</v>
      </c>
      <c r="AO45" s="45">
        <f t="shared" si="15"/>
        <v>1174.4962426201075</v>
      </c>
      <c r="AP45" s="43" t="str">
        <f t="shared" si="16"/>
        <v>Limited</v>
      </c>
      <c r="AQ45" s="45">
        <f>IF(AP45="None", AK45*'[1]Gavi Simplified'!$Y$3, IF(AP45="Limited", AK45*'[1]Gavi Simplified'!$Y$4, IF(AP45="Accessible", AK45*'[1]Gavi Simplified'!$Y$5, AK45)))</f>
        <v>590.20627633209222</v>
      </c>
      <c r="AR45" s="45">
        <f t="shared" si="17"/>
        <v>16367.411589233156</v>
      </c>
      <c r="AS45" s="45">
        <f t="shared" si="18"/>
        <v>4676.403311209473</v>
      </c>
      <c r="AT45" s="45">
        <f t="shared" si="19"/>
        <v>3273.4823178466308</v>
      </c>
      <c r="AU45" s="45">
        <f t="shared" si="20"/>
        <v>4091.8528973082884</v>
      </c>
      <c r="AV45" s="45">
        <f t="shared" si="21"/>
        <v>12631.684355083315</v>
      </c>
      <c r="AW45" s="45">
        <f t="shared" si="22"/>
        <v>1174.4962426201075</v>
      </c>
      <c r="AX45" s="45">
        <f t="shared" si="23"/>
        <v>1636.7411589233152</v>
      </c>
      <c r="AY45" s="45">
        <f t="shared" si="24"/>
        <v>2455.1117383849728</v>
      </c>
      <c r="AZ45" s="45">
        <f t="shared" si="25"/>
        <v>3273.4823178466304</v>
      </c>
      <c r="BA45" s="45">
        <f t="shared" si="26"/>
        <v>4091.8528973082884</v>
      </c>
    </row>
    <row r="46" spans="2:53" x14ac:dyDescent="0.2">
      <c r="B46" s="66" t="s">
        <v>311</v>
      </c>
      <c r="C46" s="64" t="s">
        <v>58</v>
      </c>
      <c r="D46" s="32">
        <v>3728282</v>
      </c>
      <c r="E46" s="47" t="s">
        <v>88</v>
      </c>
      <c r="F46" s="47" t="s">
        <v>312</v>
      </c>
      <c r="G46" s="48" t="s">
        <v>313</v>
      </c>
      <c r="H46" s="48" t="s">
        <v>91</v>
      </c>
      <c r="I46" s="48" t="s">
        <v>92</v>
      </c>
      <c r="J46" s="48" t="s">
        <v>314</v>
      </c>
      <c r="K46" s="48" t="s">
        <v>315</v>
      </c>
      <c r="L46" s="48" t="s">
        <v>95</v>
      </c>
      <c r="M46" s="13" t="str">
        <f t="shared" si="0"/>
        <v>4.60</v>
      </c>
      <c r="N46" s="13" t="str">
        <f t="shared" si="1"/>
        <v>4</v>
      </c>
      <c r="O46" s="13">
        <f t="shared" si="2"/>
        <v>4.5999999999999996</v>
      </c>
      <c r="P46" s="13">
        <f t="shared" si="3"/>
        <v>-4</v>
      </c>
      <c r="Q46" s="13">
        <f t="shared" si="4"/>
        <v>4.5999999999999996E-4</v>
      </c>
      <c r="R46" s="13" t="str">
        <f t="shared" si="5"/>
        <v>4.87</v>
      </c>
      <c r="S46" s="13" t="str">
        <f t="shared" si="6"/>
        <v>3</v>
      </c>
      <c r="T46" s="13">
        <f t="shared" si="7"/>
        <v>4.87</v>
      </c>
      <c r="U46" s="13">
        <f t="shared" si="8"/>
        <v>-3</v>
      </c>
      <c r="V46" s="49">
        <f t="shared" si="9"/>
        <v>4.8700000000000002E-3</v>
      </c>
      <c r="W46" s="50">
        <v>2.7776246009974769E-2</v>
      </c>
      <c r="X46" s="50">
        <v>1.428834197327219E-2</v>
      </c>
      <c r="Y46" s="50">
        <v>6.1477123971663043E-2</v>
      </c>
      <c r="Z46" s="51">
        <v>1.026553274810764</v>
      </c>
      <c r="AA46" s="51">
        <v>0.52806791238136719</v>
      </c>
      <c r="AB46" s="52">
        <v>2.2720688359540979</v>
      </c>
      <c r="AC46" s="4" t="e">
        <v>#N/A</v>
      </c>
      <c r="AD46" s="4" t="e">
        <v>#N/A</v>
      </c>
      <c r="AE46" s="4" t="e">
        <v>#N/A</v>
      </c>
      <c r="AF46" s="53" t="e">
        <v>#N/A</v>
      </c>
      <c r="AG46" s="54" t="e">
        <v>#N/A</v>
      </c>
      <c r="AH46" s="55">
        <v>57.7</v>
      </c>
      <c r="AI46" s="43"/>
      <c r="AJ46" s="44">
        <f t="shared" si="10"/>
        <v>0.25935529892119652</v>
      </c>
      <c r="AK46" s="45">
        <f t="shared" si="11"/>
        <v>515.26150885037805</v>
      </c>
      <c r="AL46" s="45">
        <f t="shared" si="12"/>
        <v>19210.402087397051</v>
      </c>
      <c r="AM46" s="45">
        <f t="shared" si="13"/>
        <v>5488.6863106848714</v>
      </c>
      <c r="AN46" s="45">
        <f t="shared" si="14"/>
        <v>3842.0804174794098</v>
      </c>
      <c r="AO46" s="45">
        <f t="shared" si="15"/>
        <v>4802.6005218492619</v>
      </c>
      <c r="AP46" s="43" t="str">
        <f t="shared" si="16"/>
        <v>Widely Accessible</v>
      </c>
      <c r="AQ46" s="45">
        <f>IF(AP46="None", AK46*'[1]Gavi Simplified'!$Y$3, IF(AP46="Limited", AK46*'[1]Gavi Simplified'!$Y$4, IF(AP46="Accessible", AK46*'[1]Gavi Simplified'!$Y$5, AK46)))</f>
        <v>515.26150885037805</v>
      </c>
      <c r="AR46" s="45">
        <f t="shared" si="17"/>
        <v>19210.402087397051</v>
      </c>
      <c r="AS46" s="45">
        <f t="shared" si="18"/>
        <v>5488.6863106848714</v>
      </c>
      <c r="AT46" s="45">
        <f t="shared" si="19"/>
        <v>3842.0804174794098</v>
      </c>
      <c r="AU46" s="45">
        <f t="shared" si="20"/>
        <v>4802.6005218492619</v>
      </c>
      <c r="AV46" s="45">
        <f t="shared" si="21"/>
        <v>18249.881983027197</v>
      </c>
      <c r="AW46" s="45">
        <f t="shared" si="22"/>
        <v>4802.6005218492619</v>
      </c>
      <c r="AX46" s="45">
        <f t="shared" si="23"/>
        <v>4802.6005218492619</v>
      </c>
      <c r="AY46" s="45">
        <f t="shared" si="24"/>
        <v>4802.6005218492619</v>
      </c>
      <c r="AZ46" s="45">
        <f t="shared" si="25"/>
        <v>4802.6005218492619</v>
      </c>
      <c r="BA46" s="45">
        <f t="shared" si="26"/>
        <v>4802.6005218492619</v>
      </c>
    </row>
    <row r="47" spans="2:53" x14ac:dyDescent="0.2">
      <c r="B47" s="70" t="s">
        <v>316</v>
      </c>
      <c r="C47" s="57" t="s">
        <v>124</v>
      </c>
      <c r="D47" s="32">
        <v>34121985</v>
      </c>
      <c r="E47" s="58" t="s">
        <v>125</v>
      </c>
      <c r="F47" s="58" t="s">
        <v>126</v>
      </c>
      <c r="G47" s="59" t="s">
        <v>317</v>
      </c>
      <c r="H47" s="59" t="s">
        <v>318</v>
      </c>
      <c r="I47" s="59" t="s">
        <v>129</v>
      </c>
      <c r="J47" s="59" t="s">
        <v>288</v>
      </c>
      <c r="K47" s="59" t="s">
        <v>319</v>
      </c>
      <c r="L47" s="59" t="s">
        <v>195</v>
      </c>
      <c r="M47" s="13" t="str">
        <f t="shared" si="0"/>
        <v>6.84</v>
      </c>
      <c r="N47" s="13" t="str">
        <f t="shared" si="1"/>
        <v>4</v>
      </c>
      <c r="O47" s="13">
        <f t="shared" si="2"/>
        <v>6.84</v>
      </c>
      <c r="P47" s="13">
        <f t="shared" si="3"/>
        <v>-4</v>
      </c>
      <c r="Q47" s="13">
        <f t="shared" si="4"/>
        <v>6.8400000000000004E-4</v>
      </c>
      <c r="R47" s="13" t="str">
        <f t="shared" si="5"/>
        <v>7.45</v>
      </c>
      <c r="S47" s="13" t="str">
        <f t="shared" si="6"/>
        <v>3</v>
      </c>
      <c r="T47" s="13">
        <f t="shared" si="7"/>
        <v>7.45</v>
      </c>
      <c r="U47" s="13">
        <f t="shared" si="8"/>
        <v>-3</v>
      </c>
      <c r="V47" s="49">
        <f t="shared" si="9"/>
        <v>7.45E-3</v>
      </c>
      <c r="W47" s="50">
        <v>0.1987423146319176</v>
      </c>
      <c r="X47" s="50">
        <v>0.11852562030020899</v>
      </c>
      <c r="Y47" s="50">
        <v>0.28039754501014202</v>
      </c>
      <c r="Z47" s="51">
        <v>65.854630170506923</v>
      </c>
      <c r="AA47" s="51">
        <v>39.274277876135052</v>
      </c>
      <c r="AB47" s="52">
        <v>92.911651258364955</v>
      </c>
      <c r="AC47" s="4">
        <v>460</v>
      </c>
      <c r="AD47" s="4">
        <v>680</v>
      </c>
      <c r="AE47" s="4">
        <v>900</v>
      </c>
      <c r="AF47" s="53">
        <v>2.4791161412018323</v>
      </c>
      <c r="AG47" s="54">
        <v>4.8504446240905414</v>
      </c>
      <c r="AH47" s="55">
        <v>36.1</v>
      </c>
      <c r="AI47" s="43">
        <v>1</v>
      </c>
      <c r="AJ47" s="44">
        <f t="shared" si="10"/>
        <v>5.0930945982188273E-2</v>
      </c>
      <c r="AK47" s="45">
        <f t="shared" si="11"/>
        <v>196.30950357424854</v>
      </c>
      <c r="AL47" s="45">
        <f t="shared" si="12"/>
        <v>66984.699363179563</v>
      </c>
      <c r="AM47" s="45">
        <f t="shared" si="13"/>
        <v>19138.485532337018</v>
      </c>
      <c r="AN47" s="45">
        <f t="shared" si="14"/>
        <v>13396.939872635912</v>
      </c>
      <c r="AO47" s="45">
        <f t="shared" si="15"/>
        <v>16746.174840794891</v>
      </c>
      <c r="AP47" s="43" t="str">
        <f t="shared" si="16"/>
        <v>Limited</v>
      </c>
      <c r="AQ47" s="45">
        <f>IF(AP47="None", AK47*'[1]Gavi Simplified'!$Y$3, IF(AP47="Limited", AK47*'[1]Gavi Simplified'!$Y$4, IF(AP47="Accessible", AK47*'[1]Gavi Simplified'!$Y$5, AK47)))</f>
        <v>683.92693124115806</v>
      </c>
      <c r="AR47" s="45">
        <f t="shared" si="17"/>
        <v>233369.44488906825</v>
      </c>
      <c r="AS47" s="45">
        <f t="shared" si="18"/>
        <v>66676.984254019495</v>
      </c>
      <c r="AT47" s="45">
        <f t="shared" si="19"/>
        <v>46673.888977813644</v>
      </c>
      <c r="AU47" s="45">
        <f t="shared" si="20"/>
        <v>58342.361222267056</v>
      </c>
      <c r="AV47" s="45">
        <f t="shared" si="21"/>
        <v>180104.78626314265</v>
      </c>
      <c r="AW47" s="45">
        <f t="shared" si="22"/>
        <v>16746.174840794891</v>
      </c>
      <c r="AX47" s="45">
        <f t="shared" si="23"/>
        <v>23336.944488906822</v>
      </c>
      <c r="AY47" s="45">
        <f t="shared" si="24"/>
        <v>35005.416733360231</v>
      </c>
      <c r="AZ47" s="45">
        <f t="shared" si="25"/>
        <v>46673.888977813644</v>
      </c>
      <c r="BA47" s="45">
        <f t="shared" si="26"/>
        <v>58342.361222267056</v>
      </c>
    </row>
    <row r="48" spans="2:53" x14ac:dyDescent="0.2">
      <c r="B48" s="66" t="s">
        <v>320</v>
      </c>
      <c r="C48" s="64" t="s">
        <v>269</v>
      </c>
      <c r="D48" s="32">
        <v>18092026</v>
      </c>
      <c r="E48" s="47" t="s">
        <v>321</v>
      </c>
      <c r="F48" s="47" t="s">
        <v>322</v>
      </c>
      <c r="G48" s="48" t="s">
        <v>323</v>
      </c>
      <c r="H48" s="48" t="s">
        <v>324</v>
      </c>
      <c r="I48" s="48" t="s">
        <v>325</v>
      </c>
      <c r="J48" s="48" t="s">
        <v>326</v>
      </c>
      <c r="K48" s="48" t="s">
        <v>327</v>
      </c>
      <c r="L48" s="48" t="s">
        <v>328</v>
      </c>
      <c r="M48" s="13" t="str">
        <f t="shared" si="0"/>
        <v>1.05</v>
      </c>
      <c r="N48" s="13" t="str">
        <f t="shared" si="1"/>
        <v>4</v>
      </c>
      <c r="O48" s="13">
        <f t="shared" si="2"/>
        <v>1.05</v>
      </c>
      <c r="P48" s="13">
        <f t="shared" si="3"/>
        <v>-4</v>
      </c>
      <c r="Q48" s="13">
        <f t="shared" si="4"/>
        <v>1.05E-4</v>
      </c>
      <c r="R48" s="13" t="str">
        <f t="shared" si="5"/>
        <v>1.07</v>
      </c>
      <c r="S48" s="13" t="str">
        <f t="shared" si="6"/>
        <v>3</v>
      </c>
      <c r="T48" s="13">
        <f t="shared" si="7"/>
        <v>1.07</v>
      </c>
      <c r="U48" s="13">
        <f t="shared" si="8"/>
        <v>-3</v>
      </c>
      <c r="V48" s="49">
        <f t="shared" si="9"/>
        <v>1.07E-3</v>
      </c>
      <c r="W48" s="50">
        <v>1.6137724056359881E-2</v>
      </c>
      <c r="X48" s="50">
        <v>1.1697187623567059E-3</v>
      </c>
      <c r="Y48" s="50">
        <v>0.62383589656856953</v>
      </c>
      <c r="Z48" s="51">
        <v>2.8507101493558911</v>
      </c>
      <c r="AA48" s="51">
        <v>0.2066294563035444</v>
      </c>
      <c r="AB48" s="52">
        <v>110.19988417633741</v>
      </c>
      <c r="AC48" s="4" t="e">
        <v>#N/A</v>
      </c>
      <c r="AD48" s="4" t="e">
        <v>#N/A</v>
      </c>
      <c r="AE48" s="4" t="e">
        <v>#N/A</v>
      </c>
      <c r="AF48" s="53" t="e">
        <v>#N/A</v>
      </c>
      <c r="AG48" s="54" t="e">
        <v>#N/A</v>
      </c>
      <c r="AH48" s="55">
        <v>43.6</v>
      </c>
      <c r="AI48" s="43"/>
      <c r="AJ48" s="44">
        <f t="shared" si="10"/>
        <v>9.8067171932115005E-2</v>
      </c>
      <c r="AK48" s="45">
        <f t="shared" si="11"/>
        <v>324.69186909943483</v>
      </c>
      <c r="AL48" s="45">
        <f t="shared" si="12"/>
        <v>58743.33737735571</v>
      </c>
      <c r="AM48" s="45">
        <f t="shared" si="13"/>
        <v>16783.810679244489</v>
      </c>
      <c r="AN48" s="45">
        <f t="shared" si="14"/>
        <v>11748.667475471142</v>
      </c>
      <c r="AO48" s="45">
        <f t="shared" si="15"/>
        <v>14685.834344338928</v>
      </c>
      <c r="AP48" s="43" t="str">
        <f t="shared" si="16"/>
        <v>Accessible</v>
      </c>
      <c r="AQ48" s="45">
        <f>IF(AP48="None", AK48*'[1]Gavi Simplified'!$Y$3, IF(AP48="Limited", AK48*'[1]Gavi Simplified'!$Y$4, IF(AP48="Accessible", AK48*'[1]Gavi Simplified'!$Y$5, AK48)))</f>
        <v>1006.2484418130293</v>
      </c>
      <c r="AR48" s="45">
        <f t="shared" si="17"/>
        <v>182050.72971740813</v>
      </c>
      <c r="AS48" s="45">
        <f t="shared" si="18"/>
        <v>52014.494204973751</v>
      </c>
      <c r="AT48" s="45">
        <f t="shared" si="19"/>
        <v>36410.145943481621</v>
      </c>
      <c r="AU48" s="45">
        <f t="shared" si="20"/>
        <v>45512.682429352026</v>
      </c>
      <c r="AV48" s="45">
        <f t="shared" si="21"/>
        <v>142121.3451465246</v>
      </c>
      <c r="AW48" s="45">
        <f t="shared" si="22"/>
        <v>14685.834344338928</v>
      </c>
      <c r="AX48" s="45">
        <f t="shared" si="23"/>
        <v>18205.07297174081</v>
      </c>
      <c r="AY48" s="45">
        <f t="shared" si="24"/>
        <v>27307.609457611219</v>
      </c>
      <c r="AZ48" s="45">
        <f t="shared" si="25"/>
        <v>36410.145943481621</v>
      </c>
      <c r="BA48" s="45">
        <f t="shared" si="26"/>
        <v>45512.682429352026</v>
      </c>
    </row>
    <row r="49" spans="2:53" x14ac:dyDescent="0.2">
      <c r="B49" s="70" t="s">
        <v>329</v>
      </c>
      <c r="C49" s="61" t="s">
        <v>124</v>
      </c>
      <c r="D49" s="32">
        <v>14190612</v>
      </c>
      <c r="E49" s="58" t="s">
        <v>125</v>
      </c>
      <c r="F49" s="58" t="s">
        <v>244</v>
      </c>
      <c r="G49" s="59" t="s">
        <v>330</v>
      </c>
      <c r="H49" s="59" t="s">
        <v>331</v>
      </c>
      <c r="I49" s="59" t="s">
        <v>129</v>
      </c>
      <c r="J49" s="59" t="s">
        <v>332</v>
      </c>
      <c r="K49" s="59" t="s">
        <v>205</v>
      </c>
      <c r="L49" s="59" t="s">
        <v>296</v>
      </c>
      <c r="M49" s="13" t="str">
        <f t="shared" si="0"/>
        <v>6.92</v>
      </c>
      <c r="N49" s="13" t="str">
        <f t="shared" si="1"/>
        <v>4</v>
      </c>
      <c r="O49" s="13">
        <f t="shared" si="2"/>
        <v>6.92</v>
      </c>
      <c r="P49" s="13">
        <f t="shared" si="3"/>
        <v>-4</v>
      </c>
      <c r="Q49" s="13">
        <f t="shared" si="4"/>
        <v>6.9200000000000002E-4</v>
      </c>
      <c r="R49" s="13" t="str">
        <f t="shared" si="5"/>
        <v>7.24</v>
      </c>
      <c r="S49" s="13" t="str">
        <f t="shared" si="6"/>
        <v>3</v>
      </c>
      <c r="T49" s="13">
        <f t="shared" si="7"/>
        <v>7.24</v>
      </c>
      <c r="U49" s="13">
        <f t="shared" si="8"/>
        <v>-3</v>
      </c>
      <c r="V49" s="49">
        <f t="shared" si="9"/>
        <v>7.2400000000000008E-3</v>
      </c>
      <c r="W49" s="50">
        <v>3.7729650093961382</v>
      </c>
      <c r="X49" s="50">
        <v>2.5551830358872381</v>
      </c>
      <c r="Y49" s="50">
        <v>4.5189378888268372</v>
      </c>
      <c r="Z49" s="51">
        <v>538.85595227344709</v>
      </c>
      <c r="AA49" s="51">
        <v>364.9319791217315</v>
      </c>
      <c r="AB49" s="52">
        <v>645.39601435054828</v>
      </c>
      <c r="AC49" s="4">
        <v>305</v>
      </c>
      <c r="AD49" s="4">
        <v>455</v>
      </c>
      <c r="AE49" s="4">
        <v>610</v>
      </c>
      <c r="AF49" s="53">
        <v>2.4900000000000002</v>
      </c>
      <c r="AG49" s="54">
        <v>4.9800000000000004</v>
      </c>
      <c r="AH49" s="55">
        <v>25.7</v>
      </c>
      <c r="AI49" s="43">
        <v>2</v>
      </c>
      <c r="AJ49" s="44">
        <f t="shared" si="10"/>
        <v>1.5659102736064589E-2</v>
      </c>
      <c r="AK49" s="45">
        <f t="shared" si="11"/>
        <v>10</v>
      </c>
      <c r="AL49" s="45">
        <f t="shared" si="12"/>
        <v>1419.0612000000001</v>
      </c>
      <c r="AM49" s="45">
        <f t="shared" si="13"/>
        <v>405.44605714285717</v>
      </c>
      <c r="AN49" s="45">
        <f t="shared" si="14"/>
        <v>283.81223999999997</v>
      </c>
      <c r="AO49" s="45">
        <f t="shared" si="15"/>
        <v>354.76529999999997</v>
      </c>
      <c r="AP49" s="43" t="str">
        <f t="shared" si="16"/>
        <v>None</v>
      </c>
      <c r="AQ49" s="45">
        <f>IF(AP49="None", AK49*'[1]Gavi Simplified'!$Y$3, IF(AP49="Limited", AK49*'[1]Gavi Simplified'!$Y$4, IF(AP49="Accessible", AK49*'[1]Gavi Simplified'!$Y$5, AK49)))</f>
        <v>42.303962558874574</v>
      </c>
      <c r="AR49" s="45">
        <f t="shared" si="17"/>
        <v>6003.1911873551626</v>
      </c>
      <c r="AS49" s="45">
        <f t="shared" si="18"/>
        <v>1715.1974821014751</v>
      </c>
      <c r="AT49" s="45">
        <f t="shared" si="19"/>
        <v>1200.6382374710324</v>
      </c>
      <c r="AU49" s="45">
        <f t="shared" si="20"/>
        <v>1500.7977968387904</v>
      </c>
      <c r="AV49" s="45">
        <f t="shared" si="21"/>
        <v>4556.9991311486137</v>
      </c>
      <c r="AW49" s="45">
        <f t="shared" si="22"/>
        <v>354.76529999999997</v>
      </c>
      <c r="AX49" s="45">
        <f t="shared" si="23"/>
        <v>600.31911873551621</v>
      </c>
      <c r="AY49" s="45">
        <f t="shared" si="24"/>
        <v>900.47867810327421</v>
      </c>
      <c r="AZ49" s="45">
        <f t="shared" si="25"/>
        <v>1200.6382374710324</v>
      </c>
      <c r="BA49" s="45">
        <f t="shared" si="26"/>
        <v>1500.7977968387904</v>
      </c>
    </row>
    <row r="50" spans="2:53" x14ac:dyDescent="0.2">
      <c r="B50" s="12" t="s">
        <v>333</v>
      </c>
      <c r="C50" s="46" t="s">
        <v>124</v>
      </c>
      <c r="D50" s="32">
        <v>2150842</v>
      </c>
      <c r="E50" s="47" t="s">
        <v>125</v>
      </c>
      <c r="F50" s="47" t="s">
        <v>334</v>
      </c>
      <c r="G50" s="48" t="s">
        <v>335</v>
      </c>
      <c r="H50" s="48" t="s">
        <v>336</v>
      </c>
      <c r="I50" s="48" t="s">
        <v>129</v>
      </c>
      <c r="J50" s="48" t="s">
        <v>294</v>
      </c>
      <c r="K50" s="48" t="s">
        <v>337</v>
      </c>
      <c r="L50" s="48" t="s">
        <v>338</v>
      </c>
      <c r="M50" s="13" t="str">
        <f t="shared" si="0"/>
        <v>7.21</v>
      </c>
      <c r="N50" s="13" t="str">
        <f t="shared" si="1"/>
        <v>4</v>
      </c>
      <c r="O50" s="13">
        <f t="shared" si="2"/>
        <v>7.21</v>
      </c>
      <c r="P50" s="13">
        <f t="shared" si="3"/>
        <v>-4</v>
      </c>
      <c r="Q50" s="13">
        <f t="shared" si="4"/>
        <v>7.2100000000000007E-4</v>
      </c>
      <c r="R50" s="13" t="str">
        <f t="shared" si="5"/>
        <v>7.13</v>
      </c>
      <c r="S50" s="13" t="str">
        <f t="shared" si="6"/>
        <v>3</v>
      </c>
      <c r="T50" s="13">
        <f t="shared" si="7"/>
        <v>7.13</v>
      </c>
      <c r="U50" s="13">
        <f t="shared" si="8"/>
        <v>-3</v>
      </c>
      <c r="V50" s="49">
        <f t="shared" si="9"/>
        <v>7.1300000000000001E-3</v>
      </c>
      <c r="W50" s="50">
        <v>2.308678413003828</v>
      </c>
      <c r="X50" s="50">
        <v>1.636087835863133</v>
      </c>
      <c r="Y50" s="50">
        <v>2.7398074503536209</v>
      </c>
      <c r="Z50" s="51">
        <v>48.868792814297997</v>
      </c>
      <c r="AA50" s="51">
        <v>34.631777655321301</v>
      </c>
      <c r="AB50" s="52">
        <v>57.994687301725612</v>
      </c>
      <c r="AC50" s="4" t="e">
        <v>#N/A</v>
      </c>
      <c r="AD50" s="4" t="e">
        <v>#N/A</v>
      </c>
      <c r="AE50" s="4" t="e">
        <v>#N/A</v>
      </c>
      <c r="AF50" s="53" t="e">
        <v>#N/A</v>
      </c>
      <c r="AG50" s="54" t="e">
        <v>#N/A</v>
      </c>
      <c r="AH50" s="55">
        <v>24.3</v>
      </c>
      <c r="AI50" s="43">
        <v>2</v>
      </c>
      <c r="AJ50" s="44">
        <f t="shared" si="10"/>
        <v>1.2892312106827898E-2</v>
      </c>
      <c r="AK50" s="45">
        <f t="shared" si="11"/>
        <v>10</v>
      </c>
      <c r="AL50" s="45">
        <f t="shared" si="12"/>
        <v>215.08420000000001</v>
      </c>
      <c r="AM50" s="45">
        <f t="shared" si="13"/>
        <v>61.452628571428576</v>
      </c>
      <c r="AN50" s="45">
        <f t="shared" si="14"/>
        <v>43.016840000000002</v>
      </c>
      <c r="AO50" s="45">
        <f t="shared" si="15"/>
        <v>53.771050000000002</v>
      </c>
      <c r="AP50" s="43" t="str">
        <f t="shared" si="16"/>
        <v>None</v>
      </c>
      <c r="AQ50" s="45">
        <f>IF(AP50="None", AK50*'[1]Gavi Simplified'!$Y$3, IF(AP50="Limited", AK50*'[1]Gavi Simplified'!$Y$4, IF(AP50="Accessible", AK50*'[1]Gavi Simplified'!$Y$5, AK50)))</f>
        <v>42.303962558874574</v>
      </c>
      <c r="AR50" s="45">
        <f t="shared" si="17"/>
        <v>909.89139438054906</v>
      </c>
      <c r="AS50" s="45">
        <f t="shared" si="18"/>
        <v>259.96896982301399</v>
      </c>
      <c r="AT50" s="45">
        <f t="shared" si="19"/>
        <v>181.97827887610978</v>
      </c>
      <c r="AU50" s="45">
        <f t="shared" si="20"/>
        <v>227.47284859513724</v>
      </c>
      <c r="AV50" s="45">
        <f t="shared" si="21"/>
        <v>690.69502606638434</v>
      </c>
      <c r="AW50" s="45">
        <f t="shared" si="22"/>
        <v>53.771050000000002</v>
      </c>
      <c r="AX50" s="45">
        <f t="shared" si="23"/>
        <v>90.989139438054906</v>
      </c>
      <c r="AY50" s="45">
        <f t="shared" si="24"/>
        <v>136.48370915708236</v>
      </c>
      <c r="AZ50" s="45">
        <f t="shared" si="25"/>
        <v>181.97827887610981</v>
      </c>
      <c r="BA50" s="45">
        <f t="shared" si="26"/>
        <v>227.47284859513724</v>
      </c>
    </row>
    <row r="51" spans="2:53" x14ac:dyDescent="0.2">
      <c r="B51" s="70" t="s">
        <v>339</v>
      </c>
      <c r="C51" s="61" t="s">
        <v>78</v>
      </c>
      <c r="D51" s="32">
        <v>11724763</v>
      </c>
      <c r="E51" s="58" t="s">
        <v>225</v>
      </c>
      <c r="F51" s="58" t="s">
        <v>340</v>
      </c>
      <c r="G51" s="59" t="s">
        <v>341</v>
      </c>
      <c r="H51" s="59" t="s">
        <v>342</v>
      </c>
      <c r="I51" s="59" t="s">
        <v>343</v>
      </c>
      <c r="J51" s="59" t="s">
        <v>344</v>
      </c>
      <c r="K51" s="59" t="s">
        <v>345</v>
      </c>
      <c r="L51" s="59" t="s">
        <v>346</v>
      </c>
      <c r="M51" s="13" t="str">
        <f t="shared" si="0"/>
        <v>3.41</v>
      </c>
      <c r="N51" s="13" t="str">
        <f t="shared" si="1"/>
        <v>4</v>
      </c>
      <c r="O51" s="13">
        <f t="shared" si="2"/>
        <v>3.41</v>
      </c>
      <c r="P51" s="13">
        <f t="shared" si="3"/>
        <v>-4</v>
      </c>
      <c r="Q51" s="13">
        <f t="shared" si="4"/>
        <v>3.4100000000000005E-4</v>
      </c>
      <c r="R51" s="13" t="str">
        <f t="shared" si="5"/>
        <v>3.64</v>
      </c>
      <c r="S51" s="13" t="str">
        <f t="shared" si="6"/>
        <v>3</v>
      </c>
      <c r="T51" s="13">
        <f t="shared" si="7"/>
        <v>3.64</v>
      </c>
      <c r="U51" s="13">
        <f t="shared" si="8"/>
        <v>-3</v>
      </c>
      <c r="V51" s="49">
        <f t="shared" si="9"/>
        <v>3.64E-3</v>
      </c>
      <c r="W51" s="50">
        <v>1.1233172713233439</v>
      </c>
      <c r="X51" s="50">
        <v>2.3470394628895171E-3</v>
      </c>
      <c r="Y51" s="50">
        <v>2.0442808350455981</v>
      </c>
      <c r="Z51" s="51">
        <v>132.96516936488359</v>
      </c>
      <c r="AA51" s="51">
        <v>0.27781509966594292</v>
      </c>
      <c r="AB51" s="52">
        <v>241.97807191284721</v>
      </c>
      <c r="AC51" s="4">
        <v>240</v>
      </c>
      <c r="AD51" s="4">
        <v>330</v>
      </c>
      <c r="AE51" s="4">
        <v>470</v>
      </c>
      <c r="AF51" s="53">
        <v>2.21</v>
      </c>
      <c r="AG51" s="54">
        <v>4.33</v>
      </c>
      <c r="AH51" s="55">
        <v>24.5</v>
      </c>
      <c r="AI51" s="43">
        <v>1</v>
      </c>
      <c r="AJ51" s="44">
        <f t="shared" si="10"/>
        <v>1.3264367867517392E-2</v>
      </c>
      <c r="AK51" s="45">
        <f t="shared" si="11"/>
        <v>10</v>
      </c>
      <c r="AL51" s="45">
        <f t="shared" si="12"/>
        <v>1172.4763</v>
      </c>
      <c r="AM51" s="45">
        <f t="shared" si="13"/>
        <v>334.99322857142857</v>
      </c>
      <c r="AN51" s="45">
        <f t="shared" si="14"/>
        <v>234.49525999999997</v>
      </c>
      <c r="AO51" s="45">
        <f t="shared" si="15"/>
        <v>293.11907499999995</v>
      </c>
      <c r="AP51" s="43" t="str">
        <f t="shared" si="16"/>
        <v>None</v>
      </c>
      <c r="AQ51" s="45">
        <f>IF(AP51="None", AK51*'[1]Gavi Simplified'!$Y$3, IF(AP51="Limited", AK51*'[1]Gavi Simplified'!$Y$4, IF(AP51="Accessible", AK51*'[1]Gavi Simplified'!$Y$5, AK51)))</f>
        <v>42.303962558874574</v>
      </c>
      <c r="AR51" s="45">
        <f t="shared" si="17"/>
        <v>4960.0393496367797</v>
      </c>
      <c r="AS51" s="45">
        <f t="shared" si="18"/>
        <v>1417.1540998962228</v>
      </c>
      <c r="AT51" s="45">
        <f t="shared" si="19"/>
        <v>992.00786992735584</v>
      </c>
      <c r="AU51" s="45">
        <f t="shared" si="20"/>
        <v>1240.0098374091949</v>
      </c>
      <c r="AV51" s="45">
        <f t="shared" si="21"/>
        <v>3765.1466197457457</v>
      </c>
      <c r="AW51" s="45">
        <f t="shared" si="22"/>
        <v>293.11907499999995</v>
      </c>
      <c r="AX51" s="45">
        <f t="shared" si="23"/>
        <v>496.00393496367798</v>
      </c>
      <c r="AY51" s="45">
        <f t="shared" si="24"/>
        <v>744.00590244551699</v>
      </c>
      <c r="AZ51" s="45">
        <f t="shared" si="25"/>
        <v>992.00786992735596</v>
      </c>
      <c r="BA51" s="45">
        <f t="shared" si="26"/>
        <v>1240.0098374091949</v>
      </c>
    </row>
    <row r="52" spans="2:53" x14ac:dyDescent="0.2">
      <c r="B52" s="12" t="s">
        <v>347</v>
      </c>
      <c r="C52" s="46" t="s">
        <v>269</v>
      </c>
      <c r="D52" s="32">
        <v>10593798</v>
      </c>
      <c r="E52" s="47" t="s">
        <v>348</v>
      </c>
      <c r="F52" s="47" t="s">
        <v>349</v>
      </c>
      <c r="G52" s="48" t="s">
        <v>350</v>
      </c>
      <c r="H52" s="48" t="s">
        <v>351</v>
      </c>
      <c r="I52" s="48" t="s">
        <v>352</v>
      </c>
      <c r="J52" s="48" t="s">
        <v>353</v>
      </c>
      <c r="K52" s="48" t="s">
        <v>354</v>
      </c>
      <c r="L52" s="48" t="s">
        <v>355</v>
      </c>
      <c r="M52" s="13" t="str">
        <f t="shared" si="0"/>
        <v>2.24</v>
      </c>
      <c r="N52" s="13" t="str">
        <f t="shared" si="1"/>
        <v>5</v>
      </c>
      <c r="O52" s="13">
        <f t="shared" si="2"/>
        <v>2.2400000000000002</v>
      </c>
      <c r="P52" s="13">
        <f t="shared" si="3"/>
        <v>-5</v>
      </c>
      <c r="Q52" s="13">
        <f t="shared" si="4"/>
        <v>2.2400000000000002E-5</v>
      </c>
      <c r="R52" s="13" t="str">
        <f t="shared" si="5"/>
        <v>2.53</v>
      </c>
      <c r="S52" s="13" t="str">
        <f t="shared" si="6"/>
        <v>4</v>
      </c>
      <c r="T52" s="13">
        <f t="shared" si="7"/>
        <v>2.5299999999999998</v>
      </c>
      <c r="U52" s="13">
        <f t="shared" si="8"/>
        <v>-4</v>
      </c>
      <c r="V52" s="49">
        <f t="shared" si="9"/>
        <v>2.5299999999999997E-4</v>
      </c>
      <c r="W52" s="50">
        <v>1.559436743311581E-2</v>
      </c>
      <c r="X52" s="50">
        <v>1.053865713252425E-3</v>
      </c>
      <c r="Y52" s="50">
        <v>0.50292112704570502</v>
      </c>
      <c r="Z52" s="51">
        <v>1.622068153686816</v>
      </c>
      <c r="AA52" s="51">
        <v>0.1096191954602193</v>
      </c>
      <c r="AB52" s="52">
        <v>52.311986843709057</v>
      </c>
      <c r="AC52" s="4">
        <v>260</v>
      </c>
      <c r="AD52" s="4">
        <v>370</v>
      </c>
      <c r="AE52" s="4">
        <v>500</v>
      </c>
      <c r="AF52" s="53" t="e">
        <v>#N/A</v>
      </c>
      <c r="AG52" s="54" t="e">
        <v>#N/A</v>
      </c>
      <c r="AH52" s="67">
        <v>40</v>
      </c>
      <c r="AI52" s="68"/>
      <c r="AJ52" s="44">
        <f t="shared" si="10"/>
        <v>7.2714332133109169E-2</v>
      </c>
      <c r="AK52" s="45">
        <f t="shared" si="11"/>
        <v>266.08069433197034</v>
      </c>
      <c r="AL52" s="45">
        <f t="shared" si="12"/>
        <v>28188.051274526388</v>
      </c>
      <c r="AM52" s="45">
        <f t="shared" si="13"/>
        <v>8053.728935578968</v>
      </c>
      <c r="AN52" s="45">
        <f t="shared" si="14"/>
        <v>5637.6102549052775</v>
      </c>
      <c r="AO52" s="45">
        <f t="shared" si="15"/>
        <v>7047.0128186315969</v>
      </c>
      <c r="AP52" s="43" t="str">
        <f t="shared" si="16"/>
        <v>Accessible</v>
      </c>
      <c r="AQ52" s="45">
        <f>IF(AP52="None", AK52*'[1]Gavi Simplified'!$Y$3, IF(AP52="Limited", AK52*'[1]Gavi Simplified'!$Y$4, IF(AP52="Accessible", AK52*'[1]Gavi Simplified'!$Y$5, AK52)))</f>
        <v>824.60729555897626</v>
      </c>
      <c r="AR52" s="45">
        <f t="shared" si="17"/>
        <v>87357.231184780903</v>
      </c>
      <c r="AS52" s="45">
        <f t="shared" si="18"/>
        <v>24959.208909937402</v>
      </c>
      <c r="AT52" s="45">
        <f t="shared" si="19"/>
        <v>17471.446236956181</v>
      </c>
      <c r="AU52" s="45">
        <f t="shared" si="20"/>
        <v>21839.307796195226</v>
      </c>
      <c r="AV52" s="45">
        <f t="shared" si="21"/>
        <v>68197.074647978225</v>
      </c>
      <c r="AW52" s="45">
        <f t="shared" si="22"/>
        <v>7047.0128186315969</v>
      </c>
      <c r="AX52" s="45">
        <f t="shared" si="23"/>
        <v>8735.7231184780903</v>
      </c>
      <c r="AY52" s="45">
        <f t="shared" si="24"/>
        <v>13103.584677717134</v>
      </c>
      <c r="AZ52" s="45">
        <f t="shared" si="25"/>
        <v>17471.446236956181</v>
      </c>
      <c r="BA52" s="45">
        <f t="shared" si="26"/>
        <v>21839.307796195226</v>
      </c>
    </row>
    <row r="53" spans="2:53" x14ac:dyDescent="0.2">
      <c r="B53" s="56" t="s">
        <v>356</v>
      </c>
      <c r="C53" s="57" t="s">
        <v>356</v>
      </c>
      <c r="D53" s="32">
        <v>1428627663</v>
      </c>
      <c r="E53" s="58" t="s">
        <v>357</v>
      </c>
      <c r="F53" s="58" t="s">
        <v>358</v>
      </c>
      <c r="G53" s="59" t="s">
        <v>359</v>
      </c>
      <c r="H53" s="59" t="s">
        <v>360</v>
      </c>
      <c r="I53" s="59" t="s">
        <v>361</v>
      </c>
      <c r="J53" s="59" t="s">
        <v>362</v>
      </c>
      <c r="K53" s="59" t="s">
        <v>363</v>
      </c>
      <c r="L53" s="59" t="s">
        <v>364</v>
      </c>
      <c r="M53" s="13" t="str">
        <f t="shared" si="0"/>
        <v>4.89</v>
      </c>
      <c r="N53" s="13" t="str">
        <f t="shared" si="1"/>
        <v>4</v>
      </c>
      <c r="O53" s="13">
        <f t="shared" si="2"/>
        <v>4.8899999999999997</v>
      </c>
      <c r="P53" s="13">
        <f t="shared" si="3"/>
        <v>-4</v>
      </c>
      <c r="Q53" s="13">
        <f t="shared" si="4"/>
        <v>4.8899999999999996E-4</v>
      </c>
      <c r="R53" s="13" t="str">
        <f t="shared" si="5"/>
        <v>5.52</v>
      </c>
      <c r="S53" s="13" t="str">
        <f t="shared" si="6"/>
        <v>3</v>
      </c>
      <c r="T53" s="13">
        <f t="shared" si="7"/>
        <v>5.52</v>
      </c>
      <c r="U53" s="13">
        <f t="shared" si="8"/>
        <v>-3</v>
      </c>
      <c r="V53" s="49">
        <f t="shared" si="9"/>
        <v>5.5199999999999997E-3</v>
      </c>
      <c r="W53" s="50">
        <v>0.39273552038136178</v>
      </c>
      <c r="X53" s="50">
        <v>0.27043576903744238</v>
      </c>
      <c r="Y53" s="50">
        <v>0.77049402915895626</v>
      </c>
      <c r="Z53" s="51">
        <v>5587.6471637891591</v>
      </c>
      <c r="AA53" s="51">
        <v>3847.6266582199319</v>
      </c>
      <c r="AB53" s="52">
        <v>10962.208797834121</v>
      </c>
      <c r="AC53" s="4">
        <v>10000</v>
      </c>
      <c r="AD53" s="4">
        <v>14660</v>
      </c>
      <c r="AE53" s="4">
        <v>20870</v>
      </c>
      <c r="AF53" s="53" t="e">
        <v>#N/A</v>
      </c>
      <c r="AG53" s="54" t="e">
        <v>#N/A</v>
      </c>
      <c r="AH53" s="55">
        <v>39.200000000000003</v>
      </c>
      <c r="AI53" s="43"/>
      <c r="AJ53" s="44">
        <f t="shared" si="10"/>
        <v>6.7790151686841299E-2</v>
      </c>
      <c r="AK53" s="45">
        <f t="shared" si="11"/>
        <v>252.3404290311787</v>
      </c>
      <c r="AL53" s="45">
        <f t="shared" si="12"/>
        <v>3605005.1740723019</v>
      </c>
      <c r="AM53" s="45">
        <f t="shared" si="13"/>
        <v>1030001.478306372</v>
      </c>
      <c r="AN53" s="45">
        <f t="shared" si="14"/>
        <v>721001.03481446032</v>
      </c>
      <c r="AO53" s="45">
        <f t="shared" si="15"/>
        <v>901251.29351807537</v>
      </c>
      <c r="AP53" s="43" t="str">
        <f t="shared" si="16"/>
        <v>Accessible</v>
      </c>
      <c r="AQ53" s="45">
        <f>IF(AP53="None", AK53*'[1]Gavi Simplified'!$Y$3, IF(AP53="Limited", AK53*'[1]Gavi Simplified'!$Y$4, IF(AP53="Accessible", AK53*'[1]Gavi Simplified'!$Y$5, AK53)))</f>
        <v>782.0250141259138</v>
      </c>
      <c r="AR53" s="45">
        <f t="shared" si="17"/>
        <v>11172225.683382461</v>
      </c>
      <c r="AS53" s="45">
        <f t="shared" si="18"/>
        <v>3192064.4809664176</v>
      </c>
      <c r="AT53" s="45">
        <f t="shared" si="19"/>
        <v>2234445.1366764922</v>
      </c>
      <c r="AU53" s="45">
        <f t="shared" si="20"/>
        <v>2793056.4208456152</v>
      </c>
      <c r="AV53" s="45">
        <f t="shared" si="21"/>
        <v>8721809.2718857992</v>
      </c>
      <c r="AW53" s="45">
        <f t="shared" si="22"/>
        <v>901251.29351807537</v>
      </c>
      <c r="AX53" s="45">
        <f t="shared" si="23"/>
        <v>1117222.5683382463</v>
      </c>
      <c r="AY53" s="45">
        <f t="shared" si="24"/>
        <v>1675833.8525073694</v>
      </c>
      <c r="AZ53" s="45">
        <f t="shared" si="25"/>
        <v>2234445.1366764926</v>
      </c>
      <c r="BA53" s="45">
        <f t="shared" si="26"/>
        <v>2793056.4208456152</v>
      </c>
    </row>
    <row r="54" spans="2:53" x14ac:dyDescent="0.2">
      <c r="B54" s="12" t="s">
        <v>365</v>
      </c>
      <c r="C54" s="46" t="s">
        <v>365</v>
      </c>
      <c r="D54" s="32">
        <v>277534122</v>
      </c>
      <c r="E54" s="47" t="s">
        <v>49</v>
      </c>
      <c r="F54" s="47" t="s">
        <v>366</v>
      </c>
      <c r="G54" s="48" t="s">
        <v>367</v>
      </c>
      <c r="H54" s="48" t="s">
        <v>368</v>
      </c>
      <c r="I54" s="48" t="s">
        <v>53</v>
      </c>
      <c r="J54" s="48" t="s">
        <v>54</v>
      </c>
      <c r="K54" s="48" t="s">
        <v>369</v>
      </c>
      <c r="L54" s="48" t="s">
        <v>370</v>
      </c>
      <c r="M54" s="13" t="str">
        <f t="shared" si="0"/>
        <v>4.20</v>
      </c>
      <c r="N54" s="13" t="str">
        <f t="shared" si="1"/>
        <v>4</v>
      </c>
      <c r="O54" s="13">
        <f t="shared" si="2"/>
        <v>4.2</v>
      </c>
      <c r="P54" s="13">
        <f t="shared" si="3"/>
        <v>-4</v>
      </c>
      <c r="Q54" s="13">
        <f t="shared" si="4"/>
        <v>4.2000000000000002E-4</v>
      </c>
      <c r="R54" s="13" t="str">
        <f t="shared" si="5"/>
        <v>4.52</v>
      </c>
      <c r="S54" s="13" t="str">
        <f t="shared" si="6"/>
        <v>3</v>
      </c>
      <c r="T54" s="13">
        <f t="shared" si="7"/>
        <v>4.5199999999999996</v>
      </c>
      <c r="U54" s="13">
        <f t="shared" si="8"/>
        <v>-3</v>
      </c>
      <c r="V54" s="49">
        <f t="shared" si="9"/>
        <v>4.5199999999999997E-3</v>
      </c>
      <c r="W54" s="50">
        <v>8.1512472764484437E-2</v>
      </c>
      <c r="X54" s="50">
        <v>5.1722875593377772E-2</v>
      </c>
      <c r="Y54" s="50">
        <v>0.14613020818948619</v>
      </c>
      <c r="Z54" s="51">
        <v>230.46636948600801</v>
      </c>
      <c r="AA54" s="51">
        <v>146.23999190680939</v>
      </c>
      <c r="AB54" s="52">
        <v>413.16497232236088</v>
      </c>
      <c r="AC54" s="4">
        <v>2300</v>
      </c>
      <c r="AD54" s="4">
        <v>3270</v>
      </c>
      <c r="AE54" s="4">
        <v>4390</v>
      </c>
      <c r="AF54" s="53">
        <v>0.87</v>
      </c>
      <c r="AG54" s="54">
        <v>1.66</v>
      </c>
      <c r="AH54" s="55">
        <v>40.9</v>
      </c>
      <c r="AI54" s="43"/>
      <c r="AJ54" s="44">
        <f t="shared" si="10"/>
        <v>7.8552574889055274E-2</v>
      </c>
      <c r="AK54" s="45">
        <f t="shared" si="11"/>
        <v>281.21377848071961</v>
      </c>
      <c r="AL54" s="45">
        <f t="shared" si="12"/>
        <v>780464.19104949001</v>
      </c>
      <c r="AM54" s="45">
        <f t="shared" si="13"/>
        <v>222989.76887128287</v>
      </c>
      <c r="AN54" s="45">
        <f t="shared" si="14"/>
        <v>156092.83820989801</v>
      </c>
      <c r="AO54" s="45">
        <f t="shared" si="15"/>
        <v>195116.0477623725</v>
      </c>
      <c r="AP54" s="43" t="str">
        <f t="shared" si="16"/>
        <v>Accessible</v>
      </c>
      <c r="AQ54" s="45">
        <f>IF(AP54="None", AK54*'[1]Gavi Simplified'!$Y$3, IF(AP54="Limited", AK54*'[1]Gavi Simplified'!$Y$4, IF(AP54="Accessible", AK54*'[1]Gavi Simplified'!$Y$5, AK54)))</f>
        <v>871.5060441686652</v>
      </c>
      <c r="AR54" s="45">
        <f t="shared" si="17"/>
        <v>2418726.6478604372</v>
      </c>
      <c r="AS54" s="45">
        <f t="shared" si="18"/>
        <v>691064.75653155346</v>
      </c>
      <c r="AT54" s="45">
        <f t="shared" si="19"/>
        <v>483745.32957208739</v>
      </c>
      <c r="AU54" s="45">
        <f t="shared" si="20"/>
        <v>604681.66196510918</v>
      </c>
      <c r="AV54" s="45">
        <f t="shared" si="21"/>
        <v>1888224.7012646783</v>
      </c>
      <c r="AW54" s="45">
        <f t="shared" si="22"/>
        <v>195116.0477623725</v>
      </c>
      <c r="AX54" s="45">
        <f t="shared" si="23"/>
        <v>241872.66478604369</v>
      </c>
      <c r="AY54" s="45">
        <f t="shared" si="24"/>
        <v>362808.99717906554</v>
      </c>
      <c r="AZ54" s="45">
        <f t="shared" si="25"/>
        <v>483745.32957208739</v>
      </c>
      <c r="BA54" s="45">
        <f t="shared" si="26"/>
        <v>604681.66196510918</v>
      </c>
    </row>
    <row r="55" spans="2:53" x14ac:dyDescent="0.2">
      <c r="B55" s="56" t="s">
        <v>371</v>
      </c>
      <c r="C55" s="57" t="s">
        <v>104</v>
      </c>
      <c r="D55" s="32">
        <v>89172767</v>
      </c>
      <c r="E55" s="58" t="s">
        <v>372</v>
      </c>
      <c r="F55" s="58" t="s">
        <v>373</v>
      </c>
      <c r="G55" s="59" t="s">
        <v>374</v>
      </c>
      <c r="H55" s="59" t="s">
        <v>375</v>
      </c>
      <c r="I55" s="59" t="s">
        <v>376</v>
      </c>
      <c r="J55" s="59" t="s">
        <v>110</v>
      </c>
      <c r="K55" s="59" t="s">
        <v>377</v>
      </c>
      <c r="L55" s="59" t="s">
        <v>95</v>
      </c>
      <c r="M55" s="13" t="str">
        <f t="shared" si="0"/>
        <v>4.87</v>
      </c>
      <c r="N55" s="13" t="str">
        <f t="shared" si="1"/>
        <v>4</v>
      </c>
      <c r="O55" s="13">
        <f t="shared" si="2"/>
        <v>4.87</v>
      </c>
      <c r="P55" s="13">
        <f t="shared" si="3"/>
        <v>-4</v>
      </c>
      <c r="Q55" s="13">
        <f t="shared" si="4"/>
        <v>4.8700000000000002E-4</v>
      </c>
      <c r="R55" s="13" t="str">
        <f t="shared" si="5"/>
        <v>5.33</v>
      </c>
      <c r="S55" s="13" t="str">
        <f t="shared" si="6"/>
        <v>3</v>
      </c>
      <c r="T55" s="13">
        <f t="shared" si="7"/>
        <v>5.33</v>
      </c>
      <c r="U55" s="13">
        <f t="shared" si="8"/>
        <v>-3</v>
      </c>
      <c r="V55" s="49">
        <f t="shared" si="9"/>
        <v>5.3300000000000005E-3</v>
      </c>
      <c r="W55" s="50">
        <v>0.13320693485286331</v>
      </c>
      <c r="X55" s="50">
        <v>9.0924427185574766E-2</v>
      </c>
      <c r="Y55" s="50">
        <v>0.2331167504877619</v>
      </c>
      <c r="Z55" s="51">
        <v>116.5433175231324</v>
      </c>
      <c r="AA55" s="51">
        <v>79.550170565835145</v>
      </c>
      <c r="AB55" s="52">
        <v>203.95484290713009</v>
      </c>
      <c r="AC55" s="4" t="e">
        <v>#N/A</v>
      </c>
      <c r="AD55" s="4" t="e">
        <v>#N/A</v>
      </c>
      <c r="AE55" s="4" t="e">
        <v>#N/A</v>
      </c>
      <c r="AF55" s="53" t="e">
        <v>#N/A</v>
      </c>
      <c r="AG55" s="54" t="e">
        <v>#N/A</v>
      </c>
      <c r="AH55" s="55">
        <v>63.7</v>
      </c>
      <c r="AI55" s="43"/>
      <c r="AJ55" s="44">
        <f t="shared" si="10"/>
        <v>0.36560956687401885</v>
      </c>
      <c r="AK55" s="45">
        <f t="shared" si="11"/>
        <v>582.5440047006291</v>
      </c>
      <c r="AL55" s="45">
        <f t="shared" si="12"/>
        <v>519470.607984161</v>
      </c>
      <c r="AM55" s="45">
        <f t="shared" si="13"/>
        <v>148420.17370976027</v>
      </c>
      <c r="AN55" s="45">
        <f t="shared" si="14"/>
        <v>103894.12159683219</v>
      </c>
      <c r="AO55" s="45">
        <f t="shared" si="15"/>
        <v>129867.65199604024</v>
      </c>
      <c r="AP55" s="43" t="str">
        <f t="shared" si="16"/>
        <v>Widely Accessible</v>
      </c>
      <c r="AQ55" s="45">
        <f>IF(AP55="None", AK55*'[1]Gavi Simplified'!$Y$3, IF(AP55="Limited", AK55*'[1]Gavi Simplified'!$Y$4, IF(AP55="Accessible", AK55*'[1]Gavi Simplified'!$Y$5, AK55)))</f>
        <v>582.5440047006291</v>
      </c>
      <c r="AR55" s="45">
        <f t="shared" si="17"/>
        <v>519470.607984161</v>
      </c>
      <c r="AS55" s="45">
        <f t="shared" si="18"/>
        <v>148420.17370976027</v>
      </c>
      <c r="AT55" s="45">
        <f t="shared" si="19"/>
        <v>103894.12159683219</v>
      </c>
      <c r="AU55" s="45">
        <f t="shared" si="20"/>
        <v>129867.65199604024</v>
      </c>
      <c r="AV55" s="45">
        <f t="shared" si="21"/>
        <v>493497.07758495293</v>
      </c>
      <c r="AW55" s="45">
        <f t="shared" si="22"/>
        <v>129867.65199604024</v>
      </c>
      <c r="AX55" s="45">
        <f t="shared" si="23"/>
        <v>129867.65199604024</v>
      </c>
      <c r="AY55" s="45">
        <f t="shared" si="24"/>
        <v>129867.65199604024</v>
      </c>
      <c r="AZ55" s="45">
        <f t="shared" si="25"/>
        <v>129867.65199604024</v>
      </c>
      <c r="BA55" s="45">
        <f t="shared" si="26"/>
        <v>129867.65199604024</v>
      </c>
    </row>
    <row r="56" spans="2:53" x14ac:dyDescent="0.2">
      <c r="B56" s="66" t="s">
        <v>378</v>
      </c>
      <c r="C56" s="64" t="s">
        <v>104</v>
      </c>
      <c r="D56" s="32">
        <v>45504560</v>
      </c>
      <c r="E56" s="47" t="s">
        <v>105</v>
      </c>
      <c r="F56" s="47" t="s">
        <v>106</v>
      </c>
      <c r="G56" s="48" t="s">
        <v>379</v>
      </c>
      <c r="H56" s="48" t="s">
        <v>380</v>
      </c>
      <c r="I56" s="48" t="s">
        <v>109</v>
      </c>
      <c r="J56" s="48" t="s">
        <v>381</v>
      </c>
      <c r="K56" s="48" t="s">
        <v>382</v>
      </c>
      <c r="L56" s="48" t="s">
        <v>95</v>
      </c>
      <c r="M56" s="13" t="str">
        <f t="shared" si="0"/>
        <v>4.70</v>
      </c>
      <c r="N56" s="13" t="str">
        <f t="shared" si="1"/>
        <v>4</v>
      </c>
      <c r="O56" s="13">
        <f t="shared" si="2"/>
        <v>4.7</v>
      </c>
      <c r="P56" s="13">
        <f t="shared" si="3"/>
        <v>-4</v>
      </c>
      <c r="Q56" s="13">
        <f t="shared" si="4"/>
        <v>4.7000000000000004E-4</v>
      </c>
      <c r="R56" s="13" t="str">
        <f t="shared" si="5"/>
        <v>5.07</v>
      </c>
      <c r="S56" s="13" t="str">
        <f t="shared" si="6"/>
        <v>3</v>
      </c>
      <c r="T56" s="13">
        <f t="shared" si="7"/>
        <v>5.07</v>
      </c>
      <c r="U56" s="13">
        <f t="shared" si="8"/>
        <v>-3</v>
      </c>
      <c r="V56" s="49">
        <f t="shared" si="9"/>
        <v>5.0700000000000007E-3</v>
      </c>
      <c r="W56" s="50">
        <v>0.4182237960510386</v>
      </c>
      <c r="X56" s="50">
        <v>0.28567458120747219</v>
      </c>
      <c r="Y56" s="50">
        <v>0.83164419991475547</v>
      </c>
      <c r="Z56" s="51">
        <v>179.73509672160219</v>
      </c>
      <c r="AA56" s="51">
        <v>122.7709876124843</v>
      </c>
      <c r="AB56" s="52">
        <v>357.40589636701719</v>
      </c>
      <c r="AC56" s="4" t="e">
        <v>#N/A</v>
      </c>
      <c r="AD56" s="4" t="e">
        <v>#N/A</v>
      </c>
      <c r="AE56" s="4" t="e">
        <v>#N/A</v>
      </c>
      <c r="AF56" s="53" t="e">
        <v>#N/A</v>
      </c>
      <c r="AG56" s="54" t="e">
        <v>#N/A</v>
      </c>
      <c r="AH56" s="55">
        <v>57.4</v>
      </c>
      <c r="AI56" s="43"/>
      <c r="AJ56" s="44">
        <f t="shared" si="10"/>
        <v>0.25470489003501812</v>
      </c>
      <c r="AK56" s="45">
        <f t="shared" si="11"/>
        <v>511.716131577753</v>
      </c>
      <c r="AL56" s="45">
        <f t="shared" si="12"/>
        <v>232854.17412347757</v>
      </c>
      <c r="AM56" s="45">
        <f t="shared" si="13"/>
        <v>66529.76403527931</v>
      </c>
      <c r="AN56" s="45">
        <f t="shared" si="14"/>
        <v>46570.834824695514</v>
      </c>
      <c r="AO56" s="45">
        <f t="shared" si="15"/>
        <v>58213.543530869392</v>
      </c>
      <c r="AP56" s="43" t="str">
        <f t="shared" si="16"/>
        <v>Widely Accessible</v>
      </c>
      <c r="AQ56" s="45">
        <f>IF(AP56="None", AK56*'[1]Gavi Simplified'!$Y$3, IF(AP56="Limited", AK56*'[1]Gavi Simplified'!$Y$4, IF(AP56="Accessible", AK56*'[1]Gavi Simplified'!$Y$5, AK56)))</f>
        <v>511.716131577753</v>
      </c>
      <c r="AR56" s="45">
        <f t="shared" si="17"/>
        <v>232854.17412347757</v>
      </c>
      <c r="AS56" s="45">
        <f t="shared" si="18"/>
        <v>66529.76403527931</v>
      </c>
      <c r="AT56" s="45">
        <f t="shared" si="19"/>
        <v>46570.834824695514</v>
      </c>
      <c r="AU56" s="45">
        <f t="shared" si="20"/>
        <v>58213.543530869392</v>
      </c>
      <c r="AV56" s="45">
        <f t="shared" si="21"/>
        <v>221211.4654173037</v>
      </c>
      <c r="AW56" s="45">
        <f t="shared" si="22"/>
        <v>58213.543530869392</v>
      </c>
      <c r="AX56" s="45">
        <f t="shared" si="23"/>
        <v>58213.543530869392</v>
      </c>
      <c r="AY56" s="45">
        <f t="shared" si="24"/>
        <v>58213.543530869392</v>
      </c>
      <c r="AZ56" s="45">
        <f t="shared" si="25"/>
        <v>58213.543530869392</v>
      </c>
      <c r="BA56" s="45">
        <f t="shared" si="26"/>
        <v>58213.543530869392</v>
      </c>
    </row>
    <row r="57" spans="2:53" x14ac:dyDescent="0.2">
      <c r="B57" s="56" t="s">
        <v>383</v>
      </c>
      <c r="C57" s="57" t="s">
        <v>104</v>
      </c>
      <c r="D57" s="32">
        <v>9174520</v>
      </c>
      <c r="E57" s="58" t="s">
        <v>384</v>
      </c>
      <c r="F57" s="58" t="s">
        <v>385</v>
      </c>
      <c r="G57" s="59" t="s">
        <v>386</v>
      </c>
      <c r="H57" s="59" t="s">
        <v>387</v>
      </c>
      <c r="I57" s="59" t="s">
        <v>388</v>
      </c>
      <c r="J57" s="59" t="s">
        <v>389</v>
      </c>
      <c r="K57" s="59" t="s">
        <v>390</v>
      </c>
      <c r="L57" s="59" t="s">
        <v>391</v>
      </c>
      <c r="M57" s="13" t="str">
        <f t="shared" si="0"/>
        <v>1.02</v>
      </c>
      <c r="N57" s="13" t="str">
        <f t="shared" si="1"/>
        <v>4</v>
      </c>
      <c r="O57" s="13">
        <f t="shared" si="2"/>
        <v>1.02</v>
      </c>
      <c r="P57" s="13">
        <f t="shared" si="3"/>
        <v>-4</v>
      </c>
      <c r="Q57" s="13">
        <f t="shared" si="4"/>
        <v>1.0200000000000001E-4</v>
      </c>
      <c r="R57" s="13" t="str">
        <f t="shared" si="5"/>
        <v>1.11</v>
      </c>
      <c r="S57" s="13" t="str">
        <f t="shared" si="6"/>
        <v>3</v>
      </c>
      <c r="T57" s="13">
        <f t="shared" si="7"/>
        <v>1.1100000000000001</v>
      </c>
      <c r="U57" s="13">
        <f t="shared" si="8"/>
        <v>-3</v>
      </c>
      <c r="V57" s="49">
        <f t="shared" si="9"/>
        <v>1.1100000000000001E-3</v>
      </c>
      <c r="W57" s="50">
        <v>3.0666687209834849E-2</v>
      </c>
      <c r="X57" s="50">
        <v>1.6080955179682908E-2</v>
      </c>
      <c r="Y57" s="50">
        <v>6.6008265187810791E-2</v>
      </c>
      <c r="Z57" s="51">
        <v>2.9935866772711961</v>
      </c>
      <c r="AA57" s="51">
        <v>1.569772856595202</v>
      </c>
      <c r="AB57" s="52">
        <v>6.4435216593151754</v>
      </c>
      <c r="AC57" s="4" t="e">
        <v>#N/A</v>
      </c>
      <c r="AD57" s="4" t="e">
        <v>#N/A</v>
      </c>
      <c r="AE57" s="4" t="e">
        <v>#N/A</v>
      </c>
      <c r="AF57" s="53" t="e">
        <v>#N/A</v>
      </c>
      <c r="AG57" s="54" t="e">
        <v>#N/A</v>
      </c>
      <c r="AH57" s="55">
        <v>83.1</v>
      </c>
      <c r="AI57" s="43"/>
      <c r="AJ57" s="44">
        <f t="shared" si="10"/>
        <v>0.91996899121549558</v>
      </c>
      <c r="AK57" s="45">
        <f t="shared" si="11"/>
        <v>763.36080262997712</v>
      </c>
      <c r="AL57" s="45">
        <f t="shared" si="12"/>
        <v>70034.68950944778</v>
      </c>
      <c r="AM57" s="45">
        <f t="shared" si="13"/>
        <v>20009.911288413652</v>
      </c>
      <c r="AN57" s="45">
        <f t="shared" si="14"/>
        <v>14006.937901889556</v>
      </c>
      <c r="AO57" s="45">
        <f t="shared" si="15"/>
        <v>17508.672377361945</v>
      </c>
      <c r="AP57" s="43" t="str">
        <f t="shared" si="16"/>
        <v>Widely Accessible</v>
      </c>
      <c r="AQ57" s="45">
        <f>IF(AP57="None", AK57*'[1]Gavi Simplified'!$Y$3, IF(AP57="Limited", AK57*'[1]Gavi Simplified'!$Y$4, IF(AP57="Accessible", AK57*'[1]Gavi Simplified'!$Y$5, AK57)))</f>
        <v>763.36080262997712</v>
      </c>
      <c r="AR57" s="45">
        <f t="shared" si="17"/>
        <v>70034.68950944778</v>
      </c>
      <c r="AS57" s="45">
        <f t="shared" si="18"/>
        <v>20009.911288413652</v>
      </c>
      <c r="AT57" s="45">
        <f t="shared" si="19"/>
        <v>14006.937901889556</v>
      </c>
      <c r="AU57" s="45">
        <f t="shared" si="20"/>
        <v>17508.672377361945</v>
      </c>
      <c r="AV57" s="45">
        <f t="shared" si="21"/>
        <v>66532.955033975391</v>
      </c>
      <c r="AW57" s="45">
        <f t="shared" si="22"/>
        <v>17508.672377361945</v>
      </c>
      <c r="AX57" s="45">
        <f t="shared" si="23"/>
        <v>17508.672377361945</v>
      </c>
      <c r="AY57" s="45">
        <f t="shared" si="24"/>
        <v>17508.672377361945</v>
      </c>
      <c r="AZ57" s="45">
        <f t="shared" si="25"/>
        <v>17508.672377361945</v>
      </c>
      <c r="BA57" s="45">
        <f t="shared" si="26"/>
        <v>17508.672377361945</v>
      </c>
    </row>
    <row r="58" spans="2:53" x14ac:dyDescent="0.2">
      <c r="B58" s="69" t="s">
        <v>392</v>
      </c>
      <c r="C58" s="46" t="s">
        <v>124</v>
      </c>
      <c r="D58" s="32">
        <v>28873034</v>
      </c>
      <c r="E58" s="47" t="s">
        <v>125</v>
      </c>
      <c r="F58" s="47" t="s">
        <v>393</v>
      </c>
      <c r="G58" s="48" t="s">
        <v>302</v>
      </c>
      <c r="H58" s="48" t="s">
        <v>394</v>
      </c>
      <c r="I58" s="48" t="s">
        <v>129</v>
      </c>
      <c r="J58" s="48" t="s">
        <v>395</v>
      </c>
      <c r="K58" s="48" t="s">
        <v>396</v>
      </c>
      <c r="L58" s="48" t="s">
        <v>132</v>
      </c>
      <c r="M58" s="13" t="str">
        <f t="shared" si="0"/>
        <v>7.05</v>
      </c>
      <c r="N58" s="13" t="str">
        <f t="shared" si="1"/>
        <v>4</v>
      </c>
      <c r="O58" s="13">
        <f t="shared" si="2"/>
        <v>7.05</v>
      </c>
      <c r="P58" s="13">
        <f t="shared" si="3"/>
        <v>-4</v>
      </c>
      <c r="Q58" s="13">
        <f t="shared" si="4"/>
        <v>7.0500000000000001E-4</v>
      </c>
      <c r="R58" s="13" t="str">
        <f t="shared" si="5"/>
        <v>7.52</v>
      </c>
      <c r="S58" s="13" t="str">
        <f t="shared" si="6"/>
        <v>3</v>
      </c>
      <c r="T58" s="13">
        <f t="shared" si="7"/>
        <v>7.52</v>
      </c>
      <c r="U58" s="13">
        <f t="shared" si="8"/>
        <v>-3</v>
      </c>
      <c r="V58" s="49">
        <f t="shared" si="9"/>
        <v>7.5199999999999998E-3</v>
      </c>
      <c r="W58" s="50">
        <v>1.543047408856892</v>
      </c>
      <c r="X58" s="50">
        <v>1.1223031095532261</v>
      </c>
      <c r="Y58" s="50">
        <v>1.843292156121775</v>
      </c>
      <c r="Z58" s="51">
        <v>438.85726126918041</v>
      </c>
      <c r="AA58" s="51">
        <v>319.19360749731368</v>
      </c>
      <c r="AB58" s="52">
        <v>524.24970400218524</v>
      </c>
      <c r="AC58" s="4">
        <v>405</v>
      </c>
      <c r="AD58" s="4">
        <v>575</v>
      </c>
      <c r="AE58" s="4">
        <v>820</v>
      </c>
      <c r="AF58" s="53">
        <v>1.63</v>
      </c>
      <c r="AG58" s="54">
        <v>3.3</v>
      </c>
      <c r="AH58" s="55">
        <v>34.299999999999997</v>
      </c>
      <c r="AI58" s="43">
        <v>2</v>
      </c>
      <c r="AJ58" s="44">
        <f t="shared" si="10"/>
        <v>4.2646398122522924E-2</v>
      </c>
      <c r="AK58" s="45">
        <f t="shared" si="11"/>
        <v>161.52305827938835</v>
      </c>
      <c r="AL58" s="45">
        <f t="shared" si="12"/>
        <v>46636.607534847615</v>
      </c>
      <c r="AM58" s="45">
        <f t="shared" si="13"/>
        <v>13324.745009956461</v>
      </c>
      <c r="AN58" s="45">
        <f t="shared" si="14"/>
        <v>9327.3215069695216</v>
      </c>
      <c r="AO58" s="45">
        <f t="shared" si="15"/>
        <v>11659.151883711902</v>
      </c>
      <c r="AP58" s="43" t="str">
        <f t="shared" si="16"/>
        <v>Limited</v>
      </c>
      <c r="AQ58" s="45">
        <f>IF(AP58="None", AK58*'[1]Gavi Simplified'!$Y$3, IF(AP58="Limited", AK58*'[1]Gavi Simplified'!$Y$4, IF(AP58="Accessible", AK58*'[1]Gavi Simplified'!$Y$5, AK58)))</f>
        <v>562.73368106158262</v>
      </c>
      <c r="AR58" s="45">
        <f t="shared" si="17"/>
        <v>162478.2870623623</v>
      </c>
      <c r="AS58" s="45">
        <f t="shared" si="18"/>
        <v>46422.367732103514</v>
      </c>
      <c r="AT58" s="45">
        <f t="shared" si="19"/>
        <v>32495.657412472458</v>
      </c>
      <c r="AU58" s="45">
        <f t="shared" si="20"/>
        <v>40619.571765590576</v>
      </c>
      <c r="AV58" s="45">
        <f t="shared" si="21"/>
        <v>125393.95282736552</v>
      </c>
      <c r="AW58" s="45">
        <f t="shared" si="22"/>
        <v>11659.151883711902</v>
      </c>
      <c r="AX58" s="45">
        <f t="shared" si="23"/>
        <v>16247.828706236231</v>
      </c>
      <c r="AY58" s="45">
        <f t="shared" si="24"/>
        <v>24371.743059354347</v>
      </c>
      <c r="AZ58" s="45">
        <f t="shared" si="25"/>
        <v>32495.657412472461</v>
      </c>
      <c r="BA58" s="45">
        <f t="shared" si="26"/>
        <v>40619.571765590576</v>
      </c>
    </row>
    <row r="59" spans="2:53" x14ac:dyDescent="0.2">
      <c r="B59" s="60" t="s">
        <v>397</v>
      </c>
      <c r="C59" s="61" t="s">
        <v>104</v>
      </c>
      <c r="D59" s="32">
        <v>11337052</v>
      </c>
      <c r="E59" s="58" t="s">
        <v>105</v>
      </c>
      <c r="F59" s="58" t="s">
        <v>398</v>
      </c>
      <c r="G59" s="59" t="s">
        <v>399</v>
      </c>
      <c r="H59" s="59" t="s">
        <v>108</v>
      </c>
      <c r="I59" s="59" t="s">
        <v>109</v>
      </c>
      <c r="J59" s="59" t="s">
        <v>211</v>
      </c>
      <c r="K59" s="59" t="s">
        <v>400</v>
      </c>
      <c r="L59" s="59" t="s">
        <v>401</v>
      </c>
      <c r="M59" s="13" t="str">
        <f t="shared" si="0"/>
        <v>4.80</v>
      </c>
      <c r="N59" s="13" t="str">
        <f t="shared" si="1"/>
        <v>4</v>
      </c>
      <c r="O59" s="13">
        <f t="shared" si="2"/>
        <v>4.8</v>
      </c>
      <c r="P59" s="13">
        <f t="shared" si="3"/>
        <v>-4</v>
      </c>
      <c r="Q59" s="13">
        <f t="shared" si="4"/>
        <v>4.8000000000000001E-4</v>
      </c>
      <c r="R59" s="13" t="str">
        <f t="shared" si="5"/>
        <v>5.22</v>
      </c>
      <c r="S59" s="13" t="str">
        <f t="shared" si="6"/>
        <v>3</v>
      </c>
      <c r="T59" s="13">
        <f t="shared" si="7"/>
        <v>5.22</v>
      </c>
      <c r="U59" s="13">
        <f t="shared" si="8"/>
        <v>-3</v>
      </c>
      <c r="V59" s="49">
        <f t="shared" si="9"/>
        <v>5.2199999999999998E-3</v>
      </c>
      <c r="W59" s="50">
        <v>3.7956473609542261E-2</v>
      </c>
      <c r="X59" s="50">
        <v>2.076510743938919E-2</v>
      </c>
      <c r="Y59" s="50">
        <v>7.737056756519281E-2</v>
      </c>
      <c r="Z59" s="51">
        <v>4.0619436384964454</v>
      </c>
      <c r="AA59" s="51">
        <v>2.2221952685540658</v>
      </c>
      <c r="AB59" s="52">
        <v>8.2798757324306731</v>
      </c>
      <c r="AC59" s="4" t="e">
        <v>#N/A</v>
      </c>
      <c r="AD59" s="4" t="e">
        <v>#N/A</v>
      </c>
      <c r="AE59" s="4" t="e">
        <v>#N/A</v>
      </c>
      <c r="AF59" s="53" t="e">
        <v>#N/A</v>
      </c>
      <c r="AG59" s="54" t="e">
        <v>#N/A</v>
      </c>
      <c r="AH59" s="55">
        <v>65.099999999999994</v>
      </c>
      <c r="AI59" s="43"/>
      <c r="AJ59" s="44">
        <f t="shared" si="10"/>
        <v>0.39426502145137976</v>
      </c>
      <c r="AK59" s="45">
        <f t="shared" si="11"/>
        <v>597.32980441178188</v>
      </c>
      <c r="AL59" s="45">
        <f t="shared" si="12"/>
        <v>67719.590537662007</v>
      </c>
      <c r="AM59" s="45">
        <f t="shared" si="13"/>
        <v>19348.454439332003</v>
      </c>
      <c r="AN59" s="45">
        <f t="shared" si="14"/>
        <v>13543.918107532401</v>
      </c>
      <c r="AO59" s="45">
        <f t="shared" si="15"/>
        <v>16929.897634415502</v>
      </c>
      <c r="AP59" s="43" t="str">
        <f t="shared" si="16"/>
        <v>Widely Accessible</v>
      </c>
      <c r="AQ59" s="45">
        <f>IF(AP59="None", AK59*'[1]Gavi Simplified'!$Y$3, IF(AP59="Limited", AK59*'[1]Gavi Simplified'!$Y$4, IF(AP59="Accessible", AK59*'[1]Gavi Simplified'!$Y$5, AK59)))</f>
        <v>597.32980441178188</v>
      </c>
      <c r="AR59" s="45">
        <f t="shared" si="17"/>
        <v>67719.590537662007</v>
      </c>
      <c r="AS59" s="45">
        <f t="shared" si="18"/>
        <v>19348.454439332003</v>
      </c>
      <c r="AT59" s="45">
        <f t="shared" si="19"/>
        <v>13543.918107532401</v>
      </c>
      <c r="AU59" s="45">
        <f t="shared" si="20"/>
        <v>16929.897634415502</v>
      </c>
      <c r="AV59" s="45">
        <f t="shared" si="21"/>
        <v>64333.611010778906</v>
      </c>
      <c r="AW59" s="45">
        <f t="shared" si="22"/>
        <v>16929.897634415502</v>
      </c>
      <c r="AX59" s="45">
        <f t="shared" si="23"/>
        <v>16929.897634415502</v>
      </c>
      <c r="AY59" s="45">
        <f t="shared" si="24"/>
        <v>16929.897634415502</v>
      </c>
      <c r="AZ59" s="45">
        <f t="shared" si="25"/>
        <v>16929.897634415502</v>
      </c>
      <c r="BA59" s="45">
        <f t="shared" si="26"/>
        <v>16929.897634415502</v>
      </c>
    </row>
    <row r="60" spans="2:53" x14ac:dyDescent="0.2">
      <c r="B60" s="12" t="s">
        <v>402</v>
      </c>
      <c r="C60" s="46" t="s">
        <v>58</v>
      </c>
      <c r="D60" s="32">
        <v>19606633</v>
      </c>
      <c r="E60" s="47" t="s">
        <v>88</v>
      </c>
      <c r="F60" s="47" t="s">
        <v>403</v>
      </c>
      <c r="G60" s="48" t="s">
        <v>404</v>
      </c>
      <c r="H60" s="48" t="s">
        <v>405</v>
      </c>
      <c r="I60" s="48" t="s">
        <v>92</v>
      </c>
      <c r="J60" s="48" t="s">
        <v>406</v>
      </c>
      <c r="K60" s="48" t="s">
        <v>407</v>
      </c>
      <c r="L60" s="48" t="s">
        <v>102</v>
      </c>
      <c r="M60" s="13" t="str">
        <f t="shared" si="0"/>
        <v>4.47</v>
      </c>
      <c r="N60" s="13" t="str">
        <f t="shared" si="1"/>
        <v>4</v>
      </c>
      <c r="O60" s="13">
        <f t="shared" si="2"/>
        <v>4.47</v>
      </c>
      <c r="P60" s="13">
        <f t="shared" si="3"/>
        <v>-4</v>
      </c>
      <c r="Q60" s="13">
        <f t="shared" si="4"/>
        <v>4.4700000000000002E-4</v>
      </c>
      <c r="R60" s="13" t="str">
        <f t="shared" si="5"/>
        <v>4.76</v>
      </c>
      <c r="S60" s="13" t="str">
        <f t="shared" si="6"/>
        <v>3</v>
      </c>
      <c r="T60" s="13">
        <f t="shared" si="7"/>
        <v>4.76</v>
      </c>
      <c r="U60" s="13">
        <f t="shared" si="8"/>
        <v>-3</v>
      </c>
      <c r="V60" s="49">
        <f t="shared" si="9"/>
        <v>4.7599999999999995E-3</v>
      </c>
      <c r="W60" s="50">
        <v>2.1548854831153812E-2</v>
      </c>
      <c r="X60" s="50">
        <v>1.057557354070375E-2</v>
      </c>
      <c r="Y60" s="50">
        <v>5.1605697179417029E-2</v>
      </c>
      <c r="Z60" s="51">
        <v>4.1995410105532294</v>
      </c>
      <c r="AA60" s="51">
        <v>2.0610169376656842</v>
      </c>
      <c r="AB60" s="52">
        <v>10.057158182245219</v>
      </c>
      <c r="AC60" s="4" t="e">
        <v>#N/A</v>
      </c>
      <c r="AD60" s="4" t="e">
        <v>#N/A</v>
      </c>
      <c r="AE60" s="4" t="e">
        <v>#N/A</v>
      </c>
      <c r="AF60" s="53" t="e">
        <v>#N/A</v>
      </c>
      <c r="AG60" s="54" t="e">
        <v>#N/A</v>
      </c>
      <c r="AH60" s="55">
        <v>59.5</v>
      </c>
      <c r="AI60" s="43"/>
      <c r="AJ60" s="44">
        <f t="shared" si="10"/>
        <v>0.28853661466701414</v>
      </c>
      <c r="AK60" s="45">
        <f t="shared" si="11"/>
        <v>536.15420969258321</v>
      </c>
      <c r="AL60" s="45">
        <f t="shared" si="12"/>
        <v>105121.78820847522</v>
      </c>
      <c r="AM60" s="45">
        <f t="shared" si="13"/>
        <v>30034.796630992922</v>
      </c>
      <c r="AN60" s="45">
        <f t="shared" si="14"/>
        <v>21024.357641695045</v>
      </c>
      <c r="AO60" s="45">
        <f t="shared" si="15"/>
        <v>26280.447052118805</v>
      </c>
      <c r="AP60" s="43" t="str">
        <f t="shared" si="16"/>
        <v>Widely Accessible</v>
      </c>
      <c r="AQ60" s="45">
        <f>IF(AP60="None", AK60*'[1]Gavi Simplified'!$Y$3, IF(AP60="Limited", AK60*'[1]Gavi Simplified'!$Y$4, IF(AP60="Accessible", AK60*'[1]Gavi Simplified'!$Y$5, AK60)))</f>
        <v>536.15420969258321</v>
      </c>
      <c r="AR60" s="45">
        <f t="shared" si="17"/>
        <v>105121.78820847522</v>
      </c>
      <c r="AS60" s="45">
        <f t="shared" si="18"/>
        <v>30034.796630992922</v>
      </c>
      <c r="AT60" s="45">
        <f t="shared" si="19"/>
        <v>21024.357641695045</v>
      </c>
      <c r="AU60" s="45">
        <f t="shared" si="20"/>
        <v>26280.447052118805</v>
      </c>
      <c r="AV60" s="45">
        <f t="shared" si="21"/>
        <v>99865.698798051453</v>
      </c>
      <c r="AW60" s="45">
        <f t="shared" si="22"/>
        <v>26280.447052118805</v>
      </c>
      <c r="AX60" s="45">
        <f t="shared" si="23"/>
        <v>26280.447052118805</v>
      </c>
      <c r="AY60" s="45">
        <f t="shared" si="24"/>
        <v>26280.447052118805</v>
      </c>
      <c r="AZ60" s="45">
        <f t="shared" si="25"/>
        <v>26280.447052118805</v>
      </c>
      <c r="BA60" s="45">
        <f t="shared" si="26"/>
        <v>26280.447052118805</v>
      </c>
    </row>
    <row r="61" spans="2:53" x14ac:dyDescent="0.2">
      <c r="B61" s="71" t="s">
        <v>408</v>
      </c>
      <c r="C61" s="61" t="s">
        <v>153</v>
      </c>
      <c r="D61" s="32">
        <v>55100586</v>
      </c>
      <c r="E61" s="58" t="s">
        <v>154</v>
      </c>
      <c r="F61" s="58" t="s">
        <v>409</v>
      </c>
      <c r="G61" s="59" t="s">
        <v>410</v>
      </c>
      <c r="H61" s="59" t="s">
        <v>411</v>
      </c>
      <c r="I61" s="59" t="s">
        <v>73</v>
      </c>
      <c r="J61" s="59" t="s">
        <v>294</v>
      </c>
      <c r="K61" s="59" t="s">
        <v>304</v>
      </c>
      <c r="L61" s="59" t="s">
        <v>412</v>
      </c>
      <c r="M61" s="13" t="str">
        <f t="shared" si="0"/>
        <v>7.20</v>
      </c>
      <c r="N61" s="13" t="str">
        <f t="shared" si="1"/>
        <v>4</v>
      </c>
      <c r="O61" s="13">
        <f t="shared" si="2"/>
        <v>7.2</v>
      </c>
      <c r="P61" s="13">
        <f t="shared" si="3"/>
        <v>-4</v>
      </c>
      <c r="Q61" s="13">
        <f t="shared" si="4"/>
        <v>7.2000000000000005E-4</v>
      </c>
      <c r="R61" s="13" t="str">
        <f t="shared" si="5"/>
        <v>7.05</v>
      </c>
      <c r="S61" s="13" t="str">
        <f t="shared" si="6"/>
        <v>3</v>
      </c>
      <c r="T61" s="13">
        <f t="shared" si="7"/>
        <v>7.05</v>
      </c>
      <c r="U61" s="13">
        <f t="shared" si="8"/>
        <v>-3</v>
      </c>
      <c r="V61" s="49">
        <f t="shared" si="9"/>
        <v>7.0499999999999998E-3</v>
      </c>
      <c r="W61" s="50">
        <v>0.48610075599727132</v>
      </c>
      <c r="X61" s="50">
        <v>0.33151796525761729</v>
      </c>
      <c r="Y61" s="50">
        <v>0.61645468396870173</v>
      </c>
      <c r="Z61" s="51">
        <v>279.59050556298013</v>
      </c>
      <c r="AA61" s="51">
        <v>190.6791428855708</v>
      </c>
      <c r="AB61" s="52">
        <v>354.56615654480481</v>
      </c>
      <c r="AC61" s="4">
        <v>1460</v>
      </c>
      <c r="AD61" s="4">
        <v>2055</v>
      </c>
      <c r="AE61" s="4">
        <v>2725</v>
      </c>
      <c r="AF61" s="53">
        <v>2.7</v>
      </c>
      <c r="AG61" s="54">
        <v>5</v>
      </c>
      <c r="AH61" s="55">
        <v>33.4</v>
      </c>
      <c r="AI61" s="43">
        <v>1</v>
      </c>
      <c r="AJ61" s="44">
        <f t="shared" si="10"/>
        <v>3.8886746352379167E-2</v>
      </c>
      <c r="AK61" s="45">
        <f t="shared" si="11"/>
        <v>143.43903869620272</v>
      </c>
      <c r="AL61" s="45">
        <f t="shared" si="12"/>
        <v>79035.750874374455</v>
      </c>
      <c r="AM61" s="45">
        <f t="shared" si="13"/>
        <v>22581.643106964129</v>
      </c>
      <c r="AN61" s="45">
        <f t="shared" si="14"/>
        <v>15807.150174874889</v>
      </c>
      <c r="AO61" s="45">
        <f t="shared" si="15"/>
        <v>19758.93771859361</v>
      </c>
      <c r="AP61" s="43" t="str">
        <f t="shared" si="16"/>
        <v>Limited</v>
      </c>
      <c r="AQ61" s="45">
        <f>IF(AP61="None", AK61*'[1]Gavi Simplified'!$Y$3, IF(AP61="Limited", AK61*'[1]Gavi Simplified'!$Y$4, IF(AP61="Accessible", AK61*'[1]Gavi Simplified'!$Y$5, AK61)))</f>
        <v>499.73037356579829</v>
      </c>
      <c r="AR61" s="45">
        <f t="shared" si="17"/>
        <v>275354.36425474397</v>
      </c>
      <c r="AS61" s="45">
        <f t="shared" si="18"/>
        <v>78672.675501355421</v>
      </c>
      <c r="AT61" s="45">
        <f t="shared" si="19"/>
        <v>55070.872850948792</v>
      </c>
      <c r="AU61" s="45">
        <f t="shared" si="20"/>
        <v>68838.591063685992</v>
      </c>
      <c r="AV61" s="45">
        <f t="shared" si="21"/>
        <v>212506.99269691436</v>
      </c>
      <c r="AW61" s="45">
        <f t="shared" si="22"/>
        <v>19758.93771859361</v>
      </c>
      <c r="AX61" s="45">
        <f t="shared" si="23"/>
        <v>27535.436425474396</v>
      </c>
      <c r="AY61" s="45">
        <f t="shared" si="24"/>
        <v>41303.154638211592</v>
      </c>
      <c r="AZ61" s="45">
        <f t="shared" si="25"/>
        <v>55070.872850948792</v>
      </c>
      <c r="BA61" s="45">
        <f t="shared" si="26"/>
        <v>68838.591063685992</v>
      </c>
    </row>
    <row r="62" spans="2:53" x14ac:dyDescent="0.2">
      <c r="B62" s="12" t="s">
        <v>413</v>
      </c>
      <c r="C62" s="46" t="s">
        <v>104</v>
      </c>
      <c r="D62" s="32">
        <v>4310108</v>
      </c>
      <c r="E62" s="47" t="s">
        <v>105</v>
      </c>
      <c r="F62" s="47" t="s">
        <v>373</v>
      </c>
      <c r="G62" s="48" t="s">
        <v>414</v>
      </c>
      <c r="H62" s="48" t="s">
        <v>415</v>
      </c>
      <c r="I62" s="48" t="s">
        <v>109</v>
      </c>
      <c r="J62" s="48" t="s">
        <v>211</v>
      </c>
      <c r="K62" s="48" t="s">
        <v>416</v>
      </c>
      <c r="L62" s="48" t="s">
        <v>417</v>
      </c>
      <c r="M62" s="13" t="str">
        <f t="shared" si="0"/>
        <v>4.79</v>
      </c>
      <c r="N62" s="13" t="str">
        <f t="shared" si="1"/>
        <v>4</v>
      </c>
      <c r="O62" s="13">
        <f t="shared" si="2"/>
        <v>4.79</v>
      </c>
      <c r="P62" s="13">
        <f t="shared" si="3"/>
        <v>-4</v>
      </c>
      <c r="Q62" s="13">
        <f t="shared" si="4"/>
        <v>4.7900000000000004E-4</v>
      </c>
      <c r="R62" s="13" t="str">
        <f t="shared" si="5"/>
        <v>5.13</v>
      </c>
      <c r="S62" s="13" t="str">
        <f t="shared" si="6"/>
        <v>3</v>
      </c>
      <c r="T62" s="13">
        <f t="shared" si="7"/>
        <v>5.13</v>
      </c>
      <c r="U62" s="13">
        <f t="shared" si="8"/>
        <v>-3</v>
      </c>
      <c r="V62" s="49">
        <f t="shared" si="9"/>
        <v>5.13E-3</v>
      </c>
      <c r="W62" s="50">
        <v>1.9934167804048709E-2</v>
      </c>
      <c r="X62" s="50">
        <v>9.6506131831000912E-3</v>
      </c>
      <c r="Y62" s="50">
        <v>4.9008338358299847E-2</v>
      </c>
      <c r="Z62" s="51">
        <v>0.89616954016401928</v>
      </c>
      <c r="AA62" s="51">
        <v>0.43385736809354369</v>
      </c>
      <c r="AB62" s="52">
        <v>2.2032412129007941</v>
      </c>
      <c r="AC62" s="4" t="e">
        <v>#N/A</v>
      </c>
      <c r="AD62" s="4" t="e">
        <v>#N/A</v>
      </c>
      <c r="AE62" s="4" t="e">
        <v>#N/A</v>
      </c>
      <c r="AF62" s="53" t="e">
        <v>#N/A</v>
      </c>
      <c r="AG62" s="54" t="e">
        <v>#N/A</v>
      </c>
      <c r="AH62" s="67">
        <v>77</v>
      </c>
      <c r="AI62" s="68"/>
      <c r="AJ62" s="44">
        <f t="shared" si="10"/>
        <v>0.70607470567277197</v>
      </c>
      <c r="AK62" s="45">
        <f t="shared" si="11"/>
        <v>711.50894351112765</v>
      </c>
      <c r="AL62" s="45">
        <f t="shared" si="12"/>
        <v>30666.803894988596</v>
      </c>
      <c r="AM62" s="45">
        <f t="shared" si="13"/>
        <v>8761.9439699967425</v>
      </c>
      <c r="AN62" s="45">
        <f t="shared" si="14"/>
        <v>6133.3607789977195</v>
      </c>
      <c r="AO62" s="45">
        <f t="shared" si="15"/>
        <v>7666.700973747149</v>
      </c>
      <c r="AP62" s="43" t="str">
        <f t="shared" si="16"/>
        <v>Widely Accessible</v>
      </c>
      <c r="AQ62" s="45">
        <f>IF(AP62="None", AK62*'[1]Gavi Simplified'!$Y$3, IF(AP62="Limited", AK62*'[1]Gavi Simplified'!$Y$4, IF(AP62="Accessible", AK62*'[1]Gavi Simplified'!$Y$5, AK62)))</f>
        <v>711.50894351112765</v>
      </c>
      <c r="AR62" s="45">
        <f t="shared" si="17"/>
        <v>30666.803894988596</v>
      </c>
      <c r="AS62" s="45">
        <f t="shared" si="18"/>
        <v>8761.9439699967425</v>
      </c>
      <c r="AT62" s="45">
        <f t="shared" si="19"/>
        <v>6133.3607789977195</v>
      </c>
      <c r="AU62" s="45">
        <f t="shared" si="20"/>
        <v>7666.700973747149</v>
      </c>
      <c r="AV62" s="45">
        <f t="shared" si="21"/>
        <v>29133.463700239165</v>
      </c>
      <c r="AW62" s="45">
        <f t="shared" si="22"/>
        <v>7666.700973747149</v>
      </c>
      <c r="AX62" s="45">
        <f t="shared" si="23"/>
        <v>7666.700973747149</v>
      </c>
      <c r="AY62" s="45">
        <f t="shared" si="24"/>
        <v>7666.700973747149</v>
      </c>
      <c r="AZ62" s="45">
        <f t="shared" si="25"/>
        <v>7666.700973747149</v>
      </c>
      <c r="BA62" s="45">
        <f t="shared" si="26"/>
        <v>7666.700973747149</v>
      </c>
    </row>
    <row r="63" spans="2:53" x14ac:dyDescent="0.2">
      <c r="B63" s="60" t="s">
        <v>418</v>
      </c>
      <c r="C63" s="61" t="s">
        <v>58</v>
      </c>
      <c r="D63" s="32">
        <v>6735347</v>
      </c>
      <c r="E63" s="58" t="s">
        <v>88</v>
      </c>
      <c r="F63" s="58" t="s">
        <v>419</v>
      </c>
      <c r="G63" s="59" t="s">
        <v>420</v>
      </c>
      <c r="H63" s="59" t="s">
        <v>99</v>
      </c>
      <c r="I63" s="59" t="s">
        <v>92</v>
      </c>
      <c r="J63" s="59" t="s">
        <v>406</v>
      </c>
      <c r="K63" s="59" t="s">
        <v>421</v>
      </c>
      <c r="L63" s="59" t="s">
        <v>417</v>
      </c>
      <c r="M63" s="13" t="str">
        <f t="shared" si="0"/>
        <v>4.50</v>
      </c>
      <c r="N63" s="13" t="str">
        <f t="shared" si="1"/>
        <v>4</v>
      </c>
      <c r="O63" s="13">
        <f t="shared" si="2"/>
        <v>4.5</v>
      </c>
      <c r="P63" s="13">
        <f t="shared" si="3"/>
        <v>-4</v>
      </c>
      <c r="Q63" s="13">
        <f t="shared" si="4"/>
        <v>4.5000000000000004E-4</v>
      </c>
      <c r="R63" s="13" t="str">
        <f t="shared" si="5"/>
        <v>4.83</v>
      </c>
      <c r="S63" s="13" t="str">
        <f t="shared" si="6"/>
        <v>3</v>
      </c>
      <c r="T63" s="13">
        <f t="shared" si="7"/>
        <v>4.83</v>
      </c>
      <c r="U63" s="13">
        <f t="shared" si="8"/>
        <v>-3</v>
      </c>
      <c r="V63" s="49">
        <f t="shared" si="9"/>
        <v>4.8300000000000001E-3</v>
      </c>
      <c r="W63" s="50" t="e">
        <v>#N/A</v>
      </c>
      <c r="X63" s="50" t="e">
        <v>#N/A</v>
      </c>
      <c r="Y63" s="50" t="e">
        <v>#N/A</v>
      </c>
      <c r="Z63" s="51" t="e">
        <v>#N/A</v>
      </c>
      <c r="AA63" s="51" t="e">
        <v>#N/A</v>
      </c>
      <c r="AB63" s="52" t="e">
        <v>#N/A</v>
      </c>
      <c r="AC63" s="4">
        <v>50</v>
      </c>
      <c r="AD63" s="4">
        <v>70</v>
      </c>
      <c r="AE63" s="4">
        <v>95</v>
      </c>
      <c r="AF63" s="53" t="e">
        <v>#N/A</v>
      </c>
      <c r="AG63" s="54" t="e">
        <v>#N/A</v>
      </c>
      <c r="AH63" s="55">
        <v>54.2</v>
      </c>
      <c r="AI63" s="43">
        <v>2</v>
      </c>
      <c r="AJ63" s="44">
        <f t="shared" si="10"/>
        <v>0.20872194796762075</v>
      </c>
      <c r="AK63" s="45">
        <f t="shared" si="11"/>
        <v>472.70213945202158</v>
      </c>
      <c r="AL63" s="45">
        <f t="shared" si="12"/>
        <v>31838.129368517551</v>
      </c>
      <c r="AM63" s="45">
        <f t="shared" si="13"/>
        <v>9096.6083910050147</v>
      </c>
      <c r="AN63" s="45">
        <f t="shared" si="14"/>
        <v>6367.6258737035096</v>
      </c>
      <c r="AO63" s="45">
        <f t="shared" si="15"/>
        <v>7959.532342129387</v>
      </c>
      <c r="AP63" s="43" t="str">
        <f t="shared" si="16"/>
        <v>Widely Accessible</v>
      </c>
      <c r="AQ63" s="45">
        <f>IF(AP63="None", AK63*'[1]Gavi Simplified'!$Y$3, IF(AP63="Limited", AK63*'[1]Gavi Simplified'!$Y$4, IF(AP63="Accessible", AK63*'[1]Gavi Simplified'!$Y$5, AK63)))</f>
        <v>472.70213945202158</v>
      </c>
      <c r="AR63" s="45">
        <f t="shared" si="17"/>
        <v>31838.129368517551</v>
      </c>
      <c r="AS63" s="45">
        <f t="shared" si="18"/>
        <v>9096.6083910050147</v>
      </c>
      <c r="AT63" s="45">
        <f t="shared" si="19"/>
        <v>6367.6258737035096</v>
      </c>
      <c r="AU63" s="45">
        <f t="shared" si="20"/>
        <v>7959.532342129387</v>
      </c>
      <c r="AV63" s="45">
        <f t="shared" si="21"/>
        <v>30246.22290009167</v>
      </c>
      <c r="AW63" s="45">
        <f t="shared" si="22"/>
        <v>7959.532342129387</v>
      </c>
      <c r="AX63" s="45">
        <f t="shared" si="23"/>
        <v>7959.532342129387</v>
      </c>
      <c r="AY63" s="45">
        <f t="shared" si="24"/>
        <v>7959.532342129387</v>
      </c>
      <c r="AZ63" s="45">
        <f t="shared" si="25"/>
        <v>7959.532342129387</v>
      </c>
      <c r="BA63" s="45">
        <f t="shared" si="26"/>
        <v>7959.532342129387</v>
      </c>
    </row>
    <row r="64" spans="2:53" x14ac:dyDescent="0.2">
      <c r="B64" s="66" t="s">
        <v>422</v>
      </c>
      <c r="C64" s="64" t="s">
        <v>182</v>
      </c>
      <c r="D64" s="32">
        <v>7633779</v>
      </c>
      <c r="E64" s="47" t="s">
        <v>423</v>
      </c>
      <c r="F64" s="47" t="s">
        <v>176</v>
      </c>
      <c r="G64" s="48" t="s">
        <v>424</v>
      </c>
      <c r="H64" s="48" t="s">
        <v>178</v>
      </c>
      <c r="I64" s="48" t="s">
        <v>425</v>
      </c>
      <c r="J64" s="48" t="s">
        <v>188</v>
      </c>
      <c r="K64" s="48" t="s">
        <v>426</v>
      </c>
      <c r="L64" s="48" t="s">
        <v>66</v>
      </c>
      <c r="M64" s="13" t="str">
        <f t="shared" si="0"/>
        <v>6.78</v>
      </c>
      <c r="N64" s="13" t="str">
        <f t="shared" si="1"/>
        <v>4</v>
      </c>
      <c r="O64" s="13">
        <f t="shared" si="2"/>
        <v>6.78</v>
      </c>
      <c r="P64" s="13">
        <f t="shared" si="3"/>
        <v>-4</v>
      </c>
      <c r="Q64" s="13">
        <f t="shared" si="4"/>
        <v>6.7800000000000011E-4</v>
      </c>
      <c r="R64" s="13" t="str">
        <f t="shared" si="5"/>
        <v>7.40</v>
      </c>
      <c r="S64" s="13" t="str">
        <f t="shared" si="6"/>
        <v>3</v>
      </c>
      <c r="T64" s="13">
        <f t="shared" si="7"/>
        <v>7.4</v>
      </c>
      <c r="U64" s="13">
        <f t="shared" si="8"/>
        <v>-3</v>
      </c>
      <c r="V64" s="49">
        <f t="shared" si="9"/>
        <v>7.4000000000000003E-3</v>
      </c>
      <c r="W64" s="50">
        <v>0.22136577474030431</v>
      </c>
      <c r="X64" s="50">
        <v>0.1566756434122536</v>
      </c>
      <c r="Y64" s="50">
        <v>0.397289984968625</v>
      </c>
      <c r="Z64" s="51">
        <v>16.855967961587542</v>
      </c>
      <c r="AA64" s="51">
        <v>11.93011715029688</v>
      </c>
      <c r="AB64" s="52">
        <v>30.251773409629362</v>
      </c>
      <c r="AC64" s="4">
        <v>55</v>
      </c>
      <c r="AD64" s="4">
        <v>80</v>
      </c>
      <c r="AE64" s="4">
        <v>110</v>
      </c>
      <c r="AF64" s="53" t="e">
        <v>#N/A</v>
      </c>
      <c r="AG64" s="54" t="e">
        <v>#N/A</v>
      </c>
      <c r="AH64" s="67">
        <v>33</v>
      </c>
      <c r="AI64" s="68"/>
      <c r="AJ64" s="44">
        <f t="shared" si="10"/>
        <v>3.7294091291194278E-2</v>
      </c>
      <c r="AK64" s="45">
        <f t="shared" si="11"/>
        <v>135.24472270458227</v>
      </c>
      <c r="AL64" s="45">
        <f t="shared" si="12"/>
        <v>10324.283240430634</v>
      </c>
      <c r="AM64" s="45">
        <f t="shared" si="13"/>
        <v>2949.7952115516096</v>
      </c>
      <c r="AN64" s="45">
        <f t="shared" si="14"/>
        <v>2064.8566480861264</v>
      </c>
      <c r="AO64" s="45">
        <f t="shared" si="15"/>
        <v>2581.070810107658</v>
      </c>
      <c r="AP64" s="43" t="str">
        <f t="shared" si="16"/>
        <v>Limited</v>
      </c>
      <c r="AQ64" s="45">
        <f>IF(AP64="None", AK64*'[1]Gavi Simplified'!$Y$3, IF(AP64="Limited", AK64*'[1]Gavi Simplified'!$Y$4, IF(AP64="Accessible", AK64*'[1]Gavi Simplified'!$Y$5, AK64)))</f>
        <v>471.18201860727413</v>
      </c>
      <c r="AR64" s="45">
        <f t="shared" si="17"/>
        <v>35968.993988218186</v>
      </c>
      <c r="AS64" s="45">
        <f t="shared" si="18"/>
        <v>10276.855425205196</v>
      </c>
      <c r="AT64" s="45">
        <f t="shared" si="19"/>
        <v>7193.798797643637</v>
      </c>
      <c r="AU64" s="45">
        <f t="shared" si="20"/>
        <v>8992.2484970545465</v>
      </c>
      <c r="AV64" s="45">
        <f t="shared" si="21"/>
        <v>27759.366601860391</v>
      </c>
      <c r="AW64" s="45">
        <f t="shared" si="22"/>
        <v>2581.070810107658</v>
      </c>
      <c r="AX64" s="45">
        <f t="shared" si="23"/>
        <v>3596.8993988218185</v>
      </c>
      <c r="AY64" s="45">
        <f t="shared" si="24"/>
        <v>5395.3490982327276</v>
      </c>
      <c r="AZ64" s="45">
        <f t="shared" si="25"/>
        <v>7193.798797643637</v>
      </c>
      <c r="BA64" s="45">
        <f t="shared" si="26"/>
        <v>8992.2484970545465</v>
      </c>
    </row>
    <row r="65" spans="2:53" x14ac:dyDescent="0.2">
      <c r="B65" s="60" t="s">
        <v>427</v>
      </c>
      <c r="C65" s="61" t="s">
        <v>104</v>
      </c>
      <c r="D65" s="32">
        <v>5353930</v>
      </c>
      <c r="E65" s="58" t="s">
        <v>105</v>
      </c>
      <c r="F65" s="58" t="s">
        <v>428</v>
      </c>
      <c r="G65" s="59" t="s">
        <v>429</v>
      </c>
      <c r="H65" s="59" t="s">
        <v>430</v>
      </c>
      <c r="I65" s="59" t="s">
        <v>109</v>
      </c>
      <c r="J65" s="59" t="s">
        <v>93</v>
      </c>
      <c r="K65" s="59" t="s">
        <v>431</v>
      </c>
      <c r="L65" s="59" t="s">
        <v>324</v>
      </c>
      <c r="M65" s="13" t="str">
        <f t="shared" si="0"/>
        <v>4.65</v>
      </c>
      <c r="N65" s="13" t="str">
        <f t="shared" si="1"/>
        <v>4</v>
      </c>
      <c r="O65" s="13">
        <f t="shared" si="2"/>
        <v>4.6500000000000004</v>
      </c>
      <c r="P65" s="13">
        <f t="shared" si="3"/>
        <v>-4</v>
      </c>
      <c r="Q65" s="13">
        <f t="shared" si="4"/>
        <v>4.6500000000000008E-4</v>
      </c>
      <c r="R65" s="13" t="str">
        <f t="shared" si="5"/>
        <v>5.20</v>
      </c>
      <c r="S65" s="13" t="str">
        <f t="shared" si="6"/>
        <v>3</v>
      </c>
      <c r="T65" s="13">
        <f t="shared" si="7"/>
        <v>5.2</v>
      </c>
      <c r="U65" s="13">
        <f t="shared" si="8"/>
        <v>-3</v>
      </c>
      <c r="V65" s="49">
        <f t="shared" si="9"/>
        <v>5.2000000000000006E-3</v>
      </c>
      <c r="W65" s="50">
        <v>6.2135834826045802E-2</v>
      </c>
      <c r="X65" s="50">
        <v>3.7500149898538011E-2</v>
      </c>
      <c r="Y65" s="50">
        <v>0.1151623789514313</v>
      </c>
      <c r="Z65" s="51">
        <v>4.2767590835928848</v>
      </c>
      <c r="AA65" s="51">
        <v>2.581104883577428</v>
      </c>
      <c r="AB65" s="52">
        <v>7.9265330810723551</v>
      </c>
      <c r="AC65" s="4" t="e">
        <v>#N/A</v>
      </c>
      <c r="AD65" s="4" t="e">
        <v>#N/A</v>
      </c>
      <c r="AE65" s="4" t="e">
        <v>#N/A</v>
      </c>
      <c r="AF65" s="53" t="e">
        <v>#N/A</v>
      </c>
      <c r="AG65" s="54" t="e">
        <v>#N/A</v>
      </c>
      <c r="AH65" s="55">
        <v>68.2</v>
      </c>
      <c r="AI65" s="43"/>
      <c r="AJ65" s="44">
        <f t="shared" si="10"/>
        <v>0.46335321597843604</v>
      </c>
      <c r="AK65" s="45">
        <f t="shared" si="11"/>
        <v>628.96899744538496</v>
      </c>
      <c r="AL65" s="45">
        <f t="shared" si="12"/>
        <v>33674.559844927695</v>
      </c>
      <c r="AM65" s="45">
        <f t="shared" si="13"/>
        <v>9621.302812836484</v>
      </c>
      <c r="AN65" s="45">
        <f t="shared" si="14"/>
        <v>6734.9119689855388</v>
      </c>
      <c r="AO65" s="45">
        <f t="shared" si="15"/>
        <v>8418.6399612319237</v>
      </c>
      <c r="AP65" s="43" t="str">
        <f t="shared" si="16"/>
        <v>Widely Accessible</v>
      </c>
      <c r="AQ65" s="45">
        <f>IF(AP65="None", AK65*'[1]Gavi Simplified'!$Y$3, IF(AP65="Limited", AK65*'[1]Gavi Simplified'!$Y$4, IF(AP65="Accessible", AK65*'[1]Gavi Simplified'!$Y$5, AK65)))</f>
        <v>628.96899744538496</v>
      </c>
      <c r="AR65" s="45">
        <f t="shared" si="17"/>
        <v>33674.559844927695</v>
      </c>
      <c r="AS65" s="45">
        <f t="shared" si="18"/>
        <v>9621.302812836484</v>
      </c>
      <c r="AT65" s="45">
        <f t="shared" si="19"/>
        <v>6734.9119689855388</v>
      </c>
      <c r="AU65" s="45">
        <f t="shared" si="20"/>
        <v>8418.6399612319237</v>
      </c>
      <c r="AV65" s="45">
        <f t="shared" si="21"/>
        <v>31990.831852681309</v>
      </c>
      <c r="AW65" s="45">
        <f t="shared" si="22"/>
        <v>8418.6399612319237</v>
      </c>
      <c r="AX65" s="45">
        <f t="shared" si="23"/>
        <v>8418.6399612319237</v>
      </c>
      <c r="AY65" s="45">
        <f t="shared" si="24"/>
        <v>8418.6399612319237</v>
      </c>
      <c r="AZ65" s="45">
        <f t="shared" si="25"/>
        <v>8418.6399612319237</v>
      </c>
      <c r="BA65" s="45">
        <f t="shared" si="26"/>
        <v>8418.6399612319237</v>
      </c>
    </row>
    <row r="66" spans="2:53" x14ac:dyDescent="0.2">
      <c r="B66" s="12" t="s">
        <v>432</v>
      </c>
      <c r="C66" s="46" t="s">
        <v>153</v>
      </c>
      <c r="D66" s="32">
        <v>2330318</v>
      </c>
      <c r="E66" s="47" t="s">
        <v>154</v>
      </c>
      <c r="F66" s="47" t="s">
        <v>334</v>
      </c>
      <c r="G66" s="48" t="s">
        <v>433</v>
      </c>
      <c r="H66" s="48" t="s">
        <v>434</v>
      </c>
      <c r="I66" s="48" t="s">
        <v>73</v>
      </c>
      <c r="J66" s="48" t="s">
        <v>435</v>
      </c>
      <c r="K66" s="48" t="s">
        <v>295</v>
      </c>
      <c r="L66" s="48" t="s">
        <v>436</v>
      </c>
      <c r="M66" s="13" t="str">
        <f t="shared" si="0"/>
        <v>6.85</v>
      </c>
      <c r="N66" s="13" t="str">
        <f t="shared" si="1"/>
        <v>4</v>
      </c>
      <c r="O66" s="13">
        <f t="shared" si="2"/>
        <v>6.85</v>
      </c>
      <c r="P66" s="13">
        <f t="shared" si="3"/>
        <v>-4</v>
      </c>
      <c r="Q66" s="13">
        <f t="shared" si="4"/>
        <v>6.8499999999999995E-4</v>
      </c>
      <c r="R66" s="13" t="str">
        <f t="shared" si="5"/>
        <v>7.17</v>
      </c>
      <c r="S66" s="13" t="str">
        <f t="shared" si="6"/>
        <v>3</v>
      </c>
      <c r="T66" s="13">
        <f t="shared" si="7"/>
        <v>7.17</v>
      </c>
      <c r="U66" s="13">
        <f t="shared" si="8"/>
        <v>-3</v>
      </c>
      <c r="V66" s="49">
        <f t="shared" si="9"/>
        <v>7.1700000000000002E-3</v>
      </c>
      <c r="W66" s="50">
        <v>1.5196147925245851</v>
      </c>
      <c r="X66" s="50">
        <v>1.105834658801117</v>
      </c>
      <c r="Y66" s="50">
        <v>1.8160350467336199</v>
      </c>
      <c r="Z66" s="51">
        <v>33.354482277984467</v>
      </c>
      <c r="AA66" s="51">
        <v>24.2722976314842</v>
      </c>
      <c r="AB66" s="52">
        <v>39.8606996197</v>
      </c>
      <c r="AC66" s="4">
        <v>53</v>
      </c>
      <c r="AD66" s="4">
        <v>76</v>
      </c>
      <c r="AE66" s="4">
        <v>105</v>
      </c>
      <c r="AF66" s="53" t="e">
        <v>#N/A</v>
      </c>
      <c r="AG66" s="54" t="e">
        <v>#N/A</v>
      </c>
      <c r="AH66" s="55">
        <v>26.3</v>
      </c>
      <c r="AI66" s="43">
        <v>1</v>
      </c>
      <c r="AJ66" s="44">
        <f t="shared" si="10"/>
        <v>1.6965021059691207E-2</v>
      </c>
      <c r="AK66" s="45">
        <f t="shared" si="11"/>
        <v>10</v>
      </c>
      <c r="AL66" s="45">
        <f t="shared" si="12"/>
        <v>233.0318</v>
      </c>
      <c r="AM66" s="45">
        <f t="shared" si="13"/>
        <v>66.580514285714287</v>
      </c>
      <c r="AN66" s="45">
        <f t="shared" si="14"/>
        <v>46.606359999999995</v>
      </c>
      <c r="AO66" s="45">
        <f t="shared" si="15"/>
        <v>58.257949999999994</v>
      </c>
      <c r="AP66" s="43" t="str">
        <f t="shared" si="16"/>
        <v>None</v>
      </c>
      <c r="AQ66" s="45">
        <f>IF(AP66="None", AK66*'[1]Gavi Simplified'!$Y$3, IF(AP66="Limited", AK66*'[1]Gavi Simplified'!$Y$4, IF(AP66="Accessible", AK66*'[1]Gavi Simplified'!$Y$5, AK66)))</f>
        <v>42.303962558874574</v>
      </c>
      <c r="AR66" s="45">
        <f t="shared" si="17"/>
        <v>985.81685422271482</v>
      </c>
      <c r="AS66" s="45">
        <f t="shared" si="18"/>
        <v>281.66195834934712</v>
      </c>
      <c r="AT66" s="45">
        <f t="shared" si="19"/>
        <v>197.16337084454298</v>
      </c>
      <c r="AU66" s="45">
        <f t="shared" si="20"/>
        <v>246.45421355567873</v>
      </c>
      <c r="AV66" s="45">
        <f t="shared" si="21"/>
        <v>748.32974795590053</v>
      </c>
      <c r="AW66" s="45">
        <f t="shared" si="22"/>
        <v>58.257949999999994</v>
      </c>
      <c r="AX66" s="45">
        <f t="shared" si="23"/>
        <v>98.581685422271491</v>
      </c>
      <c r="AY66" s="45">
        <f t="shared" si="24"/>
        <v>147.87252813340726</v>
      </c>
      <c r="AZ66" s="45">
        <f t="shared" si="25"/>
        <v>197.16337084454298</v>
      </c>
      <c r="BA66" s="45">
        <f t="shared" si="26"/>
        <v>246.45421355567873</v>
      </c>
    </row>
    <row r="67" spans="2:53" x14ac:dyDescent="0.2">
      <c r="B67" s="60" t="s">
        <v>437</v>
      </c>
      <c r="C67" s="61" t="s">
        <v>124</v>
      </c>
      <c r="D67" s="32">
        <v>5418377</v>
      </c>
      <c r="E67" s="58" t="s">
        <v>125</v>
      </c>
      <c r="F67" s="58" t="s">
        <v>438</v>
      </c>
      <c r="G67" s="59" t="s">
        <v>439</v>
      </c>
      <c r="H67" s="59" t="s">
        <v>440</v>
      </c>
      <c r="I67" s="59" t="s">
        <v>129</v>
      </c>
      <c r="J67" s="59" t="s">
        <v>395</v>
      </c>
      <c r="K67" s="59" t="s">
        <v>441</v>
      </c>
      <c r="L67" s="59" t="s">
        <v>442</v>
      </c>
      <c r="M67" s="13" t="str">
        <f t="shared" si="0"/>
        <v>6.55</v>
      </c>
      <c r="N67" s="13" t="str">
        <f t="shared" si="1"/>
        <v>4</v>
      </c>
      <c r="O67" s="13">
        <f t="shared" si="2"/>
        <v>6.55</v>
      </c>
      <c r="P67" s="13">
        <f t="shared" si="3"/>
        <v>-4</v>
      </c>
      <c r="Q67" s="13">
        <f t="shared" si="4"/>
        <v>6.5499999999999998E-4</v>
      </c>
      <c r="R67" s="13" t="str">
        <f t="shared" si="5"/>
        <v>7.31</v>
      </c>
      <c r="S67" s="13" t="str">
        <f t="shared" si="6"/>
        <v>3</v>
      </c>
      <c r="T67" s="13">
        <f t="shared" si="7"/>
        <v>7.31</v>
      </c>
      <c r="U67" s="13">
        <f t="shared" si="8"/>
        <v>-3</v>
      </c>
      <c r="V67" s="49">
        <f t="shared" si="9"/>
        <v>7.3099999999999997E-3</v>
      </c>
      <c r="W67" s="50">
        <v>2.9565576204840358</v>
      </c>
      <c r="X67" s="50">
        <v>2.0462680869850729</v>
      </c>
      <c r="Y67" s="50">
        <v>3.5132407509717138</v>
      </c>
      <c r="Z67" s="51">
        <v>160.67321536499111</v>
      </c>
      <c r="AA67" s="51">
        <v>111.2038103897445</v>
      </c>
      <c r="AB67" s="52">
        <v>190.92598902825571</v>
      </c>
      <c r="AC67" s="4">
        <v>38</v>
      </c>
      <c r="AD67" s="4">
        <v>60</v>
      </c>
      <c r="AE67" s="4">
        <v>80</v>
      </c>
      <c r="AF67" s="53" t="e">
        <v>#N/A</v>
      </c>
      <c r="AG67" s="54" t="e">
        <v>#N/A</v>
      </c>
      <c r="AH67" s="55">
        <v>35.700000000000003</v>
      </c>
      <c r="AI67" s="43">
        <v>1</v>
      </c>
      <c r="AJ67" s="44">
        <f t="shared" si="10"/>
        <v>4.8998874785693175E-2</v>
      </c>
      <c r="AK67" s="45">
        <f t="shared" si="11"/>
        <v>188.73148645685751</v>
      </c>
      <c r="AL67" s="45">
        <f t="shared" si="12"/>
        <v>10226.183453936483</v>
      </c>
      <c r="AM67" s="45">
        <f t="shared" si="13"/>
        <v>2921.7667011247095</v>
      </c>
      <c r="AN67" s="45">
        <f t="shared" si="14"/>
        <v>2045.2366907872965</v>
      </c>
      <c r="AO67" s="45">
        <f t="shared" si="15"/>
        <v>2556.5458634841207</v>
      </c>
      <c r="AP67" s="43" t="str">
        <f t="shared" si="16"/>
        <v>Limited</v>
      </c>
      <c r="AQ67" s="45">
        <f>IF(AP67="None", AK67*'[1]Gavi Simplified'!$Y$3, IF(AP67="Limited", AK67*'[1]Gavi Simplified'!$Y$4, IF(AP67="Accessible", AK67*'[1]Gavi Simplified'!$Y$5, AK67)))</f>
        <v>657.52571327857504</v>
      </c>
      <c r="AR67" s="45">
        <f t="shared" si="17"/>
        <v>35627.222017372253</v>
      </c>
      <c r="AS67" s="45">
        <f t="shared" si="18"/>
        <v>10179.206290677786</v>
      </c>
      <c r="AT67" s="45">
        <f t="shared" si="19"/>
        <v>7125.4444034744502</v>
      </c>
      <c r="AU67" s="45">
        <f t="shared" si="20"/>
        <v>8906.8055043430631</v>
      </c>
      <c r="AV67" s="45">
        <f t="shared" si="21"/>
        <v>27495.601275644702</v>
      </c>
      <c r="AW67" s="45">
        <f t="shared" si="22"/>
        <v>2556.5458634841207</v>
      </c>
      <c r="AX67" s="45">
        <f t="shared" si="23"/>
        <v>3562.7222017372255</v>
      </c>
      <c r="AY67" s="45">
        <f t="shared" si="24"/>
        <v>5344.083302605839</v>
      </c>
      <c r="AZ67" s="45">
        <f t="shared" si="25"/>
        <v>7125.4444034744511</v>
      </c>
      <c r="BA67" s="45">
        <f t="shared" si="26"/>
        <v>8906.8055043430631</v>
      </c>
    </row>
    <row r="68" spans="2:53" x14ac:dyDescent="0.2">
      <c r="B68" s="12" t="s">
        <v>443</v>
      </c>
      <c r="C68" s="46" t="s">
        <v>48</v>
      </c>
      <c r="D68" s="32">
        <v>6888388</v>
      </c>
      <c r="E68" s="47" t="s">
        <v>49</v>
      </c>
      <c r="F68" s="47" t="s">
        <v>444</v>
      </c>
      <c r="G68" s="48" t="s">
        <v>445</v>
      </c>
      <c r="H68" s="48" t="s">
        <v>446</v>
      </c>
      <c r="I68" s="48" t="s">
        <v>53</v>
      </c>
      <c r="J68" s="48" t="s">
        <v>54</v>
      </c>
      <c r="K68" s="48" t="s">
        <v>369</v>
      </c>
      <c r="L68" s="48" t="s">
        <v>447</v>
      </c>
      <c r="M68" s="13" t="str">
        <f t="shared" si="0"/>
        <v>4.15</v>
      </c>
      <c r="N68" s="13" t="str">
        <f t="shared" si="1"/>
        <v>4</v>
      </c>
      <c r="O68" s="13">
        <f t="shared" si="2"/>
        <v>4.1500000000000004</v>
      </c>
      <c r="P68" s="13">
        <f t="shared" si="3"/>
        <v>-4</v>
      </c>
      <c r="Q68" s="13">
        <f t="shared" si="4"/>
        <v>4.1500000000000006E-4</v>
      </c>
      <c r="R68" s="13" t="str">
        <f t="shared" si="5"/>
        <v>4.55</v>
      </c>
      <c r="S68" s="13" t="str">
        <f t="shared" si="6"/>
        <v>3</v>
      </c>
      <c r="T68" s="13">
        <f t="shared" si="7"/>
        <v>4.55</v>
      </c>
      <c r="U68" s="13">
        <f t="shared" si="8"/>
        <v>-3</v>
      </c>
      <c r="V68" s="49">
        <f t="shared" si="9"/>
        <v>4.5500000000000002E-3</v>
      </c>
      <c r="W68" s="50">
        <v>0.21615741687845261</v>
      </c>
      <c r="X68" s="50">
        <v>0.13058979956369449</v>
      </c>
      <c r="Y68" s="50">
        <v>0.30099127286823701</v>
      </c>
      <c r="Z68" s="51">
        <v>15.530428093860539</v>
      </c>
      <c r="AA68" s="51">
        <v>9.3825857155576902</v>
      </c>
      <c r="AB68" s="52">
        <v>21.625551358194851</v>
      </c>
      <c r="AC68" s="4" t="e">
        <v>#N/A</v>
      </c>
      <c r="AD68" s="4" t="e">
        <v>#N/A</v>
      </c>
      <c r="AE68" s="4" t="e">
        <v>#N/A</v>
      </c>
      <c r="AF68" s="53" t="e">
        <v>#N/A</v>
      </c>
      <c r="AG68" s="54" t="e">
        <v>#N/A</v>
      </c>
      <c r="AH68" s="55">
        <v>59.5</v>
      </c>
      <c r="AI68" s="43"/>
      <c r="AJ68" s="44">
        <f t="shared" si="10"/>
        <v>0.28853661466701414</v>
      </c>
      <c r="AK68" s="45">
        <f t="shared" si="11"/>
        <v>536.15420969258321</v>
      </c>
      <c r="AL68" s="45">
        <f t="shared" si="12"/>
        <v>36932.382241958738</v>
      </c>
      <c r="AM68" s="45">
        <f t="shared" si="13"/>
        <v>10552.109211988211</v>
      </c>
      <c r="AN68" s="45">
        <f t="shared" si="14"/>
        <v>7386.476448391747</v>
      </c>
      <c r="AO68" s="45">
        <f t="shared" si="15"/>
        <v>9233.0955604896844</v>
      </c>
      <c r="AP68" s="43" t="str">
        <f t="shared" si="16"/>
        <v>Widely Accessible</v>
      </c>
      <c r="AQ68" s="45">
        <f>IF(AP68="None", AK68*'[1]Gavi Simplified'!$Y$3, IF(AP68="Limited", AK68*'[1]Gavi Simplified'!$Y$4, IF(AP68="Accessible", AK68*'[1]Gavi Simplified'!$Y$5, AK68)))</f>
        <v>536.15420969258321</v>
      </c>
      <c r="AR68" s="45">
        <f t="shared" si="17"/>
        <v>36932.382241958738</v>
      </c>
      <c r="AS68" s="45">
        <f t="shared" si="18"/>
        <v>10552.109211988211</v>
      </c>
      <c r="AT68" s="45">
        <f t="shared" si="19"/>
        <v>7386.476448391747</v>
      </c>
      <c r="AU68" s="45">
        <f t="shared" si="20"/>
        <v>9233.0955604896844</v>
      </c>
      <c r="AV68" s="45">
        <f t="shared" si="21"/>
        <v>35085.763129860803</v>
      </c>
      <c r="AW68" s="45">
        <f t="shared" si="22"/>
        <v>9233.0955604896844</v>
      </c>
      <c r="AX68" s="45">
        <f t="shared" si="23"/>
        <v>9233.0955604896844</v>
      </c>
      <c r="AY68" s="45">
        <f t="shared" si="24"/>
        <v>9233.0955604896844</v>
      </c>
      <c r="AZ68" s="45">
        <f t="shared" si="25"/>
        <v>9233.0955604896844</v>
      </c>
      <c r="BA68" s="45">
        <f t="shared" si="26"/>
        <v>9233.0955604896844</v>
      </c>
    </row>
    <row r="69" spans="2:53" x14ac:dyDescent="0.2">
      <c r="B69" s="70" t="s">
        <v>448</v>
      </c>
      <c r="C69" s="61" t="s">
        <v>153</v>
      </c>
      <c r="D69" s="32">
        <v>30325732</v>
      </c>
      <c r="E69" s="58" t="s">
        <v>154</v>
      </c>
      <c r="F69" s="58" t="s">
        <v>449</v>
      </c>
      <c r="G69" s="59" t="s">
        <v>450</v>
      </c>
      <c r="H69" s="59" t="s">
        <v>451</v>
      </c>
      <c r="I69" s="59" t="s">
        <v>73</v>
      </c>
      <c r="J69" s="59" t="s">
        <v>395</v>
      </c>
      <c r="K69" s="59" t="s">
        <v>452</v>
      </c>
      <c r="L69" s="59" t="s">
        <v>296</v>
      </c>
      <c r="M69" s="13" t="str">
        <f t="shared" si="0"/>
        <v>6.54</v>
      </c>
      <c r="N69" s="13" t="str">
        <f t="shared" si="1"/>
        <v>4</v>
      </c>
      <c r="O69" s="13">
        <f t="shared" si="2"/>
        <v>6.54</v>
      </c>
      <c r="P69" s="13">
        <f t="shared" si="3"/>
        <v>-4</v>
      </c>
      <c r="Q69" s="13">
        <f t="shared" si="4"/>
        <v>6.5400000000000007E-4</v>
      </c>
      <c r="R69" s="13" t="str">
        <f t="shared" si="5"/>
        <v>7.15</v>
      </c>
      <c r="S69" s="13" t="str">
        <f t="shared" si="6"/>
        <v>3</v>
      </c>
      <c r="T69" s="13">
        <f t="shared" si="7"/>
        <v>7.15</v>
      </c>
      <c r="U69" s="13">
        <f t="shared" si="8"/>
        <v>-3</v>
      </c>
      <c r="V69" s="49">
        <f t="shared" si="9"/>
        <v>7.1500000000000001E-3</v>
      </c>
      <c r="W69" s="50">
        <v>1.7985163433864291</v>
      </c>
      <c r="X69" s="50">
        <v>1.298665927512541</v>
      </c>
      <c r="Y69" s="50">
        <v>2.1409973833312641</v>
      </c>
      <c r="Z69" s="51">
        <v>538.67347585058087</v>
      </c>
      <c r="AA69" s="51">
        <v>388.96332063610942</v>
      </c>
      <c r="AB69" s="52">
        <v>641.24994276921757</v>
      </c>
      <c r="AC69" s="4">
        <v>610</v>
      </c>
      <c r="AD69" s="4">
        <v>870</v>
      </c>
      <c r="AE69" s="4">
        <v>1170</v>
      </c>
      <c r="AF69" s="53">
        <v>2.33</v>
      </c>
      <c r="AG69" s="54">
        <v>4.47</v>
      </c>
      <c r="AH69" s="67">
        <v>29</v>
      </c>
      <c r="AI69" s="68">
        <v>2</v>
      </c>
      <c r="AJ69" s="44">
        <f t="shared" si="10"/>
        <v>2.3815911432517503E-2</v>
      </c>
      <c r="AK69" s="45">
        <f t="shared" si="11"/>
        <v>47.365239890400517</v>
      </c>
      <c r="AL69" s="45">
        <f t="shared" si="12"/>
        <v>14363.855710319955</v>
      </c>
      <c r="AM69" s="45">
        <f t="shared" si="13"/>
        <v>4103.9587743771299</v>
      </c>
      <c r="AN69" s="45">
        <f t="shared" si="14"/>
        <v>2872.7711420639907</v>
      </c>
      <c r="AO69" s="45">
        <f t="shared" si="15"/>
        <v>3590.9639275799882</v>
      </c>
      <c r="AP69" s="43" t="str">
        <f t="shared" si="16"/>
        <v>None</v>
      </c>
      <c r="AQ69" s="45">
        <f>IF(AP69="None", AK69*'[1]Gavi Simplified'!$Y$3, IF(AP69="Limited", AK69*'[1]Gavi Simplified'!$Y$4, IF(AP69="Accessible", AK69*'[1]Gavi Simplified'!$Y$5, AK69)))</f>
        <v>200.37373349156161</v>
      </c>
      <c r="AR69" s="45">
        <f t="shared" si="17"/>
        <v>60764.801417045222</v>
      </c>
      <c r="AS69" s="45">
        <f t="shared" si="18"/>
        <v>17361.371833441492</v>
      </c>
      <c r="AT69" s="45">
        <f t="shared" si="19"/>
        <v>12152.960283409044</v>
      </c>
      <c r="AU69" s="45">
        <f t="shared" si="20"/>
        <v>15191.200354261306</v>
      </c>
      <c r="AV69" s="45">
        <f t="shared" si="21"/>
        <v>46126.324919511644</v>
      </c>
      <c r="AW69" s="45">
        <f t="shared" si="22"/>
        <v>3590.9639275799882</v>
      </c>
      <c r="AX69" s="45">
        <f t="shared" si="23"/>
        <v>6076.4801417045219</v>
      </c>
      <c r="AY69" s="45">
        <f t="shared" si="24"/>
        <v>9114.7202125567837</v>
      </c>
      <c r="AZ69" s="45">
        <f t="shared" si="25"/>
        <v>12152.960283409044</v>
      </c>
      <c r="BA69" s="45">
        <f t="shared" si="26"/>
        <v>15191.200354261306</v>
      </c>
    </row>
    <row r="70" spans="2:53" x14ac:dyDescent="0.2">
      <c r="B70" s="69" t="s">
        <v>453</v>
      </c>
      <c r="C70" s="46" t="s">
        <v>153</v>
      </c>
      <c r="D70" s="32">
        <v>20931751</v>
      </c>
      <c r="E70" s="47" t="s">
        <v>154</v>
      </c>
      <c r="F70" s="47" t="s">
        <v>449</v>
      </c>
      <c r="G70" s="48" t="s">
        <v>454</v>
      </c>
      <c r="H70" s="48" t="s">
        <v>455</v>
      </c>
      <c r="I70" s="48" t="s">
        <v>73</v>
      </c>
      <c r="J70" s="48" t="s">
        <v>130</v>
      </c>
      <c r="K70" s="48" t="s">
        <v>456</v>
      </c>
      <c r="L70" s="48" t="s">
        <v>457</v>
      </c>
      <c r="M70" s="13" t="str">
        <f t="shared" si="0"/>
        <v>6.59</v>
      </c>
      <c r="N70" s="13" t="str">
        <f t="shared" si="1"/>
        <v>4</v>
      </c>
      <c r="O70" s="13">
        <f t="shared" si="2"/>
        <v>6.59</v>
      </c>
      <c r="P70" s="13">
        <f t="shared" si="3"/>
        <v>-4</v>
      </c>
      <c r="Q70" s="13">
        <f t="shared" si="4"/>
        <v>6.5899999999999997E-4</v>
      </c>
      <c r="R70" s="13" t="str">
        <f t="shared" si="5"/>
        <v>7.27</v>
      </c>
      <c r="S70" s="13" t="str">
        <f t="shared" si="6"/>
        <v>3</v>
      </c>
      <c r="T70" s="13">
        <f t="shared" si="7"/>
        <v>7.27</v>
      </c>
      <c r="U70" s="13">
        <f t="shared" si="8"/>
        <v>-3</v>
      </c>
      <c r="V70" s="49">
        <f t="shared" si="9"/>
        <v>7.2699999999999996E-3</v>
      </c>
      <c r="W70" s="50">
        <v>2.2367372046096858</v>
      </c>
      <c r="X70" s="50">
        <v>1.589492776875487</v>
      </c>
      <c r="Y70" s="50">
        <v>2.654921341198571</v>
      </c>
      <c r="Z70" s="51">
        <v>462.45718334167941</v>
      </c>
      <c r="AA70" s="51">
        <v>328.63599309783609</v>
      </c>
      <c r="AB70" s="52">
        <v>548.91895342647354</v>
      </c>
      <c r="AC70" s="4">
        <v>500</v>
      </c>
      <c r="AD70" s="4">
        <v>750</v>
      </c>
      <c r="AE70" s="4">
        <v>980</v>
      </c>
      <c r="AF70" s="53">
        <v>2.79</v>
      </c>
      <c r="AG70" s="54">
        <v>5.48</v>
      </c>
      <c r="AH70" s="55">
        <v>29.9</v>
      </c>
      <c r="AI70" s="43">
        <v>1</v>
      </c>
      <c r="AJ70" s="44">
        <f t="shared" si="10"/>
        <v>2.648116718795733E-2</v>
      </c>
      <c r="AK70" s="45">
        <f t="shared" si="11"/>
        <v>68.151509687363159</v>
      </c>
      <c r="AL70" s="45">
        <f t="shared" si="12"/>
        <v>14265.304310499734</v>
      </c>
      <c r="AM70" s="45">
        <f t="shared" si="13"/>
        <v>4075.8012315713527</v>
      </c>
      <c r="AN70" s="45">
        <f t="shared" si="14"/>
        <v>2853.0608620999469</v>
      </c>
      <c r="AO70" s="45">
        <f t="shared" si="15"/>
        <v>3566.3260776249335</v>
      </c>
      <c r="AP70" s="43" t="str">
        <f t="shared" si="16"/>
        <v>None</v>
      </c>
      <c r="AQ70" s="45">
        <f>IF(AP70="None", AK70*'[1]Gavi Simplified'!$Y$3, IF(AP70="Limited", AK70*'[1]Gavi Simplified'!$Y$4, IF(AP70="Accessible", AK70*'[1]Gavi Simplified'!$Y$5, AK70)))</f>
        <v>288.3078914144989</v>
      </c>
      <c r="AR70" s="45">
        <f t="shared" si="17"/>
        <v>60347.889944233291</v>
      </c>
      <c r="AS70" s="45">
        <f t="shared" si="18"/>
        <v>17242.25426978094</v>
      </c>
      <c r="AT70" s="45">
        <f t="shared" si="19"/>
        <v>12069.577988846657</v>
      </c>
      <c r="AU70" s="45">
        <f t="shared" si="20"/>
        <v>15086.972486058321</v>
      </c>
      <c r="AV70" s="45">
        <f t="shared" si="21"/>
        <v>45809.849038588232</v>
      </c>
      <c r="AW70" s="45">
        <f t="shared" si="22"/>
        <v>3566.3260776249335</v>
      </c>
      <c r="AX70" s="45">
        <f t="shared" si="23"/>
        <v>6034.7889944233284</v>
      </c>
      <c r="AY70" s="45">
        <f t="shared" si="24"/>
        <v>9052.1834916349926</v>
      </c>
      <c r="AZ70" s="45">
        <f t="shared" si="25"/>
        <v>12069.577988846657</v>
      </c>
      <c r="BA70" s="45">
        <f t="shared" si="26"/>
        <v>15086.972486058321</v>
      </c>
    </row>
    <row r="71" spans="2:53" x14ac:dyDescent="0.2">
      <c r="B71" s="56" t="s">
        <v>458</v>
      </c>
      <c r="C71" s="57" t="s">
        <v>459</v>
      </c>
      <c r="D71" s="32">
        <v>34308525</v>
      </c>
      <c r="E71" s="58" t="s">
        <v>460</v>
      </c>
      <c r="F71" s="58" t="s">
        <v>461</v>
      </c>
      <c r="G71" s="59" t="s">
        <v>462</v>
      </c>
      <c r="H71" s="59" t="s">
        <v>463</v>
      </c>
      <c r="I71" s="59" t="s">
        <v>464</v>
      </c>
      <c r="J71" s="59" t="s">
        <v>465</v>
      </c>
      <c r="K71" s="59" t="s">
        <v>466</v>
      </c>
      <c r="L71" s="59" t="s">
        <v>467</v>
      </c>
      <c r="M71" s="13" t="str">
        <f t="shared" si="0"/>
        <v>3.06</v>
      </c>
      <c r="N71" s="13" t="str">
        <f t="shared" si="1"/>
        <v>4</v>
      </c>
      <c r="O71" s="13">
        <f t="shared" si="2"/>
        <v>3.06</v>
      </c>
      <c r="P71" s="13">
        <f t="shared" si="3"/>
        <v>-4</v>
      </c>
      <c r="Q71" s="13">
        <f t="shared" si="4"/>
        <v>3.0600000000000001E-4</v>
      </c>
      <c r="R71" s="13" t="str">
        <f t="shared" si="5"/>
        <v>3.24</v>
      </c>
      <c r="S71" s="13" t="str">
        <f t="shared" si="6"/>
        <v>3</v>
      </c>
      <c r="T71" s="13">
        <f t="shared" si="7"/>
        <v>3.24</v>
      </c>
      <c r="U71" s="13">
        <f t="shared" si="8"/>
        <v>-3</v>
      </c>
      <c r="V71" s="49">
        <f t="shared" si="9"/>
        <v>3.2400000000000003E-3</v>
      </c>
      <c r="W71" s="50">
        <v>2.606182873198281E-2</v>
      </c>
      <c r="X71" s="50">
        <v>1.3244784055164089E-2</v>
      </c>
      <c r="Y71" s="50">
        <v>5.8777328431404798E-2</v>
      </c>
      <c r="Z71" s="51">
        <v>8.7775739296960928</v>
      </c>
      <c r="AA71" s="51">
        <v>4.4608178659540219</v>
      </c>
      <c r="AB71" s="52">
        <v>19.796091479319291</v>
      </c>
      <c r="AC71" s="4" t="e">
        <v>#N/A</v>
      </c>
      <c r="AD71" s="4" t="e">
        <v>#N/A</v>
      </c>
      <c r="AE71" s="4" t="e">
        <v>#N/A</v>
      </c>
      <c r="AF71" s="53" t="e">
        <v>#N/A</v>
      </c>
      <c r="AG71" s="54" t="e">
        <v>#N/A</v>
      </c>
      <c r="AH71" s="55">
        <v>55.4</v>
      </c>
      <c r="AI71" s="43"/>
      <c r="AJ71" s="44">
        <f t="shared" si="10"/>
        <v>0.22520500496264764</v>
      </c>
      <c r="AK71" s="45">
        <f t="shared" si="11"/>
        <v>487.59587330345221</v>
      </c>
      <c r="AL71" s="45">
        <f t="shared" si="12"/>
        <v>167286.95209128322</v>
      </c>
      <c r="AM71" s="45">
        <f t="shared" si="13"/>
        <v>47796.272026080922</v>
      </c>
      <c r="AN71" s="45">
        <f t="shared" si="14"/>
        <v>33457.39041825664</v>
      </c>
      <c r="AO71" s="45">
        <f t="shared" si="15"/>
        <v>41821.738022820799</v>
      </c>
      <c r="AP71" s="43" t="str">
        <f t="shared" si="16"/>
        <v>Widely Accessible</v>
      </c>
      <c r="AQ71" s="45">
        <f>IF(AP71="None", AK71*'[1]Gavi Simplified'!$Y$3, IF(AP71="Limited", AK71*'[1]Gavi Simplified'!$Y$4, IF(AP71="Accessible", AK71*'[1]Gavi Simplified'!$Y$5, AK71)))</f>
        <v>487.59587330345221</v>
      </c>
      <c r="AR71" s="45">
        <f t="shared" si="17"/>
        <v>167286.95209128322</v>
      </c>
      <c r="AS71" s="45">
        <f t="shared" si="18"/>
        <v>47796.272026080922</v>
      </c>
      <c r="AT71" s="45">
        <f t="shared" si="19"/>
        <v>33457.39041825664</v>
      </c>
      <c r="AU71" s="45">
        <f t="shared" si="20"/>
        <v>41821.738022820799</v>
      </c>
      <c r="AV71" s="45">
        <f t="shared" si="21"/>
        <v>158922.60448671904</v>
      </c>
      <c r="AW71" s="45">
        <f t="shared" si="22"/>
        <v>41821.738022820799</v>
      </c>
      <c r="AX71" s="45">
        <f t="shared" si="23"/>
        <v>41821.738022820799</v>
      </c>
      <c r="AY71" s="45">
        <f t="shared" si="24"/>
        <v>41821.738022820799</v>
      </c>
      <c r="AZ71" s="45">
        <f t="shared" si="25"/>
        <v>41821.738022820799</v>
      </c>
      <c r="BA71" s="45">
        <f t="shared" si="26"/>
        <v>41821.738022820799</v>
      </c>
    </row>
    <row r="72" spans="2:53" x14ac:dyDescent="0.2">
      <c r="B72" s="69" t="s">
        <v>468</v>
      </c>
      <c r="C72" s="46" t="s">
        <v>124</v>
      </c>
      <c r="D72" s="32">
        <v>23293698</v>
      </c>
      <c r="E72" s="47" t="s">
        <v>125</v>
      </c>
      <c r="F72" s="47" t="s">
        <v>176</v>
      </c>
      <c r="G72" s="48" t="s">
        <v>192</v>
      </c>
      <c r="H72" s="48" t="s">
        <v>440</v>
      </c>
      <c r="I72" s="48" t="s">
        <v>129</v>
      </c>
      <c r="J72" s="48" t="s">
        <v>288</v>
      </c>
      <c r="K72" s="48" t="s">
        <v>469</v>
      </c>
      <c r="L72" s="48" t="s">
        <v>338</v>
      </c>
      <c r="M72" s="13" t="str">
        <f t="shared" si="0"/>
        <v>6.95</v>
      </c>
      <c r="N72" s="13" t="str">
        <f t="shared" si="1"/>
        <v>4</v>
      </c>
      <c r="O72" s="13">
        <f t="shared" si="2"/>
        <v>6.95</v>
      </c>
      <c r="P72" s="13">
        <f t="shared" si="3"/>
        <v>-4</v>
      </c>
      <c r="Q72" s="13">
        <f t="shared" si="4"/>
        <v>6.9500000000000009E-4</v>
      </c>
      <c r="R72" s="13" t="str">
        <f t="shared" si="5"/>
        <v>7.31</v>
      </c>
      <c r="S72" s="13" t="str">
        <f t="shared" si="6"/>
        <v>3</v>
      </c>
      <c r="T72" s="13">
        <f t="shared" si="7"/>
        <v>7.31</v>
      </c>
      <c r="U72" s="13">
        <f t="shared" si="8"/>
        <v>-3</v>
      </c>
      <c r="V72" s="49">
        <f t="shared" si="9"/>
        <v>7.3099999999999997E-3</v>
      </c>
      <c r="W72" s="50">
        <v>3.3915585624081679</v>
      </c>
      <c r="X72" s="50">
        <v>2.317041811604728</v>
      </c>
      <c r="Y72" s="50">
        <v>4.0440080190191363</v>
      </c>
      <c r="Z72" s="51">
        <v>750.29406349111218</v>
      </c>
      <c r="AA72" s="51">
        <v>512.58519766597442</v>
      </c>
      <c r="AB72" s="52">
        <v>894.63152516702746</v>
      </c>
      <c r="AC72" s="4">
        <v>260</v>
      </c>
      <c r="AD72" s="4">
        <v>370</v>
      </c>
      <c r="AE72" s="4">
        <v>510</v>
      </c>
      <c r="AF72" s="53">
        <v>1.35</v>
      </c>
      <c r="AG72" s="54">
        <v>2.64</v>
      </c>
      <c r="AH72" s="55">
        <v>29.6</v>
      </c>
      <c r="AI72" s="43">
        <v>1</v>
      </c>
      <c r="AJ72" s="44">
        <f t="shared" si="10"/>
        <v>2.5570333691214663E-2</v>
      </c>
      <c r="AK72" s="45">
        <f t="shared" si="11"/>
        <v>61.293098627769268</v>
      </c>
      <c r="AL72" s="45">
        <f t="shared" si="12"/>
        <v>14277.429289194717</v>
      </c>
      <c r="AM72" s="45">
        <f t="shared" si="13"/>
        <v>4079.2655111984905</v>
      </c>
      <c r="AN72" s="45">
        <f t="shared" si="14"/>
        <v>2855.485857838943</v>
      </c>
      <c r="AO72" s="45">
        <f t="shared" si="15"/>
        <v>3569.3573222986788</v>
      </c>
      <c r="AP72" s="43" t="str">
        <f t="shared" si="16"/>
        <v>None</v>
      </c>
      <c r="AQ72" s="45">
        <f>IF(AP72="None", AK72*'[1]Gavi Simplified'!$Y$3, IF(AP72="Limited", AK72*'[1]Gavi Simplified'!$Y$4, IF(AP72="Accessible", AK72*'[1]Gavi Simplified'!$Y$5, AK72)))</f>
        <v>259.29409494665578</v>
      </c>
      <c r="AR72" s="45">
        <f t="shared" si="17"/>
        <v>60399.183408707257</v>
      </c>
      <c r="AS72" s="45">
        <f t="shared" si="18"/>
        <v>17256.90954534493</v>
      </c>
      <c r="AT72" s="45">
        <f t="shared" si="19"/>
        <v>12079.83668174145</v>
      </c>
      <c r="AU72" s="45">
        <f t="shared" si="20"/>
        <v>15099.795852176812</v>
      </c>
      <c r="AV72" s="45">
        <f t="shared" si="21"/>
        <v>45848.785708393756</v>
      </c>
      <c r="AW72" s="45">
        <f t="shared" si="22"/>
        <v>3569.3573222986788</v>
      </c>
      <c r="AX72" s="45">
        <f t="shared" si="23"/>
        <v>6039.9183408707249</v>
      </c>
      <c r="AY72" s="45">
        <f t="shared" si="24"/>
        <v>9059.8775113060856</v>
      </c>
      <c r="AZ72" s="45">
        <f t="shared" si="25"/>
        <v>12079.83668174145</v>
      </c>
      <c r="BA72" s="45">
        <f t="shared" si="26"/>
        <v>15099.795852176812</v>
      </c>
    </row>
    <row r="73" spans="2:53" x14ac:dyDescent="0.2">
      <c r="B73" s="60" t="s">
        <v>470</v>
      </c>
      <c r="C73" s="61" t="s">
        <v>124</v>
      </c>
      <c r="D73" s="32">
        <v>4862989</v>
      </c>
      <c r="E73" s="58" t="s">
        <v>125</v>
      </c>
      <c r="F73" s="58" t="s">
        <v>184</v>
      </c>
      <c r="G73" s="59" t="s">
        <v>308</v>
      </c>
      <c r="H73" s="59" t="s">
        <v>394</v>
      </c>
      <c r="I73" s="59" t="s">
        <v>129</v>
      </c>
      <c r="J73" s="59" t="s">
        <v>130</v>
      </c>
      <c r="K73" s="59" t="s">
        <v>471</v>
      </c>
      <c r="L73" s="59" t="s">
        <v>338</v>
      </c>
      <c r="M73" s="13" t="str">
        <f t="shared" si="0"/>
        <v>7.02</v>
      </c>
      <c r="N73" s="13" t="str">
        <f t="shared" si="1"/>
        <v>4</v>
      </c>
      <c r="O73" s="13">
        <f t="shared" si="2"/>
        <v>7.02</v>
      </c>
      <c r="P73" s="13">
        <f t="shared" si="3"/>
        <v>-4</v>
      </c>
      <c r="Q73" s="13">
        <f t="shared" si="4"/>
        <v>7.0200000000000004E-4</v>
      </c>
      <c r="R73" s="13" t="str">
        <f t="shared" si="5"/>
        <v>7.52</v>
      </c>
      <c r="S73" s="13" t="str">
        <f t="shared" si="6"/>
        <v>3</v>
      </c>
      <c r="T73" s="13">
        <f t="shared" si="7"/>
        <v>7.52</v>
      </c>
      <c r="U73" s="13">
        <f t="shared" si="8"/>
        <v>-3</v>
      </c>
      <c r="V73" s="49">
        <f t="shared" si="9"/>
        <v>7.5199999999999998E-3</v>
      </c>
      <c r="W73" s="50">
        <v>1.881134092435085</v>
      </c>
      <c r="X73" s="50">
        <v>1.354535785808535</v>
      </c>
      <c r="Y73" s="50">
        <v>2.237529471996377</v>
      </c>
      <c r="Z73" s="51">
        <v>94.860416122570598</v>
      </c>
      <c r="AA73" s="51">
        <v>68.305512515793637</v>
      </c>
      <c r="AB73" s="52">
        <v>112.83245445056779</v>
      </c>
      <c r="AC73" s="4">
        <v>65</v>
      </c>
      <c r="AD73" s="4">
        <v>101</v>
      </c>
      <c r="AE73" s="4">
        <v>132</v>
      </c>
      <c r="AF73" s="53" t="e">
        <v>#N/A</v>
      </c>
      <c r="AG73" s="54" t="e">
        <v>#N/A</v>
      </c>
      <c r="AH73" s="55">
        <v>42.1</v>
      </c>
      <c r="AI73" s="43">
        <v>3</v>
      </c>
      <c r="AJ73" s="44">
        <f t="shared" si="10"/>
        <v>8.6846180338644954E-2</v>
      </c>
      <c r="AK73" s="45">
        <f t="shared" si="11"/>
        <v>300.88126939695076</v>
      </c>
      <c r="AL73" s="45">
        <f t="shared" si="12"/>
        <v>14631.823033834082</v>
      </c>
      <c r="AM73" s="45">
        <f t="shared" si="13"/>
        <v>4180.5208668097375</v>
      </c>
      <c r="AN73" s="45">
        <f t="shared" si="14"/>
        <v>2926.364606766816</v>
      </c>
      <c r="AO73" s="45">
        <f t="shared" si="15"/>
        <v>3657.95575845852</v>
      </c>
      <c r="AP73" s="43" t="str">
        <f t="shared" si="16"/>
        <v>Accessible</v>
      </c>
      <c r="AQ73" s="45">
        <f>IF(AP73="None", AK73*'[1]Gavi Simplified'!$Y$3, IF(AP73="Limited", AK73*'[1]Gavi Simplified'!$Y$4, IF(AP73="Accessible", AK73*'[1]Gavi Simplified'!$Y$5, AK73)))</f>
        <v>932.45731511893598</v>
      </c>
      <c r="AR73" s="45">
        <f t="shared" si="17"/>
        <v>45345.296663929199</v>
      </c>
      <c r="AS73" s="45">
        <f t="shared" si="18"/>
        <v>12955.799046836913</v>
      </c>
      <c r="AT73" s="45">
        <f t="shared" si="19"/>
        <v>9069.0593327858387</v>
      </c>
      <c r="AU73" s="45">
        <f t="shared" si="20"/>
        <v>11336.324165982298</v>
      </c>
      <c r="AV73" s="45">
        <f t="shared" si="21"/>
        <v>35399.663423208949</v>
      </c>
      <c r="AW73" s="45">
        <f t="shared" si="22"/>
        <v>3657.95575845852</v>
      </c>
      <c r="AX73" s="45">
        <f t="shared" si="23"/>
        <v>4534.5296663929194</v>
      </c>
      <c r="AY73" s="45">
        <f t="shared" si="24"/>
        <v>6801.7944995893786</v>
      </c>
      <c r="AZ73" s="45">
        <f t="shared" si="25"/>
        <v>9069.0593327858387</v>
      </c>
      <c r="BA73" s="45">
        <f t="shared" si="26"/>
        <v>11336.324165982298</v>
      </c>
    </row>
    <row r="74" spans="2:53" x14ac:dyDescent="0.2">
      <c r="B74" s="62" t="s">
        <v>472</v>
      </c>
      <c r="C74" s="46" t="s">
        <v>58</v>
      </c>
      <c r="D74" s="32">
        <v>3447157</v>
      </c>
      <c r="E74" s="47" t="s">
        <v>357</v>
      </c>
      <c r="F74" s="47" t="s">
        <v>473</v>
      </c>
      <c r="G74" s="48" t="s">
        <v>474</v>
      </c>
      <c r="H74" s="48" t="s">
        <v>475</v>
      </c>
      <c r="I74" s="48" t="s">
        <v>361</v>
      </c>
      <c r="J74" s="48" t="s">
        <v>476</v>
      </c>
      <c r="K74" s="48" t="s">
        <v>477</v>
      </c>
      <c r="L74" s="48" t="s">
        <v>478</v>
      </c>
      <c r="M74" s="13" t="str">
        <f t="shared" si="0"/>
        <v>5.60</v>
      </c>
      <c r="N74" s="13" t="str">
        <f t="shared" si="1"/>
        <v>4</v>
      </c>
      <c r="O74" s="13">
        <f t="shared" si="2"/>
        <v>5.6</v>
      </c>
      <c r="P74" s="13">
        <f t="shared" si="3"/>
        <v>-4</v>
      </c>
      <c r="Q74" s="13">
        <f t="shared" si="4"/>
        <v>5.5999999999999995E-4</v>
      </c>
      <c r="R74" s="13" t="str">
        <f t="shared" si="5"/>
        <v>5.74</v>
      </c>
      <c r="S74" s="13" t="str">
        <f t="shared" si="6"/>
        <v>3</v>
      </c>
      <c r="T74" s="13">
        <f t="shared" si="7"/>
        <v>5.74</v>
      </c>
      <c r="U74" s="13">
        <f t="shared" si="8"/>
        <v>-3</v>
      </c>
      <c r="V74" s="49">
        <f t="shared" si="9"/>
        <v>5.7400000000000003E-3</v>
      </c>
      <c r="W74" s="50">
        <v>5.5613765683786578E-2</v>
      </c>
      <c r="X74" s="50">
        <v>3.2845788699822631E-2</v>
      </c>
      <c r="Y74" s="50">
        <v>0.1049010064687473</v>
      </c>
      <c r="Z74" s="51">
        <v>1.920165318927088</v>
      </c>
      <c r="AA74" s="51">
        <v>1.1340599500636519</v>
      </c>
      <c r="AB74" s="52">
        <v>3.621895983219817</v>
      </c>
      <c r="AC74" s="4">
        <v>30</v>
      </c>
      <c r="AD74" s="4">
        <v>43</v>
      </c>
      <c r="AE74" s="4">
        <v>58</v>
      </c>
      <c r="AF74" s="53" t="e">
        <v>#N/A</v>
      </c>
      <c r="AG74" s="54" t="e">
        <v>#N/A</v>
      </c>
      <c r="AH74" s="55">
        <v>47.4</v>
      </c>
      <c r="AI74" s="43"/>
      <c r="AJ74" s="44">
        <f t="shared" si="10"/>
        <v>0.1310656971147135</v>
      </c>
      <c r="AK74" s="45">
        <f t="shared" si="11"/>
        <v>381.52615018414508</v>
      </c>
      <c r="AL74" s="45">
        <f t="shared" si="12"/>
        <v>13151.80539290327</v>
      </c>
      <c r="AM74" s="45">
        <f t="shared" si="13"/>
        <v>3757.6586836866486</v>
      </c>
      <c r="AN74" s="45">
        <f t="shared" si="14"/>
        <v>2630.3610785806541</v>
      </c>
      <c r="AO74" s="45">
        <f t="shared" si="15"/>
        <v>3287.9513482258176</v>
      </c>
      <c r="AP74" s="43" t="str">
        <f t="shared" si="16"/>
        <v>Widely Accessible</v>
      </c>
      <c r="AQ74" s="45">
        <f>IF(AP74="None", AK74*'[1]Gavi Simplified'!$Y$3, IF(AP74="Limited", AK74*'[1]Gavi Simplified'!$Y$4, IF(AP74="Accessible", AK74*'[1]Gavi Simplified'!$Y$5, AK74)))</f>
        <v>381.52615018414508</v>
      </c>
      <c r="AR74" s="45">
        <f t="shared" si="17"/>
        <v>13151.80539290327</v>
      </c>
      <c r="AS74" s="45">
        <f t="shared" si="18"/>
        <v>3757.6586836866486</v>
      </c>
      <c r="AT74" s="45">
        <f t="shared" si="19"/>
        <v>2630.3610785806541</v>
      </c>
      <c r="AU74" s="45">
        <f t="shared" si="20"/>
        <v>3287.9513482258176</v>
      </c>
      <c r="AV74" s="45">
        <f t="shared" si="21"/>
        <v>12494.215123258107</v>
      </c>
      <c r="AW74" s="45">
        <f t="shared" si="22"/>
        <v>3287.9513482258176</v>
      </c>
      <c r="AX74" s="45">
        <f t="shared" si="23"/>
        <v>3287.9513482258176</v>
      </c>
      <c r="AY74" s="45">
        <f t="shared" si="24"/>
        <v>3287.9513482258176</v>
      </c>
      <c r="AZ74" s="45">
        <f t="shared" si="25"/>
        <v>3287.9513482258176</v>
      </c>
      <c r="BA74" s="45">
        <f t="shared" si="26"/>
        <v>3287.9513482258176</v>
      </c>
    </row>
    <row r="75" spans="2:53" x14ac:dyDescent="0.2">
      <c r="B75" s="60" t="s">
        <v>479</v>
      </c>
      <c r="C75" s="61" t="s">
        <v>48</v>
      </c>
      <c r="D75" s="32">
        <v>37840044</v>
      </c>
      <c r="E75" s="58" t="s">
        <v>480</v>
      </c>
      <c r="F75" s="58" t="s">
        <v>481</v>
      </c>
      <c r="G75" s="59" t="s">
        <v>482</v>
      </c>
      <c r="H75" s="59" t="s">
        <v>483</v>
      </c>
      <c r="I75" s="59" t="s">
        <v>484</v>
      </c>
      <c r="J75" s="59" t="s">
        <v>485</v>
      </c>
      <c r="K75" s="59" t="s">
        <v>486</v>
      </c>
      <c r="L75" s="59" t="s">
        <v>487</v>
      </c>
      <c r="M75" s="13" t="str">
        <f t="shared" ref="M75:M112" si="27">LEFT(G75,4)</f>
        <v>5.38</v>
      </c>
      <c r="N75" s="13" t="str">
        <f t="shared" ref="N75:N112" si="28">RIGHT(G75,1)</f>
        <v>4</v>
      </c>
      <c r="O75" s="13">
        <f t="shared" ref="O75:O112" si="29">M75*1</f>
        <v>5.38</v>
      </c>
      <c r="P75" s="13">
        <f t="shared" ref="P75:P112" si="30">N75*-1</f>
        <v>-4</v>
      </c>
      <c r="Q75" s="13">
        <f t="shared" ref="Q75:Q112" si="31">O75*10^P75</f>
        <v>5.3800000000000007E-4</v>
      </c>
      <c r="R75" s="13" t="str">
        <f t="shared" ref="R75:R112" si="32">LEFT(H75,4)</f>
        <v>5.87</v>
      </c>
      <c r="S75" s="13" t="str">
        <f t="shared" ref="S75:S112" si="33">RIGHT(H75,1)</f>
        <v>3</v>
      </c>
      <c r="T75" s="13">
        <f t="shared" ref="T75:T112" si="34">R75*1</f>
        <v>5.87</v>
      </c>
      <c r="U75" s="13">
        <f t="shared" ref="U75:U112" si="35">S75*-1</f>
        <v>-3</v>
      </c>
      <c r="V75" s="49">
        <f t="shared" si="9"/>
        <v>5.8700000000000002E-3</v>
      </c>
      <c r="W75" s="50">
        <v>7.6064658634557733E-2</v>
      </c>
      <c r="X75" s="50">
        <v>4.0305896454063322E-2</v>
      </c>
      <c r="Y75" s="50">
        <v>0.1317650508577875</v>
      </c>
      <c r="Z75" s="51">
        <v>29.1221287364136</v>
      </c>
      <c r="AA75" s="51">
        <v>15.43152268665424</v>
      </c>
      <c r="AB75" s="52">
        <v>50.447590811867748</v>
      </c>
      <c r="AC75" s="4" t="e">
        <v>#N/A</v>
      </c>
      <c r="AD75" s="4" t="e">
        <v>#N/A</v>
      </c>
      <c r="AE75" s="4" t="e">
        <v>#N/A</v>
      </c>
      <c r="AF75" s="53" t="e">
        <v>#N/A</v>
      </c>
      <c r="AG75" s="54" t="e">
        <v>#N/A</v>
      </c>
      <c r="AH75" s="55">
        <v>48.5</v>
      </c>
      <c r="AI75" s="43"/>
      <c r="AJ75" s="44">
        <f t="shared" si="10"/>
        <v>0.14192895207144507</v>
      </c>
      <c r="AK75" s="45">
        <f t="shared" si="11"/>
        <v>397.1291702572903</v>
      </c>
      <c r="AL75" s="45">
        <f t="shared" si="12"/>
        <v>150273.85276219356</v>
      </c>
      <c r="AM75" s="45">
        <f t="shared" si="13"/>
        <v>42935.386503483875</v>
      </c>
      <c r="AN75" s="45">
        <f t="shared" si="14"/>
        <v>30054.770552438709</v>
      </c>
      <c r="AO75" s="45">
        <f t="shared" si="15"/>
        <v>37568.463190548384</v>
      </c>
      <c r="AP75" s="43" t="str">
        <f t="shared" si="16"/>
        <v>Widely Accessible</v>
      </c>
      <c r="AQ75" s="45">
        <f>IF(AP75="None", AK75*'[1]Gavi Simplified'!$Y$3, IF(AP75="Limited", AK75*'[1]Gavi Simplified'!$Y$4, IF(AP75="Accessible", AK75*'[1]Gavi Simplified'!$Y$5, AK75)))</f>
        <v>397.1291702572903</v>
      </c>
      <c r="AR75" s="45">
        <f t="shared" si="17"/>
        <v>150273.85276219356</v>
      </c>
      <c r="AS75" s="45">
        <f t="shared" si="18"/>
        <v>42935.386503483875</v>
      </c>
      <c r="AT75" s="45">
        <f t="shared" si="19"/>
        <v>30054.770552438709</v>
      </c>
      <c r="AU75" s="45">
        <f t="shared" si="20"/>
        <v>37568.463190548384</v>
      </c>
      <c r="AV75" s="45">
        <f t="shared" si="21"/>
        <v>142760.16012408386</v>
      </c>
      <c r="AW75" s="45">
        <f t="shared" si="22"/>
        <v>37568.463190548384</v>
      </c>
      <c r="AX75" s="45">
        <f t="shared" si="23"/>
        <v>37568.463190548384</v>
      </c>
      <c r="AY75" s="45">
        <f t="shared" si="24"/>
        <v>37568.463190548384</v>
      </c>
      <c r="AZ75" s="45">
        <f t="shared" si="25"/>
        <v>37568.463190548384</v>
      </c>
      <c r="BA75" s="45">
        <f t="shared" si="26"/>
        <v>37568.463190548384</v>
      </c>
    </row>
    <row r="76" spans="2:53" x14ac:dyDescent="0.2">
      <c r="B76" s="66" t="s">
        <v>488</v>
      </c>
      <c r="C76" s="64" t="s">
        <v>153</v>
      </c>
      <c r="D76" s="32">
        <v>33897354</v>
      </c>
      <c r="E76" s="47" t="s">
        <v>134</v>
      </c>
      <c r="F76" s="47" t="s">
        <v>489</v>
      </c>
      <c r="G76" s="48" t="s">
        <v>490</v>
      </c>
      <c r="H76" s="48" t="s">
        <v>491</v>
      </c>
      <c r="I76" s="48" t="s">
        <v>138</v>
      </c>
      <c r="J76" s="48" t="s">
        <v>492</v>
      </c>
      <c r="K76" s="48" t="s">
        <v>493</v>
      </c>
      <c r="L76" s="48" t="s">
        <v>494</v>
      </c>
      <c r="M76" s="13" t="str">
        <f t="shared" si="27"/>
        <v>5.78</v>
      </c>
      <c r="N76" s="13" t="str">
        <f t="shared" si="28"/>
        <v>4</v>
      </c>
      <c r="O76" s="13">
        <f t="shared" si="29"/>
        <v>5.78</v>
      </c>
      <c r="P76" s="13">
        <f t="shared" si="30"/>
        <v>-4</v>
      </c>
      <c r="Q76" s="13">
        <f t="shared" si="31"/>
        <v>5.7800000000000006E-4</v>
      </c>
      <c r="R76" s="13" t="str">
        <f t="shared" si="32"/>
        <v>6.15</v>
      </c>
      <c r="S76" s="13" t="str">
        <f t="shared" si="33"/>
        <v>3</v>
      </c>
      <c r="T76" s="13">
        <f t="shared" si="34"/>
        <v>6.15</v>
      </c>
      <c r="U76" s="13">
        <f t="shared" si="35"/>
        <v>-3</v>
      </c>
      <c r="V76" s="49">
        <f t="shared" ref="V76:V112" si="36">T76*10^U76</f>
        <v>6.1500000000000001E-3</v>
      </c>
      <c r="W76" s="50">
        <v>2.423739204700107</v>
      </c>
      <c r="X76" s="50">
        <v>1.710067095816888</v>
      </c>
      <c r="Y76" s="50">
        <v>2.8759350878780738</v>
      </c>
      <c r="Z76" s="51">
        <v>825.38387635235802</v>
      </c>
      <c r="AA76" s="51">
        <v>582.34887880299163</v>
      </c>
      <c r="AB76" s="52">
        <v>979.37535786333581</v>
      </c>
      <c r="AC76" s="4">
        <v>860</v>
      </c>
      <c r="AD76" s="4">
        <v>1290</v>
      </c>
      <c r="AE76" s="4">
        <v>1680</v>
      </c>
      <c r="AF76" s="53" t="e">
        <v>#N/A</v>
      </c>
      <c r="AG76" s="54" t="e">
        <v>#N/A</v>
      </c>
      <c r="AH76" s="55">
        <v>25.1</v>
      </c>
      <c r="AI76" s="43">
        <v>2</v>
      </c>
      <c r="AJ76" s="44">
        <f t="shared" ref="AJ76:AJ112" si="37">0.0000002*(AH76^3.4709)</f>
        <v>1.4426384914787579E-2</v>
      </c>
      <c r="AK76" s="45">
        <f t="shared" ref="AK76:AK112" si="38" xml:space="preserve"> MAX(10,680.12*LN(AH76)-2242.8)</f>
        <v>10</v>
      </c>
      <c r="AL76" s="45">
        <f t="shared" ref="AL76:AL112" si="39">AK76/100000*D76</f>
        <v>3389.7354</v>
      </c>
      <c r="AM76" s="45">
        <f t="shared" ref="AM76:AM112" si="40">AL76/3.5</f>
        <v>968.49582857142855</v>
      </c>
      <c r="AN76" s="45">
        <f t="shared" ref="AN76:AN112" si="41">AM76*0.7</f>
        <v>677.94707999999991</v>
      </c>
      <c r="AO76" s="45">
        <f t="shared" ref="AO76:AO112" si="42">AN76*1.25</f>
        <v>847.43384999999989</v>
      </c>
      <c r="AP76" s="43" t="str">
        <f t="shared" ref="AP76:AP112" si="43">IF(AH76&lt;31,"None",IF(AH76&lt;37,"Limited",IF(AH76&lt;47,"Accessible","Widely Accessible")))</f>
        <v>None</v>
      </c>
      <c r="AQ76" s="45">
        <f>IF(AP76="None", AK76*'[1]Gavi Simplified'!$Y$3, IF(AP76="Limited", AK76*'[1]Gavi Simplified'!$Y$4, IF(AP76="Accessible", AK76*'[1]Gavi Simplified'!$Y$5, AK76)))</f>
        <v>42.303962558874574</v>
      </c>
      <c r="AR76" s="45">
        <f t="shared" ref="AR76:AR112" si="44">AQ76/100000*D76</f>
        <v>14339.923944609172</v>
      </c>
      <c r="AS76" s="45">
        <f t="shared" ref="AS76:AS112" si="45">AR76/3.5</f>
        <v>4097.1211270311924</v>
      </c>
      <c r="AT76" s="45">
        <f t="shared" ref="AT76:AT112" si="46">AS76*0.7</f>
        <v>2867.9847889218345</v>
      </c>
      <c r="AU76" s="45">
        <f t="shared" ref="AU76:AU112" si="47">AT76*1.25</f>
        <v>3584.9809861522931</v>
      </c>
      <c r="AV76" s="45">
        <f t="shared" ref="AV76:AV112" si="48">AO76+(AU76/AO76/5*2*AO76)+(AU76/AO76/5*3*AO76)+(AU76/AO76/5*4*AO76)+AU76</f>
        <v>10885.380611226421</v>
      </c>
      <c r="AW76" s="45">
        <f t="shared" ref="AW76:AW112" si="49">AO76</f>
        <v>847.43384999999989</v>
      </c>
      <c r="AX76" s="45">
        <f t="shared" ref="AX76:AX112" si="50">IF(AP76="Widely Accessible",AO76,(AU76/AO76/5*2*AO76))</f>
        <v>1433.9923944609172</v>
      </c>
      <c r="AY76" s="45">
        <f t="shared" ref="AY76:AY112" si="51">IF(AP76="Widely Accessible",AO76,(AU76/AO76/5*3*AO76))</f>
        <v>2150.9885916913754</v>
      </c>
      <c r="AZ76" s="45">
        <f t="shared" ref="AZ76:AZ112" si="52">IF(AP76="Widely Accessible",AO76,(AU76/AO76/5*4*AO76))</f>
        <v>2867.9847889218345</v>
      </c>
      <c r="BA76" s="45">
        <f t="shared" ref="BA76:BA112" si="53">AU76</f>
        <v>3584.9809861522931</v>
      </c>
    </row>
    <row r="77" spans="2:53" x14ac:dyDescent="0.2">
      <c r="B77" s="56" t="s">
        <v>495</v>
      </c>
      <c r="C77" s="57" t="s">
        <v>182</v>
      </c>
      <c r="D77" s="32">
        <v>54577997</v>
      </c>
      <c r="E77" s="58" t="s">
        <v>183</v>
      </c>
      <c r="F77" s="58" t="s">
        <v>279</v>
      </c>
      <c r="G77" s="59" t="s">
        <v>177</v>
      </c>
      <c r="H77" s="59" t="s">
        <v>496</v>
      </c>
      <c r="I77" s="59" t="s">
        <v>187</v>
      </c>
      <c r="J77" s="59" t="s">
        <v>74</v>
      </c>
      <c r="K77" s="59" t="s">
        <v>497</v>
      </c>
      <c r="L77" s="59" t="s">
        <v>66</v>
      </c>
      <c r="M77" s="13" t="str">
        <f t="shared" si="27"/>
        <v>7.19</v>
      </c>
      <c r="N77" s="13" t="str">
        <f t="shared" si="28"/>
        <v>4</v>
      </c>
      <c r="O77" s="13">
        <f t="shared" si="29"/>
        <v>7.19</v>
      </c>
      <c r="P77" s="13">
        <f t="shared" si="30"/>
        <v>-4</v>
      </c>
      <c r="Q77" s="13">
        <f t="shared" si="31"/>
        <v>7.1900000000000002E-4</v>
      </c>
      <c r="R77" s="13" t="str">
        <f t="shared" si="32"/>
        <v>7.67</v>
      </c>
      <c r="S77" s="13" t="str">
        <f t="shared" si="33"/>
        <v>3</v>
      </c>
      <c r="T77" s="13">
        <f t="shared" si="34"/>
        <v>7.67</v>
      </c>
      <c r="U77" s="13">
        <f t="shared" si="35"/>
        <v>-3</v>
      </c>
      <c r="V77" s="49">
        <f t="shared" si="36"/>
        <v>7.6699999999999997E-3</v>
      </c>
      <c r="W77" s="50">
        <v>0.95217219747572712</v>
      </c>
      <c r="X77" s="50">
        <v>0.53787922874723326</v>
      </c>
      <c r="Y77" s="50">
        <v>2.39126379350098</v>
      </c>
      <c r="Z77" s="51">
        <v>527.60321396090535</v>
      </c>
      <c r="AA77" s="51">
        <v>298.04147880203948</v>
      </c>
      <c r="AB77" s="52">
        <v>1325.010818656702</v>
      </c>
      <c r="AC77" s="4">
        <v>407</v>
      </c>
      <c r="AD77" s="4">
        <v>577</v>
      </c>
      <c r="AE77" s="4">
        <v>795</v>
      </c>
      <c r="AF77" s="53" t="e">
        <v>#N/A</v>
      </c>
      <c r="AG77" s="54" t="e">
        <v>#N/A</v>
      </c>
      <c r="AH77" s="55">
        <v>37.5</v>
      </c>
      <c r="AI77" s="43">
        <v>2</v>
      </c>
      <c r="AJ77" s="44">
        <f t="shared" si="37"/>
        <v>5.8121273664315569E-2</v>
      </c>
      <c r="AK77" s="45">
        <f t="shared" si="38"/>
        <v>222.18675533588521</v>
      </c>
      <c r="AL77" s="45">
        <f t="shared" si="39"/>
        <v>121265.08066161677</v>
      </c>
      <c r="AM77" s="45">
        <f t="shared" si="40"/>
        <v>34647.165903319074</v>
      </c>
      <c r="AN77" s="45">
        <f t="shared" si="41"/>
        <v>24253.016132323351</v>
      </c>
      <c r="AO77" s="45">
        <f t="shared" si="42"/>
        <v>30316.270165404188</v>
      </c>
      <c r="AP77" s="43" t="str">
        <f t="shared" si="43"/>
        <v>Accessible</v>
      </c>
      <c r="AQ77" s="45">
        <f>IF(AP77="None", AK77*'[1]Gavi Simplified'!$Y$3, IF(AP77="Limited", AK77*'[1]Gavi Simplified'!$Y$4, IF(AP77="Accessible", AK77*'[1]Gavi Simplified'!$Y$5, AK77)))</f>
        <v>688.57614749742572</v>
      </c>
      <c r="AR77" s="45">
        <f t="shared" si="44"/>
        <v>375811.06912386062</v>
      </c>
      <c r="AS77" s="45">
        <f t="shared" si="45"/>
        <v>107374.59117824589</v>
      </c>
      <c r="AT77" s="45">
        <f t="shared" si="46"/>
        <v>75162.213824772116</v>
      </c>
      <c r="AU77" s="45">
        <f t="shared" si="47"/>
        <v>93952.767280965141</v>
      </c>
      <c r="AV77" s="45">
        <f t="shared" si="48"/>
        <v>293384.01855210657</v>
      </c>
      <c r="AW77" s="45">
        <f t="shared" si="49"/>
        <v>30316.270165404188</v>
      </c>
      <c r="AX77" s="45">
        <f t="shared" si="50"/>
        <v>37581.106912386058</v>
      </c>
      <c r="AY77" s="45">
        <f t="shared" si="51"/>
        <v>56371.660368579083</v>
      </c>
      <c r="AZ77" s="45">
        <f t="shared" si="52"/>
        <v>75162.213824772116</v>
      </c>
      <c r="BA77" s="45">
        <f t="shared" si="53"/>
        <v>93952.767280965141</v>
      </c>
    </row>
    <row r="78" spans="2:53" x14ac:dyDescent="0.2">
      <c r="B78" s="12" t="s">
        <v>498</v>
      </c>
      <c r="C78" s="46" t="s">
        <v>153</v>
      </c>
      <c r="D78" s="32">
        <v>2604172</v>
      </c>
      <c r="E78" s="47" t="s">
        <v>154</v>
      </c>
      <c r="F78" s="47" t="s">
        <v>499</v>
      </c>
      <c r="G78" s="48" t="s">
        <v>500</v>
      </c>
      <c r="H78" s="48" t="s">
        <v>501</v>
      </c>
      <c r="I78" s="48" t="s">
        <v>73</v>
      </c>
      <c r="J78" s="48" t="s">
        <v>120</v>
      </c>
      <c r="K78" s="48" t="s">
        <v>502</v>
      </c>
      <c r="L78" s="48" t="s">
        <v>338</v>
      </c>
      <c r="M78" s="13" t="str">
        <f t="shared" si="27"/>
        <v>6.45</v>
      </c>
      <c r="N78" s="13" t="str">
        <f t="shared" si="28"/>
        <v>4</v>
      </c>
      <c r="O78" s="13">
        <f t="shared" si="29"/>
        <v>6.45</v>
      </c>
      <c r="P78" s="13">
        <f t="shared" si="30"/>
        <v>-4</v>
      </c>
      <c r="Q78" s="13">
        <f t="shared" si="31"/>
        <v>6.4500000000000007E-4</v>
      </c>
      <c r="R78" s="13" t="str">
        <f t="shared" si="32"/>
        <v>7.03</v>
      </c>
      <c r="S78" s="13" t="str">
        <f t="shared" si="33"/>
        <v>3</v>
      </c>
      <c r="T78" s="13">
        <f t="shared" si="34"/>
        <v>7.03</v>
      </c>
      <c r="U78" s="13">
        <f t="shared" si="35"/>
        <v>-3</v>
      </c>
      <c r="V78" s="49">
        <f t="shared" si="36"/>
        <v>7.0300000000000007E-3</v>
      </c>
      <c r="W78" s="50">
        <v>0.31222757453694278</v>
      </c>
      <c r="X78" s="50">
        <v>0.19976610957052651</v>
      </c>
      <c r="Y78" s="50">
        <v>0.41380523371887129</v>
      </c>
      <c r="Z78" s="51">
        <v>8.3885619649467102</v>
      </c>
      <c r="AA78" s="51">
        <v>5.3670800572754054</v>
      </c>
      <c r="AB78" s="52">
        <v>11.11763062445111</v>
      </c>
      <c r="AC78" s="72" t="s">
        <v>503</v>
      </c>
      <c r="AD78" s="72" t="s">
        <v>503</v>
      </c>
      <c r="AE78" s="73" t="s">
        <v>503</v>
      </c>
      <c r="AF78" s="53" t="e">
        <v>#N/A</v>
      </c>
      <c r="AG78" s="54" t="e">
        <v>#N/A</v>
      </c>
      <c r="AH78" s="55">
        <v>39.9</v>
      </c>
      <c r="AI78" s="43"/>
      <c r="AJ78" s="44">
        <f t="shared" si="37"/>
        <v>7.2085318106752963E-2</v>
      </c>
      <c r="AK78" s="45">
        <f t="shared" si="38"/>
        <v>264.37826540802325</v>
      </c>
      <c r="AL78" s="45">
        <f t="shared" si="39"/>
        <v>6884.864761841427</v>
      </c>
      <c r="AM78" s="45">
        <f t="shared" si="40"/>
        <v>1967.1042176689791</v>
      </c>
      <c r="AN78" s="45">
        <f t="shared" si="41"/>
        <v>1376.9729523682854</v>
      </c>
      <c r="AO78" s="45">
        <f t="shared" si="42"/>
        <v>1721.2161904603568</v>
      </c>
      <c r="AP78" s="43" t="str">
        <f t="shared" si="43"/>
        <v>Accessible</v>
      </c>
      <c r="AQ78" s="45">
        <f>IF(AP78="None", AK78*'[1]Gavi Simplified'!$Y$3, IF(AP78="Limited", AK78*'[1]Gavi Simplified'!$Y$4, IF(AP78="Accessible", AK78*'[1]Gavi Simplified'!$Y$5, AK78)))</f>
        <v>819.33131973374066</v>
      </c>
      <c r="AR78" s="45">
        <f t="shared" si="44"/>
        <v>21336.796815736547</v>
      </c>
      <c r="AS78" s="45">
        <f t="shared" si="45"/>
        <v>6096.2276616390136</v>
      </c>
      <c r="AT78" s="45">
        <f t="shared" si="46"/>
        <v>4267.3593631473095</v>
      </c>
      <c r="AU78" s="45">
        <f t="shared" si="47"/>
        <v>5334.1992039341367</v>
      </c>
      <c r="AV78" s="45">
        <f t="shared" si="48"/>
        <v>16656.973961475938</v>
      </c>
      <c r="AW78" s="45">
        <f t="shared" si="49"/>
        <v>1721.2161904603568</v>
      </c>
      <c r="AX78" s="45">
        <f t="shared" si="50"/>
        <v>2133.6796815736548</v>
      </c>
      <c r="AY78" s="45">
        <f t="shared" si="51"/>
        <v>3200.5195223604819</v>
      </c>
      <c r="AZ78" s="45">
        <f t="shared" si="52"/>
        <v>4267.3593631473095</v>
      </c>
      <c r="BA78" s="45">
        <f t="shared" si="53"/>
        <v>5334.1992039341367</v>
      </c>
    </row>
    <row r="79" spans="2:53" x14ac:dyDescent="0.2">
      <c r="B79" s="56" t="s">
        <v>504</v>
      </c>
      <c r="C79" s="57" t="s">
        <v>114</v>
      </c>
      <c r="D79" s="32">
        <v>30896590</v>
      </c>
      <c r="E79" s="58" t="s">
        <v>505</v>
      </c>
      <c r="F79" s="58" t="s">
        <v>506</v>
      </c>
      <c r="G79" s="59" t="s">
        <v>507</v>
      </c>
      <c r="H79" s="59" t="s">
        <v>508</v>
      </c>
      <c r="I79" s="59" t="s">
        <v>228</v>
      </c>
      <c r="J79" s="59" t="s">
        <v>464</v>
      </c>
      <c r="K79" s="59" t="s">
        <v>75</v>
      </c>
      <c r="L79" s="59" t="s">
        <v>132</v>
      </c>
      <c r="M79" s="13" t="str">
        <f t="shared" si="27"/>
        <v>7.36</v>
      </c>
      <c r="N79" s="13" t="str">
        <f t="shared" si="28"/>
        <v>4</v>
      </c>
      <c r="O79" s="13">
        <f t="shared" si="29"/>
        <v>7.36</v>
      </c>
      <c r="P79" s="13">
        <f t="shared" si="30"/>
        <v>-4</v>
      </c>
      <c r="Q79" s="13">
        <f t="shared" si="31"/>
        <v>7.3600000000000011E-4</v>
      </c>
      <c r="R79" s="13" t="str">
        <f t="shared" si="32"/>
        <v>7.62</v>
      </c>
      <c r="S79" s="13" t="str">
        <f t="shared" si="33"/>
        <v>3</v>
      </c>
      <c r="T79" s="13">
        <f t="shared" si="34"/>
        <v>7.62</v>
      </c>
      <c r="U79" s="13">
        <f t="shared" si="35"/>
        <v>-3</v>
      </c>
      <c r="V79" s="49">
        <f t="shared" si="36"/>
        <v>7.62E-3</v>
      </c>
      <c r="W79" s="50">
        <v>0.31023748995316869</v>
      </c>
      <c r="X79" s="50">
        <v>0.21819458761210481</v>
      </c>
      <c r="Y79" s="50">
        <v>0.5823375618622797</v>
      </c>
      <c r="Z79" s="51">
        <v>95.459837661128475</v>
      </c>
      <c r="AA79" s="51">
        <v>67.138307221131029</v>
      </c>
      <c r="AB79" s="52">
        <v>179.18482104706951</v>
      </c>
      <c r="AC79" s="4">
        <v>198</v>
      </c>
      <c r="AD79" s="4">
        <v>280</v>
      </c>
      <c r="AE79" s="4">
        <v>386</v>
      </c>
      <c r="AF79" s="53" t="e">
        <v>#N/A</v>
      </c>
      <c r="AG79" s="54" t="e">
        <v>#N/A</v>
      </c>
      <c r="AH79" s="55">
        <v>38.799999999999997</v>
      </c>
      <c r="AI79" s="43">
        <v>2</v>
      </c>
      <c r="AJ79" s="44">
        <f t="shared" si="37"/>
        <v>6.5419320976562681E-2</v>
      </c>
      <c r="AK79" s="45">
        <f t="shared" si="38"/>
        <v>245.36477813747024</v>
      </c>
      <c r="AL79" s="45">
        <f t="shared" si="39"/>
        <v>75809.349505543825</v>
      </c>
      <c r="AM79" s="45">
        <f t="shared" si="40"/>
        <v>21659.814144441094</v>
      </c>
      <c r="AN79" s="45">
        <f t="shared" si="41"/>
        <v>15161.869901108765</v>
      </c>
      <c r="AO79" s="45">
        <f t="shared" si="42"/>
        <v>18952.337376385956</v>
      </c>
      <c r="AP79" s="43" t="str">
        <f t="shared" si="43"/>
        <v>Accessible</v>
      </c>
      <c r="AQ79" s="45">
        <f>IF(AP79="None", AK79*'[1]Gavi Simplified'!$Y$3, IF(AP79="Limited", AK79*'[1]Gavi Simplified'!$Y$4, IF(AP79="Accessible", AK79*'[1]Gavi Simplified'!$Y$5, AK79)))</f>
        <v>760.40686316360495</v>
      </c>
      <c r="AR79" s="45">
        <f t="shared" si="44"/>
        <v>234939.79084352005</v>
      </c>
      <c r="AS79" s="45">
        <f t="shared" si="45"/>
        <v>67125.654526720013</v>
      </c>
      <c r="AT79" s="45">
        <f t="shared" si="46"/>
        <v>46987.958168704004</v>
      </c>
      <c r="AU79" s="45">
        <f t="shared" si="47"/>
        <v>58734.947710880006</v>
      </c>
      <c r="AV79" s="45">
        <f t="shared" si="48"/>
        <v>183410.19096684997</v>
      </c>
      <c r="AW79" s="45">
        <f t="shared" si="49"/>
        <v>18952.337376385956</v>
      </c>
      <c r="AX79" s="45">
        <f t="shared" si="50"/>
        <v>23493.979084352002</v>
      </c>
      <c r="AY79" s="45">
        <f t="shared" si="51"/>
        <v>35240.968626528003</v>
      </c>
      <c r="AZ79" s="45">
        <f t="shared" si="52"/>
        <v>46987.958168704004</v>
      </c>
      <c r="BA79" s="45">
        <f t="shared" si="53"/>
        <v>58734.947710880006</v>
      </c>
    </row>
    <row r="80" spans="2:53" x14ac:dyDescent="0.2">
      <c r="B80" s="66" t="s">
        <v>509</v>
      </c>
      <c r="C80" s="64" t="s">
        <v>269</v>
      </c>
      <c r="D80" s="32">
        <v>7046310</v>
      </c>
      <c r="E80" s="47" t="s">
        <v>510</v>
      </c>
      <c r="F80" s="47" t="s">
        <v>511</v>
      </c>
      <c r="G80" s="48" t="s">
        <v>512</v>
      </c>
      <c r="H80" s="48" t="s">
        <v>513</v>
      </c>
      <c r="I80" s="48" t="s">
        <v>514</v>
      </c>
      <c r="J80" s="48" t="s">
        <v>515</v>
      </c>
      <c r="K80" s="48" t="s">
        <v>516</v>
      </c>
      <c r="L80" s="48" t="s">
        <v>517</v>
      </c>
      <c r="M80" s="13" t="str">
        <f t="shared" si="27"/>
        <v>1.03</v>
      </c>
      <c r="N80" s="13" t="str">
        <f t="shared" si="28"/>
        <v>5</v>
      </c>
      <c r="O80" s="13">
        <f t="shared" si="29"/>
        <v>1.03</v>
      </c>
      <c r="P80" s="13">
        <f t="shared" si="30"/>
        <v>-5</v>
      </c>
      <c r="Q80" s="13">
        <f t="shared" si="31"/>
        <v>1.0300000000000001E-5</v>
      </c>
      <c r="R80" s="13" t="str">
        <f t="shared" si="32"/>
        <v>1.31</v>
      </c>
      <c r="S80" s="13" t="str">
        <f t="shared" si="33"/>
        <v>4</v>
      </c>
      <c r="T80" s="13">
        <f t="shared" si="34"/>
        <v>1.31</v>
      </c>
      <c r="U80" s="13">
        <f t="shared" si="35"/>
        <v>-4</v>
      </c>
      <c r="V80" s="49">
        <f t="shared" si="36"/>
        <v>1.3100000000000001E-4</v>
      </c>
      <c r="W80" s="50">
        <v>1.9479158615796799E-2</v>
      </c>
      <c r="X80" s="50">
        <v>1.144837741331745E-3</v>
      </c>
      <c r="Y80" s="50">
        <v>0.67322061989403459</v>
      </c>
      <c r="Z80" s="51">
        <v>1.3388834870248949</v>
      </c>
      <c r="AA80" s="51">
        <v>7.8689453555191538E-2</v>
      </c>
      <c r="AB80" s="52">
        <v>46.273249727009102</v>
      </c>
      <c r="AC80" s="4">
        <v>170</v>
      </c>
      <c r="AD80" s="4">
        <v>240</v>
      </c>
      <c r="AE80" s="4">
        <v>320</v>
      </c>
      <c r="AF80" s="53" t="e">
        <v>#N/A</v>
      </c>
      <c r="AG80" s="54" t="e">
        <v>#N/A</v>
      </c>
      <c r="AH80" s="55">
        <v>52.2</v>
      </c>
      <c r="AI80" s="43"/>
      <c r="AJ80" s="44">
        <f t="shared" si="37"/>
        <v>0.18318611174104329</v>
      </c>
      <c r="AK80" s="45">
        <f t="shared" si="38"/>
        <v>447.13070642362982</v>
      </c>
      <c r="AL80" s="45">
        <f t="shared" si="39"/>
        <v>31506.215679798872</v>
      </c>
      <c r="AM80" s="45">
        <f t="shared" si="40"/>
        <v>9001.7759085139642</v>
      </c>
      <c r="AN80" s="45">
        <f t="shared" si="41"/>
        <v>6301.2431359597749</v>
      </c>
      <c r="AO80" s="45">
        <f t="shared" si="42"/>
        <v>7876.5539199497189</v>
      </c>
      <c r="AP80" s="43" t="str">
        <f t="shared" si="43"/>
        <v>Widely Accessible</v>
      </c>
      <c r="AQ80" s="45">
        <f>IF(AP80="None", AK80*'[1]Gavi Simplified'!$Y$3, IF(AP80="Limited", AK80*'[1]Gavi Simplified'!$Y$4, IF(AP80="Accessible", AK80*'[1]Gavi Simplified'!$Y$5, AK80)))</f>
        <v>447.13070642362982</v>
      </c>
      <c r="AR80" s="45">
        <f t="shared" si="44"/>
        <v>31506.215679798872</v>
      </c>
      <c r="AS80" s="45">
        <f t="shared" si="45"/>
        <v>9001.7759085139642</v>
      </c>
      <c r="AT80" s="45">
        <f t="shared" si="46"/>
        <v>6301.2431359597749</v>
      </c>
      <c r="AU80" s="45">
        <f t="shared" si="47"/>
        <v>7876.5539199497189</v>
      </c>
      <c r="AV80" s="45">
        <f t="shared" si="48"/>
        <v>29930.90489580893</v>
      </c>
      <c r="AW80" s="45">
        <f t="shared" si="49"/>
        <v>7876.5539199497189</v>
      </c>
      <c r="AX80" s="45">
        <f t="shared" si="50"/>
        <v>7876.5539199497189</v>
      </c>
      <c r="AY80" s="45">
        <f t="shared" si="51"/>
        <v>7876.5539199497189</v>
      </c>
      <c r="AZ80" s="45">
        <f t="shared" si="52"/>
        <v>7876.5539199497189</v>
      </c>
      <c r="BA80" s="45">
        <f t="shared" si="53"/>
        <v>7876.5539199497189</v>
      </c>
    </row>
    <row r="81" spans="2:53" x14ac:dyDescent="0.2">
      <c r="B81" s="56" t="s">
        <v>518</v>
      </c>
      <c r="C81" s="57" t="s">
        <v>124</v>
      </c>
      <c r="D81" s="32">
        <v>27202843</v>
      </c>
      <c r="E81" s="58" t="s">
        <v>125</v>
      </c>
      <c r="F81" s="58" t="s">
        <v>519</v>
      </c>
      <c r="G81" s="59" t="s">
        <v>226</v>
      </c>
      <c r="H81" s="59" t="s">
        <v>520</v>
      </c>
      <c r="I81" s="59" t="s">
        <v>129</v>
      </c>
      <c r="J81" s="59" t="s">
        <v>130</v>
      </c>
      <c r="K81" s="59" t="s">
        <v>521</v>
      </c>
      <c r="L81" s="59" t="s">
        <v>230</v>
      </c>
      <c r="M81" s="13" t="str">
        <f t="shared" si="27"/>
        <v>6.90</v>
      </c>
      <c r="N81" s="13" t="str">
        <f t="shared" si="28"/>
        <v>4</v>
      </c>
      <c r="O81" s="13">
        <f t="shared" si="29"/>
        <v>6.9</v>
      </c>
      <c r="P81" s="13">
        <f t="shared" si="30"/>
        <v>-4</v>
      </c>
      <c r="Q81" s="13">
        <f t="shared" si="31"/>
        <v>6.9000000000000008E-4</v>
      </c>
      <c r="R81" s="13" t="str">
        <f t="shared" si="32"/>
        <v>7.57</v>
      </c>
      <c r="S81" s="13" t="str">
        <f t="shared" si="33"/>
        <v>3</v>
      </c>
      <c r="T81" s="13">
        <f t="shared" si="34"/>
        <v>7.57</v>
      </c>
      <c r="U81" s="13">
        <f t="shared" si="35"/>
        <v>-3</v>
      </c>
      <c r="V81" s="49">
        <f t="shared" si="36"/>
        <v>7.5700000000000003E-3</v>
      </c>
      <c r="W81" s="50">
        <v>4.9118593599102374</v>
      </c>
      <c r="X81" s="50">
        <v>3.2949842570344989</v>
      </c>
      <c r="Y81" s="50">
        <v>6.0044999844213187</v>
      </c>
      <c r="Z81" s="51">
        <v>1328.877536453861</v>
      </c>
      <c r="AA81" s="51">
        <v>891.44054039492687</v>
      </c>
      <c r="AB81" s="52">
        <v>1624.4856707543979</v>
      </c>
      <c r="AC81" s="4">
        <v>490</v>
      </c>
      <c r="AD81" s="4">
        <v>695</v>
      </c>
      <c r="AE81" s="4">
        <v>934</v>
      </c>
      <c r="AF81" s="53" t="e">
        <v>#N/A</v>
      </c>
      <c r="AG81" s="54" t="e">
        <v>#N/A</v>
      </c>
      <c r="AH81" s="55">
        <v>26.5</v>
      </c>
      <c r="AI81" s="43">
        <v>3</v>
      </c>
      <c r="AJ81" s="44">
        <f t="shared" si="37"/>
        <v>1.7417029984726492E-2</v>
      </c>
      <c r="AK81" s="45">
        <f t="shared" si="38"/>
        <v>10</v>
      </c>
      <c r="AL81" s="45">
        <f t="shared" si="39"/>
        <v>2720.2843000000003</v>
      </c>
      <c r="AM81" s="45">
        <f t="shared" si="40"/>
        <v>777.22408571428582</v>
      </c>
      <c r="AN81" s="45">
        <f t="shared" si="41"/>
        <v>544.05686000000003</v>
      </c>
      <c r="AO81" s="45">
        <f t="shared" si="42"/>
        <v>680.07107500000006</v>
      </c>
      <c r="AP81" s="43" t="str">
        <f t="shared" si="43"/>
        <v>None</v>
      </c>
      <c r="AQ81" s="45">
        <f>IF(AP81="None", AK81*'[1]Gavi Simplified'!$Y$3, IF(AP81="Limited", AK81*'[1]Gavi Simplified'!$Y$4, IF(AP81="Accessible", AK81*'[1]Gavi Simplified'!$Y$5, AK81)))</f>
        <v>42.303962558874574</v>
      </c>
      <c r="AR81" s="45">
        <f t="shared" si="44"/>
        <v>11507.880517669433</v>
      </c>
      <c r="AS81" s="45">
        <f t="shared" si="45"/>
        <v>3287.9658621912668</v>
      </c>
      <c r="AT81" s="45">
        <f t="shared" si="46"/>
        <v>2301.5761035338865</v>
      </c>
      <c r="AU81" s="45">
        <f t="shared" si="47"/>
        <v>2876.9701294173583</v>
      </c>
      <c r="AV81" s="45">
        <f t="shared" si="48"/>
        <v>8735.587437368602</v>
      </c>
      <c r="AW81" s="45">
        <f t="shared" si="49"/>
        <v>680.07107500000006</v>
      </c>
      <c r="AX81" s="45">
        <f t="shared" si="50"/>
        <v>1150.7880517669432</v>
      </c>
      <c r="AY81" s="45">
        <f t="shared" si="51"/>
        <v>1726.1820776504151</v>
      </c>
      <c r="AZ81" s="45">
        <f t="shared" si="52"/>
        <v>2301.5761035338865</v>
      </c>
      <c r="BA81" s="45">
        <f t="shared" si="53"/>
        <v>2876.9701294173583</v>
      </c>
    </row>
    <row r="82" spans="2:53" x14ac:dyDescent="0.2">
      <c r="B82" s="69" t="s">
        <v>522</v>
      </c>
      <c r="C82" s="64" t="s">
        <v>124</v>
      </c>
      <c r="D82" s="32">
        <v>223804632</v>
      </c>
      <c r="E82" s="47" t="s">
        <v>523</v>
      </c>
      <c r="F82" s="47" t="s">
        <v>524</v>
      </c>
      <c r="G82" s="48" t="s">
        <v>525</v>
      </c>
      <c r="H82" s="48" t="s">
        <v>526</v>
      </c>
      <c r="I82" s="48" t="s">
        <v>527</v>
      </c>
      <c r="J82" s="48" t="s">
        <v>528</v>
      </c>
      <c r="K82" s="48" t="s">
        <v>529</v>
      </c>
      <c r="L82" s="48" t="s">
        <v>530</v>
      </c>
      <c r="M82" s="13" t="str">
        <f t="shared" si="27"/>
        <v>5.88</v>
      </c>
      <c r="N82" s="13" t="str">
        <f t="shared" si="28"/>
        <v>4</v>
      </c>
      <c r="O82" s="13">
        <f t="shared" si="29"/>
        <v>5.88</v>
      </c>
      <c r="P82" s="13">
        <f t="shared" si="30"/>
        <v>-4</v>
      </c>
      <c r="Q82" s="13">
        <f t="shared" si="31"/>
        <v>5.8799999999999998E-4</v>
      </c>
      <c r="R82" s="13" t="str">
        <f t="shared" si="32"/>
        <v>6.05</v>
      </c>
      <c r="S82" s="13" t="str">
        <f t="shared" si="33"/>
        <v>3</v>
      </c>
      <c r="T82" s="13">
        <f t="shared" si="34"/>
        <v>6.05</v>
      </c>
      <c r="U82" s="13">
        <f t="shared" si="35"/>
        <v>-3</v>
      </c>
      <c r="V82" s="49">
        <f t="shared" si="36"/>
        <v>6.0499999999999998E-3</v>
      </c>
      <c r="W82" s="50">
        <v>2.086486656079872</v>
      </c>
      <c r="X82" s="50">
        <v>1.491225805908075</v>
      </c>
      <c r="Y82" s="50">
        <v>2.4781482361909308</v>
      </c>
      <c r="Z82" s="51">
        <v>4640.0971207513649</v>
      </c>
      <c r="AA82" s="51">
        <v>3316.308085758164</v>
      </c>
      <c r="AB82" s="52">
        <v>5511.1056962850917</v>
      </c>
      <c r="AC82" s="4">
        <v>3285</v>
      </c>
      <c r="AD82" s="4">
        <v>4777</v>
      </c>
      <c r="AE82" s="4">
        <v>6585</v>
      </c>
      <c r="AF82" s="53">
        <v>1.7</v>
      </c>
      <c r="AG82" s="54">
        <v>3.4</v>
      </c>
      <c r="AH82" s="55">
        <v>31.6</v>
      </c>
      <c r="AI82" s="43">
        <v>2</v>
      </c>
      <c r="AJ82" s="44">
        <f t="shared" si="37"/>
        <v>3.208439768187564E-2</v>
      </c>
      <c r="AK82" s="45">
        <f t="shared" si="38"/>
        <v>105.76122085762017</v>
      </c>
      <c r="AL82" s="45">
        <f t="shared" si="39"/>
        <v>236698.51113910408</v>
      </c>
      <c r="AM82" s="45">
        <f t="shared" si="40"/>
        <v>67628.146039744024</v>
      </c>
      <c r="AN82" s="45">
        <f t="shared" si="41"/>
        <v>47339.702227820817</v>
      </c>
      <c r="AO82" s="45">
        <f t="shared" si="42"/>
        <v>59174.627784776021</v>
      </c>
      <c r="AP82" s="43" t="str">
        <f t="shared" si="43"/>
        <v>Limited</v>
      </c>
      <c r="AQ82" s="45">
        <f>IF(AP82="None", AK82*'[1]Gavi Simplified'!$Y$3, IF(AP82="Limited", AK82*'[1]Gavi Simplified'!$Y$4, IF(AP82="Accessible", AK82*'[1]Gavi Simplified'!$Y$5, AK82)))</f>
        <v>368.46380795880634</v>
      </c>
      <c r="AR82" s="45">
        <f t="shared" si="44"/>
        <v>824639.06945539324</v>
      </c>
      <c r="AS82" s="45">
        <f t="shared" si="45"/>
        <v>235611.16270154092</v>
      </c>
      <c r="AT82" s="45">
        <f t="shared" si="46"/>
        <v>164927.81389107864</v>
      </c>
      <c r="AU82" s="45">
        <f t="shared" si="47"/>
        <v>206159.76736384828</v>
      </c>
      <c r="AV82" s="45">
        <f t="shared" si="48"/>
        <v>636421.97640355118</v>
      </c>
      <c r="AW82" s="45">
        <f t="shared" si="49"/>
        <v>59174.627784776021</v>
      </c>
      <c r="AX82" s="45">
        <f t="shared" si="50"/>
        <v>82463.906945539304</v>
      </c>
      <c r="AY82" s="45">
        <f t="shared" si="51"/>
        <v>123695.86041830895</v>
      </c>
      <c r="AZ82" s="45">
        <f t="shared" si="52"/>
        <v>164927.81389107861</v>
      </c>
      <c r="BA82" s="45">
        <f t="shared" si="53"/>
        <v>206159.76736384828</v>
      </c>
    </row>
    <row r="83" spans="2:53" x14ac:dyDescent="0.2">
      <c r="B83" s="60" t="s">
        <v>531</v>
      </c>
      <c r="C83" s="61" t="s">
        <v>58</v>
      </c>
      <c r="D83" s="32">
        <v>26160821</v>
      </c>
      <c r="E83" s="58" t="s">
        <v>88</v>
      </c>
      <c r="F83" s="58" t="s">
        <v>428</v>
      </c>
      <c r="G83" s="59" t="s">
        <v>532</v>
      </c>
      <c r="H83" s="59" t="s">
        <v>533</v>
      </c>
      <c r="I83" s="59" t="s">
        <v>92</v>
      </c>
      <c r="J83" s="59" t="s">
        <v>534</v>
      </c>
      <c r="K83" s="59" t="s">
        <v>535</v>
      </c>
      <c r="L83" s="59" t="s">
        <v>102</v>
      </c>
      <c r="M83" s="13" t="str">
        <f t="shared" si="27"/>
        <v>4.52</v>
      </c>
      <c r="N83" s="13" t="str">
        <f t="shared" si="28"/>
        <v>4</v>
      </c>
      <c r="O83" s="13">
        <f t="shared" si="29"/>
        <v>4.5199999999999996</v>
      </c>
      <c r="P83" s="13">
        <f t="shared" si="30"/>
        <v>-4</v>
      </c>
      <c r="Q83" s="13">
        <f t="shared" si="31"/>
        <v>4.5199999999999998E-4</v>
      </c>
      <c r="R83" s="13" t="str">
        <f t="shared" si="32"/>
        <v>4.88</v>
      </c>
      <c r="S83" s="13" t="str">
        <f t="shared" si="33"/>
        <v>3</v>
      </c>
      <c r="T83" s="13">
        <f t="shared" si="34"/>
        <v>4.88</v>
      </c>
      <c r="U83" s="13">
        <f t="shared" si="35"/>
        <v>-3</v>
      </c>
      <c r="V83" s="49">
        <f t="shared" si="36"/>
        <v>4.8799999999999998E-3</v>
      </c>
      <c r="W83" s="50">
        <v>0.54585221643620663</v>
      </c>
      <c r="X83" s="50">
        <v>0.3563228767736889</v>
      </c>
      <c r="Y83" s="50">
        <v>1.1579589093369329</v>
      </c>
      <c r="Z83" s="51">
        <v>142.66270803392521</v>
      </c>
      <c r="AA83" s="51">
        <v>93.127745943510376</v>
      </c>
      <c r="AB83" s="52">
        <v>302.64153707494182</v>
      </c>
      <c r="AC83" s="4" t="e">
        <v>#N/A</v>
      </c>
      <c r="AD83" s="4" t="e">
        <v>#N/A</v>
      </c>
      <c r="AE83" s="4" t="e">
        <v>#N/A</v>
      </c>
      <c r="AF83" s="53" t="e">
        <v>#N/A</v>
      </c>
      <c r="AG83" s="54" t="e">
        <v>#N/A</v>
      </c>
      <c r="AH83" s="55">
        <v>50.1</v>
      </c>
      <c r="AI83" s="43">
        <v>3</v>
      </c>
      <c r="AJ83" s="44">
        <f t="shared" si="37"/>
        <v>0.15885348915484659</v>
      </c>
      <c r="AK83" s="45">
        <f t="shared" si="38"/>
        <v>419.20396802272762</v>
      </c>
      <c r="AL83" s="45">
        <f t="shared" si="39"/>
        <v>109667.19969932301</v>
      </c>
      <c r="AM83" s="45">
        <f t="shared" si="40"/>
        <v>31333.485628378003</v>
      </c>
      <c r="AN83" s="45">
        <f t="shared" si="41"/>
        <v>21933.439939864602</v>
      </c>
      <c r="AO83" s="45">
        <f t="shared" si="42"/>
        <v>27416.799924830753</v>
      </c>
      <c r="AP83" s="43" t="str">
        <f t="shared" si="43"/>
        <v>Widely Accessible</v>
      </c>
      <c r="AQ83" s="45">
        <f>IF(AP83="None", AK83*'[1]Gavi Simplified'!$Y$3, IF(AP83="Limited", AK83*'[1]Gavi Simplified'!$Y$4, IF(AP83="Accessible", AK83*'[1]Gavi Simplified'!$Y$5, AK83)))</f>
        <v>419.20396802272762</v>
      </c>
      <c r="AR83" s="45">
        <f t="shared" si="44"/>
        <v>109667.19969932301</v>
      </c>
      <c r="AS83" s="45">
        <f t="shared" si="45"/>
        <v>31333.485628378003</v>
      </c>
      <c r="AT83" s="45">
        <f t="shared" si="46"/>
        <v>21933.439939864602</v>
      </c>
      <c r="AU83" s="45">
        <f t="shared" si="47"/>
        <v>27416.799924830753</v>
      </c>
      <c r="AV83" s="45">
        <f t="shared" si="48"/>
        <v>104183.83971435687</v>
      </c>
      <c r="AW83" s="45">
        <f t="shared" si="49"/>
        <v>27416.799924830753</v>
      </c>
      <c r="AX83" s="45">
        <f t="shared" si="50"/>
        <v>27416.799924830753</v>
      </c>
      <c r="AY83" s="45">
        <f t="shared" si="51"/>
        <v>27416.799924830753</v>
      </c>
      <c r="AZ83" s="45">
        <f t="shared" si="52"/>
        <v>27416.799924830753</v>
      </c>
      <c r="BA83" s="45">
        <f t="shared" si="53"/>
        <v>27416.799924830753</v>
      </c>
    </row>
    <row r="84" spans="2:53" x14ac:dyDescent="0.2">
      <c r="B84" s="12" t="s">
        <v>536</v>
      </c>
      <c r="C84" s="46" t="s">
        <v>104</v>
      </c>
      <c r="D84" s="32">
        <v>4644384</v>
      </c>
      <c r="E84" s="47" t="s">
        <v>357</v>
      </c>
      <c r="F84" s="47" t="s">
        <v>537</v>
      </c>
      <c r="G84" s="48" t="s">
        <v>538</v>
      </c>
      <c r="H84" s="48" t="s">
        <v>539</v>
      </c>
      <c r="I84" s="48" t="s">
        <v>361</v>
      </c>
      <c r="J84" s="48" t="s">
        <v>540</v>
      </c>
      <c r="K84" s="48" t="s">
        <v>541</v>
      </c>
      <c r="L84" s="48" t="s">
        <v>542</v>
      </c>
      <c r="M84" s="13" t="str">
        <f t="shared" si="27"/>
        <v>5.25</v>
      </c>
      <c r="N84" s="13" t="str">
        <f t="shared" si="28"/>
        <v>4</v>
      </c>
      <c r="O84" s="13">
        <f t="shared" si="29"/>
        <v>5.25</v>
      </c>
      <c r="P84" s="13">
        <f t="shared" si="30"/>
        <v>-4</v>
      </c>
      <c r="Q84" s="13">
        <f t="shared" si="31"/>
        <v>5.2500000000000008E-4</v>
      </c>
      <c r="R84" s="13" t="str">
        <f t="shared" si="32"/>
        <v>5.61</v>
      </c>
      <c r="S84" s="13" t="str">
        <f t="shared" si="33"/>
        <v>3</v>
      </c>
      <c r="T84" s="13">
        <f t="shared" si="34"/>
        <v>5.61</v>
      </c>
      <c r="U84" s="13">
        <f t="shared" si="35"/>
        <v>-3</v>
      </c>
      <c r="V84" s="49">
        <f t="shared" si="36"/>
        <v>5.6100000000000004E-3</v>
      </c>
      <c r="W84" s="50">
        <v>2.5180101103007561E-2</v>
      </c>
      <c r="X84" s="50">
        <v>1.271415292978231E-2</v>
      </c>
      <c r="Y84" s="50">
        <v>5.7384334167175297E-2</v>
      </c>
      <c r="Z84" s="51">
        <v>1.408198018802467</v>
      </c>
      <c r="AA84" s="51">
        <v>0.71103943916780099</v>
      </c>
      <c r="AB84" s="52">
        <v>3.2092208587225661</v>
      </c>
      <c r="AC84" s="4" t="e">
        <v>#N/A</v>
      </c>
      <c r="AD84" s="4" t="e">
        <v>#N/A</v>
      </c>
      <c r="AE84" s="4" t="e">
        <v>#N/A</v>
      </c>
      <c r="AF84" s="53" t="e">
        <v>#N/A</v>
      </c>
      <c r="AG84" s="54" t="e">
        <v>#N/A</v>
      </c>
      <c r="AH84" s="55">
        <v>67.5</v>
      </c>
      <c r="AI84" s="43"/>
      <c r="AJ84" s="44">
        <f t="shared" si="37"/>
        <v>0.44705448969154177</v>
      </c>
      <c r="AK84" s="45">
        <f t="shared" si="38"/>
        <v>621.95222186911451</v>
      </c>
      <c r="AL84" s="45">
        <f t="shared" si="39"/>
        <v>28885.849480133653</v>
      </c>
      <c r="AM84" s="45">
        <f t="shared" si="40"/>
        <v>8253.0998514667572</v>
      </c>
      <c r="AN84" s="45">
        <f t="shared" si="41"/>
        <v>5777.1698960267295</v>
      </c>
      <c r="AO84" s="45">
        <f t="shared" si="42"/>
        <v>7221.4623700334123</v>
      </c>
      <c r="AP84" s="43" t="str">
        <f t="shared" si="43"/>
        <v>Widely Accessible</v>
      </c>
      <c r="AQ84" s="45">
        <f>IF(AP84="None", AK84*'[1]Gavi Simplified'!$Y$3, IF(AP84="Limited", AK84*'[1]Gavi Simplified'!$Y$4, IF(AP84="Accessible", AK84*'[1]Gavi Simplified'!$Y$5, AK84)))</f>
        <v>621.95222186911451</v>
      </c>
      <c r="AR84" s="45">
        <f t="shared" si="44"/>
        <v>28885.849480133653</v>
      </c>
      <c r="AS84" s="45">
        <f t="shared" si="45"/>
        <v>8253.0998514667572</v>
      </c>
      <c r="AT84" s="45">
        <f t="shared" si="46"/>
        <v>5777.1698960267295</v>
      </c>
      <c r="AU84" s="45">
        <f t="shared" si="47"/>
        <v>7221.4623700334123</v>
      </c>
      <c r="AV84" s="45">
        <f t="shared" si="48"/>
        <v>27441.557006126968</v>
      </c>
      <c r="AW84" s="45">
        <f t="shared" si="49"/>
        <v>7221.4623700334123</v>
      </c>
      <c r="AX84" s="45">
        <f t="shared" si="50"/>
        <v>7221.4623700334123</v>
      </c>
      <c r="AY84" s="45">
        <f t="shared" si="51"/>
        <v>7221.4623700334123</v>
      </c>
      <c r="AZ84" s="45">
        <f t="shared" si="52"/>
        <v>7221.4623700334123</v>
      </c>
      <c r="BA84" s="45">
        <f t="shared" si="53"/>
        <v>7221.4623700334123</v>
      </c>
    </row>
    <row r="85" spans="2:53" x14ac:dyDescent="0.2">
      <c r="B85" s="60" t="s">
        <v>543</v>
      </c>
      <c r="C85" s="61" t="s">
        <v>114</v>
      </c>
      <c r="D85" s="32">
        <v>240485658</v>
      </c>
      <c r="E85" s="58" t="s">
        <v>115</v>
      </c>
      <c r="F85" s="58" t="s">
        <v>116</v>
      </c>
      <c r="G85" s="59" t="s">
        <v>544</v>
      </c>
      <c r="H85" s="59" t="s">
        <v>545</v>
      </c>
      <c r="I85" s="59" t="s">
        <v>119</v>
      </c>
      <c r="J85" s="59" t="s">
        <v>546</v>
      </c>
      <c r="K85" s="59" t="s">
        <v>547</v>
      </c>
      <c r="L85" s="59" t="s">
        <v>122</v>
      </c>
      <c r="M85" s="13" t="str">
        <f t="shared" si="27"/>
        <v>5.85</v>
      </c>
      <c r="N85" s="13" t="str">
        <f t="shared" si="28"/>
        <v>4</v>
      </c>
      <c r="O85" s="13">
        <f t="shared" si="29"/>
        <v>5.85</v>
      </c>
      <c r="P85" s="13">
        <f t="shared" si="30"/>
        <v>-4</v>
      </c>
      <c r="Q85" s="13">
        <f t="shared" si="31"/>
        <v>5.8500000000000002E-4</v>
      </c>
      <c r="R85" s="13" t="str">
        <f t="shared" si="32"/>
        <v>6.86</v>
      </c>
      <c r="S85" s="13" t="str">
        <f t="shared" si="33"/>
        <v>3</v>
      </c>
      <c r="T85" s="13">
        <f t="shared" si="34"/>
        <v>6.86</v>
      </c>
      <c r="U85" s="13">
        <f t="shared" si="35"/>
        <v>-3</v>
      </c>
      <c r="V85" s="49">
        <f t="shared" si="36"/>
        <v>6.8600000000000006E-3</v>
      </c>
      <c r="W85" s="50">
        <v>2.4853786676659988</v>
      </c>
      <c r="X85" s="50">
        <v>1.141860260201411</v>
      </c>
      <c r="Y85" s="50">
        <v>8.6976468758580907</v>
      </c>
      <c r="Z85" s="51">
        <v>5832.8344810284671</v>
      </c>
      <c r="AA85" s="51">
        <v>2679.7855734689929</v>
      </c>
      <c r="AB85" s="52">
        <v>20412.15500129668</v>
      </c>
      <c r="AC85" s="4">
        <v>2383</v>
      </c>
      <c r="AD85" s="4">
        <v>3374</v>
      </c>
      <c r="AE85" s="4">
        <v>4528</v>
      </c>
      <c r="AF85" s="53" t="e">
        <v>#N/A</v>
      </c>
      <c r="AG85" s="54" t="e">
        <v>#N/A</v>
      </c>
      <c r="AH85" s="55">
        <v>32.4</v>
      </c>
      <c r="AI85" s="43">
        <v>2</v>
      </c>
      <c r="AJ85" s="44">
        <f t="shared" si="37"/>
        <v>3.4992959295731367E-2</v>
      </c>
      <c r="AK85" s="45">
        <f t="shared" si="38"/>
        <v>122.7651065135683</v>
      </c>
      <c r="AL85" s="45">
        <f t="shared" si="39"/>
        <v>295232.47419355559</v>
      </c>
      <c r="AM85" s="45">
        <f t="shared" si="40"/>
        <v>84352.135483873033</v>
      </c>
      <c r="AN85" s="45">
        <f t="shared" si="41"/>
        <v>59046.494838711122</v>
      </c>
      <c r="AO85" s="45">
        <f t="shared" si="42"/>
        <v>73808.118548388898</v>
      </c>
      <c r="AP85" s="43" t="str">
        <f t="shared" si="43"/>
        <v>Limited</v>
      </c>
      <c r="AQ85" s="45">
        <f>IF(AP85="None", AK85*'[1]Gavi Simplified'!$Y$3, IF(AP85="Limited", AK85*'[1]Gavi Simplified'!$Y$4, IF(AP85="Accessible", AK85*'[1]Gavi Simplified'!$Y$5, AK85)))</f>
        <v>427.70401347157537</v>
      </c>
      <c r="AR85" s="45">
        <f t="shared" si="44"/>
        <v>1028566.8110895266</v>
      </c>
      <c r="AS85" s="45">
        <f t="shared" si="45"/>
        <v>293876.23173986474</v>
      </c>
      <c r="AT85" s="45">
        <f t="shared" si="46"/>
        <v>205713.36221790532</v>
      </c>
      <c r="AU85" s="45">
        <f t="shared" si="47"/>
        <v>257141.70277238166</v>
      </c>
      <c r="AV85" s="45">
        <f t="shared" si="48"/>
        <v>793804.88631105749</v>
      </c>
      <c r="AW85" s="45">
        <f t="shared" si="49"/>
        <v>73808.118548388898</v>
      </c>
      <c r="AX85" s="45">
        <f t="shared" si="50"/>
        <v>102856.68110895267</v>
      </c>
      <c r="AY85" s="45">
        <f t="shared" si="51"/>
        <v>154285.02166342901</v>
      </c>
      <c r="AZ85" s="45">
        <f t="shared" si="52"/>
        <v>205713.36221790535</v>
      </c>
      <c r="BA85" s="45">
        <f t="shared" si="53"/>
        <v>257141.70277238166</v>
      </c>
    </row>
    <row r="86" spans="2:53" x14ac:dyDescent="0.2">
      <c r="B86" s="66" t="s">
        <v>548</v>
      </c>
      <c r="C86" s="64" t="s">
        <v>143</v>
      </c>
      <c r="D86" s="32">
        <v>34352719</v>
      </c>
      <c r="E86" s="47" t="s">
        <v>549</v>
      </c>
      <c r="F86" s="47" t="s">
        <v>461</v>
      </c>
      <c r="G86" s="48" t="s">
        <v>550</v>
      </c>
      <c r="H86" s="48" t="s">
        <v>463</v>
      </c>
      <c r="I86" s="48" t="s">
        <v>551</v>
      </c>
      <c r="J86" s="48" t="s">
        <v>323</v>
      </c>
      <c r="K86" s="48" t="s">
        <v>552</v>
      </c>
      <c r="L86" s="48" t="s">
        <v>553</v>
      </c>
      <c r="M86" s="13" t="str">
        <f t="shared" si="27"/>
        <v>2.95</v>
      </c>
      <c r="N86" s="13" t="str">
        <f t="shared" si="28"/>
        <v>4</v>
      </c>
      <c r="O86" s="13">
        <f t="shared" si="29"/>
        <v>2.95</v>
      </c>
      <c r="P86" s="13">
        <f t="shared" si="30"/>
        <v>-4</v>
      </c>
      <c r="Q86" s="13">
        <f t="shared" si="31"/>
        <v>2.9500000000000001E-4</v>
      </c>
      <c r="R86" s="13" t="str">
        <f t="shared" si="32"/>
        <v>3.24</v>
      </c>
      <c r="S86" s="13" t="str">
        <f t="shared" si="33"/>
        <v>3</v>
      </c>
      <c r="T86" s="13">
        <f t="shared" si="34"/>
        <v>3.24</v>
      </c>
      <c r="U86" s="13">
        <f t="shared" si="35"/>
        <v>-3</v>
      </c>
      <c r="V86" s="49">
        <f t="shared" si="36"/>
        <v>3.2400000000000003E-3</v>
      </c>
      <c r="W86" s="50">
        <v>1.8867157758243609E-2</v>
      </c>
      <c r="X86" s="50">
        <v>5.3252353499128231E-4</v>
      </c>
      <c r="Y86" s="50">
        <v>0.28491255586478442</v>
      </c>
      <c r="Z86" s="51">
        <v>6.5400425029111178</v>
      </c>
      <c r="AA86" s="51">
        <v>0.1845920088902504</v>
      </c>
      <c r="AB86" s="52">
        <v>98.761045455009267</v>
      </c>
      <c r="AC86" s="4" t="e">
        <v>#N/A</v>
      </c>
      <c r="AD86" s="4" t="e">
        <v>#N/A</v>
      </c>
      <c r="AE86" s="4" t="e">
        <v>#N/A</v>
      </c>
      <c r="AF86" s="53" t="e">
        <v>#N/A</v>
      </c>
      <c r="AG86" s="54" t="e">
        <v>#N/A</v>
      </c>
      <c r="AH86" s="67">
        <v>60</v>
      </c>
      <c r="AI86" s="68"/>
      <c r="AJ86" s="44">
        <f t="shared" si="37"/>
        <v>0.29704016032192521</v>
      </c>
      <c r="AK86" s="45">
        <f t="shared" si="38"/>
        <v>541.84562365849479</v>
      </c>
      <c r="AL86" s="45">
        <f t="shared" si="39"/>
        <v>186138.70450920024</v>
      </c>
      <c r="AM86" s="45">
        <f t="shared" si="40"/>
        <v>53182.487002628637</v>
      </c>
      <c r="AN86" s="45">
        <f t="shared" si="41"/>
        <v>37227.740901840043</v>
      </c>
      <c r="AO86" s="45">
        <f t="shared" si="42"/>
        <v>46534.676127300052</v>
      </c>
      <c r="AP86" s="43" t="str">
        <f t="shared" si="43"/>
        <v>Widely Accessible</v>
      </c>
      <c r="AQ86" s="45">
        <f>IF(AP86="None", AK86*'[1]Gavi Simplified'!$Y$3, IF(AP86="Limited", AK86*'[1]Gavi Simplified'!$Y$4, IF(AP86="Accessible", AK86*'[1]Gavi Simplified'!$Y$5, AK86)))</f>
        <v>541.84562365849479</v>
      </c>
      <c r="AR86" s="45">
        <f t="shared" si="44"/>
        <v>186138.70450920024</v>
      </c>
      <c r="AS86" s="45">
        <f t="shared" si="45"/>
        <v>53182.487002628637</v>
      </c>
      <c r="AT86" s="45">
        <f t="shared" si="46"/>
        <v>37227.740901840043</v>
      </c>
      <c r="AU86" s="45">
        <f t="shared" si="47"/>
        <v>46534.676127300052</v>
      </c>
      <c r="AV86" s="45">
        <f t="shared" si="48"/>
        <v>176831.7692837402</v>
      </c>
      <c r="AW86" s="45">
        <f t="shared" si="49"/>
        <v>46534.676127300052</v>
      </c>
      <c r="AX86" s="45">
        <f t="shared" si="50"/>
        <v>46534.676127300052</v>
      </c>
      <c r="AY86" s="45">
        <f t="shared" si="51"/>
        <v>46534.676127300052</v>
      </c>
      <c r="AZ86" s="45">
        <f t="shared" si="52"/>
        <v>46534.676127300052</v>
      </c>
      <c r="BA86" s="45">
        <f t="shared" si="53"/>
        <v>46534.676127300052</v>
      </c>
    </row>
    <row r="87" spans="2:53" x14ac:dyDescent="0.2">
      <c r="B87" s="71" t="s">
        <v>554</v>
      </c>
      <c r="C87" s="61" t="s">
        <v>459</v>
      </c>
      <c r="D87" s="32">
        <v>117337368</v>
      </c>
      <c r="E87" s="58" t="s">
        <v>134</v>
      </c>
      <c r="F87" s="58" t="s">
        <v>555</v>
      </c>
      <c r="G87" s="59" t="s">
        <v>556</v>
      </c>
      <c r="H87" s="59" t="s">
        <v>557</v>
      </c>
      <c r="I87" s="59" t="s">
        <v>138</v>
      </c>
      <c r="J87" s="59" t="s">
        <v>558</v>
      </c>
      <c r="K87" s="59" t="s">
        <v>559</v>
      </c>
      <c r="L87" s="59" t="s">
        <v>560</v>
      </c>
      <c r="M87" s="13" t="str">
        <f t="shared" si="27"/>
        <v>5.89</v>
      </c>
      <c r="N87" s="13" t="str">
        <f t="shared" si="28"/>
        <v>4</v>
      </c>
      <c r="O87" s="13">
        <f t="shared" si="29"/>
        <v>5.89</v>
      </c>
      <c r="P87" s="13">
        <f t="shared" si="30"/>
        <v>-4</v>
      </c>
      <c r="Q87" s="13">
        <f t="shared" si="31"/>
        <v>5.8900000000000001E-4</v>
      </c>
      <c r="R87" s="13" t="str">
        <f t="shared" si="32"/>
        <v>6.37</v>
      </c>
      <c r="S87" s="13" t="str">
        <f t="shared" si="33"/>
        <v>3</v>
      </c>
      <c r="T87" s="13">
        <f t="shared" si="34"/>
        <v>6.37</v>
      </c>
      <c r="U87" s="13">
        <f t="shared" si="35"/>
        <v>-3</v>
      </c>
      <c r="V87" s="49">
        <f t="shared" si="36"/>
        <v>6.3700000000000007E-3</v>
      </c>
      <c r="W87" s="50">
        <v>0.13588617042809359</v>
      </c>
      <c r="X87" s="50">
        <v>9.2965745202190364E-2</v>
      </c>
      <c r="Y87" s="50">
        <v>0.23781101313580069</v>
      </c>
      <c r="Z87" s="51">
        <v>155.0967042027797</v>
      </c>
      <c r="AA87" s="51">
        <v>106.1085218546577</v>
      </c>
      <c r="AB87" s="52">
        <v>271.43089134301749</v>
      </c>
      <c r="AC87" s="4" t="e">
        <v>#N/A</v>
      </c>
      <c r="AD87" s="4" t="e">
        <v>#N/A</v>
      </c>
      <c r="AE87" s="4" t="e">
        <v>#N/A</v>
      </c>
      <c r="AF87" s="53" t="e">
        <v>#N/A</v>
      </c>
      <c r="AG87" s="54" t="e">
        <v>#N/A</v>
      </c>
      <c r="AH87" s="55">
        <v>40.799999999999997</v>
      </c>
      <c r="AI87" s="43"/>
      <c r="AJ87" s="44">
        <f t="shared" si="37"/>
        <v>7.7887964762314105E-2</v>
      </c>
      <c r="AK87" s="45">
        <f t="shared" si="38"/>
        <v>279.54885720864786</v>
      </c>
      <c r="AL87" s="45">
        <f t="shared" si="39"/>
        <v>328015.27132270567</v>
      </c>
      <c r="AM87" s="45">
        <f t="shared" si="40"/>
        <v>93718.648949344482</v>
      </c>
      <c r="AN87" s="45">
        <f t="shared" si="41"/>
        <v>65603.054264541133</v>
      </c>
      <c r="AO87" s="45">
        <f t="shared" si="42"/>
        <v>82003.817830676417</v>
      </c>
      <c r="AP87" s="43" t="str">
        <f t="shared" si="43"/>
        <v>Accessible</v>
      </c>
      <c r="AQ87" s="45">
        <f>IF(AP87="None", AK87*'[1]Gavi Simplified'!$Y$3, IF(AP87="Limited", AK87*'[1]Gavi Simplified'!$Y$4, IF(AP87="Accessible", AK87*'[1]Gavi Simplified'!$Y$5, AK87)))</f>
        <v>866.3463078303015</v>
      </c>
      <c r="AR87" s="45">
        <f t="shared" si="44"/>
        <v>1016547.9553732537</v>
      </c>
      <c r="AS87" s="45">
        <f t="shared" si="45"/>
        <v>290442.27296378679</v>
      </c>
      <c r="AT87" s="45">
        <f t="shared" si="46"/>
        <v>203309.59107465073</v>
      </c>
      <c r="AU87" s="45">
        <f t="shared" si="47"/>
        <v>254136.98884331342</v>
      </c>
      <c r="AV87" s="45">
        <f t="shared" si="48"/>
        <v>793587.38659195404</v>
      </c>
      <c r="AW87" s="45">
        <f t="shared" si="49"/>
        <v>82003.817830676417</v>
      </c>
      <c r="AX87" s="45">
        <f t="shared" si="50"/>
        <v>101654.79553732536</v>
      </c>
      <c r="AY87" s="45">
        <f t="shared" si="51"/>
        <v>152482.19330598807</v>
      </c>
      <c r="AZ87" s="45">
        <f t="shared" si="52"/>
        <v>203309.59107465073</v>
      </c>
      <c r="BA87" s="45">
        <f t="shared" si="53"/>
        <v>254136.98884331342</v>
      </c>
    </row>
    <row r="88" spans="2:53" x14ac:dyDescent="0.2">
      <c r="B88" s="66" t="s">
        <v>561</v>
      </c>
      <c r="C88" s="64" t="s">
        <v>104</v>
      </c>
      <c r="D88" s="32">
        <v>2716391</v>
      </c>
      <c r="E88" s="47" t="s">
        <v>105</v>
      </c>
      <c r="F88" s="47" t="s">
        <v>373</v>
      </c>
      <c r="G88" s="48" t="s">
        <v>562</v>
      </c>
      <c r="H88" s="48" t="s">
        <v>563</v>
      </c>
      <c r="I88" s="48" t="s">
        <v>109</v>
      </c>
      <c r="J88" s="48" t="s">
        <v>564</v>
      </c>
      <c r="K88" s="48" t="s">
        <v>565</v>
      </c>
      <c r="L88" s="48" t="s">
        <v>213</v>
      </c>
      <c r="M88" s="13" t="str">
        <f t="shared" si="27"/>
        <v>4.78</v>
      </c>
      <c r="N88" s="13" t="str">
        <f t="shared" si="28"/>
        <v>4</v>
      </c>
      <c r="O88" s="13">
        <f t="shared" si="29"/>
        <v>4.78</v>
      </c>
      <c r="P88" s="13">
        <f t="shared" si="30"/>
        <v>-4</v>
      </c>
      <c r="Q88" s="13">
        <f t="shared" si="31"/>
        <v>4.7800000000000007E-4</v>
      </c>
      <c r="R88" s="13" t="str">
        <f t="shared" si="32"/>
        <v>5.25</v>
      </c>
      <c r="S88" s="13" t="str">
        <f t="shared" si="33"/>
        <v>3</v>
      </c>
      <c r="T88" s="13">
        <f t="shared" si="34"/>
        <v>5.25</v>
      </c>
      <c r="U88" s="13">
        <f t="shared" si="35"/>
        <v>-3</v>
      </c>
      <c r="V88" s="49">
        <f t="shared" si="36"/>
        <v>5.2500000000000003E-3</v>
      </c>
      <c r="W88" s="50" t="e">
        <v>#N/A</v>
      </c>
      <c r="X88" s="50" t="e">
        <v>#N/A</v>
      </c>
      <c r="Y88" s="50" t="e">
        <v>#N/A</v>
      </c>
      <c r="Z88" s="51" t="e">
        <v>#N/A</v>
      </c>
      <c r="AA88" s="51" t="e">
        <v>#N/A</v>
      </c>
      <c r="AB88" s="52" t="e">
        <v>#N/A</v>
      </c>
      <c r="AC88" s="4" t="e">
        <v>#N/A</v>
      </c>
      <c r="AD88" s="4" t="e">
        <v>#N/A</v>
      </c>
      <c r="AE88" s="4" t="e">
        <v>#N/A</v>
      </c>
      <c r="AF88" s="53" t="e">
        <v>#N/A</v>
      </c>
      <c r="AG88" s="54" t="e">
        <v>#N/A</v>
      </c>
      <c r="AH88" s="55">
        <v>73.7</v>
      </c>
      <c r="AI88" s="43"/>
      <c r="AJ88" s="44">
        <f t="shared" si="37"/>
        <v>0.60648895932997215</v>
      </c>
      <c r="AK88" s="45">
        <f t="shared" si="38"/>
        <v>681.71790378870128</v>
      </c>
      <c r="AL88" s="45">
        <f t="shared" si="39"/>
        <v>18518.123783904939</v>
      </c>
      <c r="AM88" s="45">
        <f t="shared" si="40"/>
        <v>5290.8925096871253</v>
      </c>
      <c r="AN88" s="45">
        <f t="shared" si="41"/>
        <v>3703.6247567809874</v>
      </c>
      <c r="AO88" s="45">
        <f t="shared" si="42"/>
        <v>4629.5309459762339</v>
      </c>
      <c r="AP88" s="43" t="str">
        <f t="shared" si="43"/>
        <v>Widely Accessible</v>
      </c>
      <c r="AQ88" s="45">
        <f>IF(AP88="None", AK88*'[1]Gavi Simplified'!$Y$3, IF(AP88="Limited", AK88*'[1]Gavi Simplified'!$Y$4, IF(AP88="Accessible", AK88*'[1]Gavi Simplified'!$Y$5, AK88)))</f>
        <v>681.71790378870128</v>
      </c>
      <c r="AR88" s="45">
        <f t="shared" si="44"/>
        <v>18518.123783904939</v>
      </c>
      <c r="AS88" s="45">
        <f t="shared" si="45"/>
        <v>5290.8925096871253</v>
      </c>
      <c r="AT88" s="45">
        <f t="shared" si="46"/>
        <v>3703.6247567809874</v>
      </c>
      <c r="AU88" s="45">
        <f t="shared" si="47"/>
        <v>4629.5309459762339</v>
      </c>
      <c r="AV88" s="45">
        <f t="shared" si="48"/>
        <v>17592.217594709691</v>
      </c>
      <c r="AW88" s="45">
        <f t="shared" si="49"/>
        <v>4629.5309459762339</v>
      </c>
      <c r="AX88" s="45">
        <f t="shared" si="50"/>
        <v>4629.5309459762339</v>
      </c>
      <c r="AY88" s="45">
        <f t="shared" si="51"/>
        <v>4629.5309459762339</v>
      </c>
      <c r="AZ88" s="45">
        <f t="shared" si="52"/>
        <v>4629.5309459762339</v>
      </c>
      <c r="BA88" s="45">
        <f t="shared" si="53"/>
        <v>4629.5309459762339</v>
      </c>
    </row>
    <row r="89" spans="2:53" x14ac:dyDescent="0.2">
      <c r="B89" s="60" t="s">
        <v>566</v>
      </c>
      <c r="C89" s="61" t="s">
        <v>68</v>
      </c>
      <c r="D89" s="32">
        <v>14094683</v>
      </c>
      <c r="E89" s="58" t="s">
        <v>567</v>
      </c>
      <c r="F89" s="58" t="s">
        <v>568</v>
      </c>
      <c r="G89" s="59" t="s">
        <v>98</v>
      </c>
      <c r="H89" s="59" t="s">
        <v>569</v>
      </c>
      <c r="I89" s="59" t="s">
        <v>570</v>
      </c>
      <c r="J89" s="59" t="s">
        <v>571</v>
      </c>
      <c r="K89" s="59" t="s">
        <v>572</v>
      </c>
      <c r="L89" s="59" t="s">
        <v>573</v>
      </c>
      <c r="M89" s="13" t="str">
        <f t="shared" si="27"/>
        <v>4.33</v>
      </c>
      <c r="N89" s="13" t="str">
        <f t="shared" si="28"/>
        <v>4</v>
      </c>
      <c r="O89" s="13">
        <f t="shared" si="29"/>
        <v>4.33</v>
      </c>
      <c r="P89" s="13">
        <f t="shared" si="30"/>
        <v>-4</v>
      </c>
      <c r="Q89" s="13">
        <f t="shared" si="31"/>
        <v>4.3300000000000001E-4</v>
      </c>
      <c r="R89" s="13" t="str">
        <f t="shared" si="32"/>
        <v>4.71</v>
      </c>
      <c r="S89" s="13" t="str">
        <f t="shared" si="33"/>
        <v>3</v>
      </c>
      <c r="T89" s="13">
        <f t="shared" si="34"/>
        <v>4.71</v>
      </c>
      <c r="U89" s="13">
        <f t="shared" si="35"/>
        <v>-3</v>
      </c>
      <c r="V89" s="49">
        <f t="shared" si="36"/>
        <v>4.7099999999999998E-3</v>
      </c>
      <c r="W89" s="50">
        <v>0.98653172207114392</v>
      </c>
      <c r="X89" s="50">
        <v>0.71679010794826359</v>
      </c>
      <c r="Y89" s="50">
        <v>1.1972187789386199</v>
      </c>
      <c r="Z89" s="51">
        <v>138.0792835159159</v>
      </c>
      <c r="AA89" s="51">
        <v>100.3250704691022</v>
      </c>
      <c r="AB89" s="52">
        <v>167.56796310673829</v>
      </c>
      <c r="AC89" s="4">
        <v>295</v>
      </c>
      <c r="AD89" s="4">
        <v>430</v>
      </c>
      <c r="AE89" s="4">
        <v>562</v>
      </c>
      <c r="AF89" s="53" t="e">
        <v>#N/A</v>
      </c>
      <c r="AG89" s="54" t="e">
        <v>#N/A</v>
      </c>
      <c r="AH89" s="55">
        <v>31.8</v>
      </c>
      <c r="AI89" s="43">
        <v>2</v>
      </c>
      <c r="AJ89" s="44">
        <f t="shared" si="37"/>
        <v>3.2794747120590946E-2</v>
      </c>
      <c r="AK89" s="45">
        <f t="shared" si="38"/>
        <v>110.05221300934318</v>
      </c>
      <c r="AL89" s="45">
        <f t="shared" si="39"/>
        <v>15511.51055815168</v>
      </c>
      <c r="AM89" s="45">
        <f t="shared" si="40"/>
        <v>4431.8601594719084</v>
      </c>
      <c r="AN89" s="45">
        <f t="shared" si="41"/>
        <v>3102.3021116303357</v>
      </c>
      <c r="AO89" s="45">
        <f t="shared" si="42"/>
        <v>3877.8776395379195</v>
      </c>
      <c r="AP89" s="43" t="str">
        <f t="shared" si="43"/>
        <v>Limited</v>
      </c>
      <c r="AQ89" s="45">
        <f>IF(AP89="None", AK89*'[1]Gavi Simplified'!$Y$3, IF(AP89="Limited", AK89*'[1]Gavi Simplified'!$Y$4, IF(AP89="Accessible", AK89*'[1]Gavi Simplified'!$Y$5, AK89)))</f>
        <v>383.41328845197989</v>
      </c>
      <c r="AR89" s="45">
        <f t="shared" si="44"/>
        <v>54040.887587182173</v>
      </c>
      <c r="AS89" s="45">
        <f t="shared" si="45"/>
        <v>15440.253596337763</v>
      </c>
      <c r="AT89" s="45">
        <f t="shared" si="46"/>
        <v>10808.177517436434</v>
      </c>
      <c r="AU89" s="45">
        <f t="shared" si="47"/>
        <v>13510.221896795541</v>
      </c>
      <c r="AV89" s="45">
        <f t="shared" si="48"/>
        <v>41706.498950565438</v>
      </c>
      <c r="AW89" s="45">
        <f t="shared" si="49"/>
        <v>3877.8776395379195</v>
      </c>
      <c r="AX89" s="45">
        <f t="shared" si="50"/>
        <v>5404.0887587182169</v>
      </c>
      <c r="AY89" s="45">
        <f t="shared" si="51"/>
        <v>8106.1331380773245</v>
      </c>
      <c r="AZ89" s="45">
        <f t="shared" si="52"/>
        <v>10808.177517436434</v>
      </c>
      <c r="BA89" s="45">
        <f t="shared" si="53"/>
        <v>13510.221896795541</v>
      </c>
    </row>
    <row r="90" spans="2:53" x14ac:dyDescent="0.2">
      <c r="B90" s="12" t="s">
        <v>574</v>
      </c>
      <c r="C90" s="46" t="s">
        <v>104</v>
      </c>
      <c r="D90" s="32">
        <v>36947025</v>
      </c>
      <c r="E90" s="47" t="s">
        <v>105</v>
      </c>
      <c r="F90" s="47" t="s">
        <v>106</v>
      </c>
      <c r="G90" s="48" t="s">
        <v>575</v>
      </c>
      <c r="H90" s="48" t="s">
        <v>576</v>
      </c>
      <c r="I90" s="48" t="s">
        <v>109</v>
      </c>
      <c r="J90" s="48" t="s">
        <v>93</v>
      </c>
      <c r="K90" s="48" t="s">
        <v>577</v>
      </c>
      <c r="L90" s="48" t="s">
        <v>401</v>
      </c>
      <c r="M90" s="13" t="str">
        <f t="shared" si="27"/>
        <v>4.81</v>
      </c>
      <c r="N90" s="13" t="str">
        <f t="shared" si="28"/>
        <v>4</v>
      </c>
      <c r="O90" s="13">
        <f t="shared" si="29"/>
        <v>4.8099999999999996</v>
      </c>
      <c r="P90" s="13">
        <f t="shared" si="30"/>
        <v>-4</v>
      </c>
      <c r="Q90" s="13">
        <f t="shared" si="31"/>
        <v>4.8099999999999998E-4</v>
      </c>
      <c r="R90" s="13" t="str">
        <f t="shared" si="32"/>
        <v>5.04</v>
      </c>
      <c r="S90" s="13" t="str">
        <f t="shared" si="33"/>
        <v>3</v>
      </c>
      <c r="T90" s="13">
        <f t="shared" si="34"/>
        <v>5.04</v>
      </c>
      <c r="U90" s="13">
        <f t="shared" si="35"/>
        <v>-3</v>
      </c>
      <c r="V90" s="49">
        <f t="shared" si="36"/>
        <v>5.0400000000000002E-3</v>
      </c>
      <c r="W90" s="50">
        <v>3.0543401508621171E-2</v>
      </c>
      <c r="X90" s="50">
        <v>1.600368493553048E-2</v>
      </c>
      <c r="Y90" s="50">
        <v>6.5815426843461214E-2</v>
      </c>
      <c r="Z90" s="51">
        <v>11.18503410740499</v>
      </c>
      <c r="AA90" s="51">
        <v>5.8605706308626697</v>
      </c>
      <c r="AB90" s="52">
        <v>24.101696526162829</v>
      </c>
      <c r="AC90" s="4" t="e">
        <v>#N/A</v>
      </c>
      <c r="AD90" s="4" t="e">
        <v>#N/A</v>
      </c>
      <c r="AE90" s="4" t="e">
        <v>#N/A</v>
      </c>
      <c r="AF90" s="53" t="e">
        <v>#N/A</v>
      </c>
      <c r="AG90" s="54" t="e">
        <v>#N/A</v>
      </c>
      <c r="AH90" s="55">
        <v>63.3</v>
      </c>
      <c r="AI90" s="43"/>
      <c r="AJ90" s="44">
        <f t="shared" si="37"/>
        <v>0.35770262955750554</v>
      </c>
      <c r="AK90" s="45">
        <f t="shared" si="38"/>
        <v>578.25977006158655</v>
      </c>
      <c r="AL90" s="45">
        <f t="shared" si="39"/>
        <v>213649.7818095969</v>
      </c>
      <c r="AM90" s="45">
        <f t="shared" si="40"/>
        <v>61042.79480274197</v>
      </c>
      <c r="AN90" s="45">
        <f t="shared" si="41"/>
        <v>42729.95636191938</v>
      </c>
      <c r="AO90" s="45">
        <f t="shared" si="42"/>
        <v>53412.445452399224</v>
      </c>
      <c r="AP90" s="43" t="str">
        <f t="shared" si="43"/>
        <v>Widely Accessible</v>
      </c>
      <c r="AQ90" s="45">
        <f>IF(AP90="None", AK90*'[1]Gavi Simplified'!$Y$3, IF(AP90="Limited", AK90*'[1]Gavi Simplified'!$Y$4, IF(AP90="Accessible", AK90*'[1]Gavi Simplified'!$Y$5, AK90)))</f>
        <v>578.25977006158655</v>
      </c>
      <c r="AR90" s="45">
        <f t="shared" si="44"/>
        <v>213649.7818095969</v>
      </c>
      <c r="AS90" s="45">
        <f t="shared" si="45"/>
        <v>61042.79480274197</v>
      </c>
      <c r="AT90" s="45">
        <f t="shared" si="46"/>
        <v>42729.95636191938</v>
      </c>
      <c r="AU90" s="45">
        <f t="shared" si="47"/>
        <v>53412.445452399224</v>
      </c>
      <c r="AV90" s="45">
        <f t="shared" si="48"/>
        <v>202967.29271911705</v>
      </c>
      <c r="AW90" s="45">
        <f t="shared" si="49"/>
        <v>53412.445452399224</v>
      </c>
      <c r="AX90" s="45">
        <f t="shared" si="50"/>
        <v>53412.445452399224</v>
      </c>
      <c r="AY90" s="45">
        <f t="shared" si="51"/>
        <v>53412.445452399224</v>
      </c>
      <c r="AZ90" s="45">
        <f t="shared" si="52"/>
        <v>53412.445452399224</v>
      </c>
      <c r="BA90" s="45">
        <f t="shared" si="53"/>
        <v>53412.445452399224</v>
      </c>
    </row>
    <row r="91" spans="2:53" x14ac:dyDescent="0.2">
      <c r="B91" s="70" t="s">
        <v>578</v>
      </c>
      <c r="C91" s="57" t="s">
        <v>124</v>
      </c>
      <c r="D91" s="32">
        <v>17763163</v>
      </c>
      <c r="E91" s="58" t="s">
        <v>125</v>
      </c>
      <c r="F91" s="58" t="s">
        <v>307</v>
      </c>
      <c r="G91" s="59" t="s">
        <v>579</v>
      </c>
      <c r="H91" s="59" t="s">
        <v>580</v>
      </c>
      <c r="I91" s="59" t="s">
        <v>129</v>
      </c>
      <c r="J91" s="59" t="s">
        <v>157</v>
      </c>
      <c r="K91" s="59" t="s">
        <v>581</v>
      </c>
      <c r="L91" s="59" t="s">
        <v>442</v>
      </c>
      <c r="M91" s="13" t="str">
        <f t="shared" si="27"/>
        <v>6.89</v>
      </c>
      <c r="N91" s="13" t="str">
        <f t="shared" si="28"/>
        <v>4</v>
      </c>
      <c r="O91" s="13">
        <f t="shared" si="29"/>
        <v>6.89</v>
      </c>
      <c r="P91" s="13">
        <f t="shared" si="30"/>
        <v>-4</v>
      </c>
      <c r="Q91" s="13">
        <f t="shared" si="31"/>
        <v>6.8900000000000005E-4</v>
      </c>
      <c r="R91" s="13" t="str">
        <f t="shared" si="32"/>
        <v>7.51</v>
      </c>
      <c r="S91" s="13" t="str">
        <f t="shared" si="33"/>
        <v>3</v>
      </c>
      <c r="T91" s="13">
        <f t="shared" si="34"/>
        <v>7.51</v>
      </c>
      <c r="U91" s="13">
        <f t="shared" si="35"/>
        <v>-3</v>
      </c>
      <c r="V91" s="49">
        <f t="shared" si="36"/>
        <v>7.5100000000000002E-3</v>
      </c>
      <c r="W91" s="50">
        <v>0.72502233664970028</v>
      </c>
      <c r="X91" s="50">
        <v>0.51658656270220538</v>
      </c>
      <c r="Y91" s="50">
        <v>0.89391179219629635</v>
      </c>
      <c r="Z91" s="51">
        <v>131.69374710520151</v>
      </c>
      <c r="AA91" s="51">
        <v>93.833274793738312</v>
      </c>
      <c r="AB91" s="52">
        <v>162.37098851305461</v>
      </c>
      <c r="AC91" s="4">
        <v>290</v>
      </c>
      <c r="AD91" s="4">
        <v>435</v>
      </c>
      <c r="AE91" s="4">
        <v>580</v>
      </c>
      <c r="AF91" s="53">
        <v>0.72</v>
      </c>
      <c r="AG91" s="54">
        <v>1.45</v>
      </c>
      <c r="AH91" s="67">
        <v>34</v>
      </c>
      <c r="AI91" s="68">
        <v>2</v>
      </c>
      <c r="AJ91" s="44">
        <f t="shared" si="37"/>
        <v>4.1365680080600056E-2</v>
      </c>
      <c r="AK91" s="45">
        <f t="shared" si="38"/>
        <v>155.54832000194347</v>
      </c>
      <c r="AL91" s="45">
        <f t="shared" si="39"/>
        <v>27630.301625706823</v>
      </c>
      <c r="AM91" s="45">
        <f t="shared" si="40"/>
        <v>7894.3718930590921</v>
      </c>
      <c r="AN91" s="45">
        <f t="shared" si="41"/>
        <v>5526.060325141364</v>
      </c>
      <c r="AO91" s="45">
        <f t="shared" si="42"/>
        <v>6907.5754064267048</v>
      </c>
      <c r="AP91" s="43" t="str">
        <f t="shared" si="43"/>
        <v>Limited</v>
      </c>
      <c r="AQ91" s="45">
        <f>IF(AP91="None", AK91*'[1]Gavi Simplified'!$Y$3, IF(AP91="Limited", AK91*'[1]Gavi Simplified'!$Y$4, IF(AP91="Accessible", AK91*'[1]Gavi Simplified'!$Y$5, AK91)))</f>
        <v>541.91816097385322</v>
      </c>
      <c r="AR91" s="45">
        <f t="shared" si="44"/>
        <v>96261.806260387937</v>
      </c>
      <c r="AS91" s="45">
        <f t="shared" si="45"/>
        <v>27503.373217253695</v>
      </c>
      <c r="AT91" s="45">
        <f t="shared" si="46"/>
        <v>19252.361252077586</v>
      </c>
      <c r="AU91" s="45">
        <f t="shared" si="47"/>
        <v>24065.451565096984</v>
      </c>
      <c r="AV91" s="45">
        <f t="shared" si="48"/>
        <v>74290.839788698257</v>
      </c>
      <c r="AW91" s="45">
        <f t="shared" si="49"/>
        <v>6907.5754064267048</v>
      </c>
      <c r="AX91" s="45">
        <f t="shared" si="50"/>
        <v>9626.180626038793</v>
      </c>
      <c r="AY91" s="45">
        <f t="shared" si="51"/>
        <v>14439.270939058191</v>
      </c>
      <c r="AZ91" s="45">
        <f t="shared" si="52"/>
        <v>19252.361252077586</v>
      </c>
      <c r="BA91" s="45">
        <f t="shared" si="53"/>
        <v>24065.451565096984</v>
      </c>
    </row>
    <row r="92" spans="2:53" x14ac:dyDescent="0.2">
      <c r="B92" s="69" t="s">
        <v>582</v>
      </c>
      <c r="C92" s="64" t="s">
        <v>124</v>
      </c>
      <c r="D92" s="32">
        <v>8791092</v>
      </c>
      <c r="E92" s="47" t="s">
        <v>125</v>
      </c>
      <c r="F92" s="47" t="s">
        <v>126</v>
      </c>
      <c r="G92" s="48" t="s">
        <v>583</v>
      </c>
      <c r="H92" s="48" t="s">
        <v>584</v>
      </c>
      <c r="I92" s="48" t="s">
        <v>129</v>
      </c>
      <c r="J92" s="48" t="s">
        <v>130</v>
      </c>
      <c r="K92" s="48" t="s">
        <v>304</v>
      </c>
      <c r="L92" s="48" t="s">
        <v>412</v>
      </c>
      <c r="M92" s="13" t="str">
        <f t="shared" si="27"/>
        <v>7.25</v>
      </c>
      <c r="N92" s="13" t="str">
        <f t="shared" si="28"/>
        <v>4</v>
      </c>
      <c r="O92" s="13">
        <f t="shared" si="29"/>
        <v>7.25</v>
      </c>
      <c r="P92" s="13">
        <f t="shared" si="30"/>
        <v>-4</v>
      </c>
      <c r="Q92" s="13">
        <f t="shared" si="31"/>
        <v>7.2500000000000006E-4</v>
      </c>
      <c r="R92" s="13" t="str">
        <f t="shared" si="32"/>
        <v>7.25</v>
      </c>
      <c r="S92" s="13" t="str">
        <f t="shared" si="33"/>
        <v>3</v>
      </c>
      <c r="T92" s="13">
        <f t="shared" si="34"/>
        <v>7.25</v>
      </c>
      <c r="U92" s="13">
        <f t="shared" si="35"/>
        <v>-3</v>
      </c>
      <c r="V92" s="49">
        <f t="shared" si="36"/>
        <v>7.2500000000000004E-3</v>
      </c>
      <c r="W92" s="50">
        <v>3.9489553409813598</v>
      </c>
      <c r="X92" s="50">
        <v>2.6660362952895729</v>
      </c>
      <c r="Y92" s="50">
        <v>4.7415065554944968</v>
      </c>
      <c r="Z92" s="51">
        <v>335.40487419214958</v>
      </c>
      <c r="AA92" s="51">
        <v>226.4400305907447</v>
      </c>
      <c r="AB92" s="52">
        <v>402.72028230424883</v>
      </c>
      <c r="AC92" s="4">
        <v>130</v>
      </c>
      <c r="AD92" s="4">
        <v>198</v>
      </c>
      <c r="AE92" s="4">
        <v>273</v>
      </c>
      <c r="AF92" s="53">
        <v>1.69</v>
      </c>
      <c r="AG92" s="54">
        <v>3.56</v>
      </c>
      <c r="AH92" s="55">
        <v>30.9</v>
      </c>
      <c r="AI92" s="43">
        <v>1</v>
      </c>
      <c r="AJ92" s="44">
        <f t="shared" si="37"/>
        <v>2.9684304772750206E-2</v>
      </c>
      <c r="AK92" s="45">
        <f t="shared" si="38"/>
        <v>90.525895796583882</v>
      </c>
      <c r="AL92" s="45">
        <f t="shared" si="39"/>
        <v>7958.2147833018225</v>
      </c>
      <c r="AM92" s="45">
        <f t="shared" si="40"/>
        <v>2273.7756523719495</v>
      </c>
      <c r="AN92" s="45">
        <f t="shared" si="41"/>
        <v>1591.6429566603645</v>
      </c>
      <c r="AO92" s="45">
        <f t="shared" si="42"/>
        <v>1989.5536958254556</v>
      </c>
      <c r="AP92" s="43" t="str">
        <f t="shared" si="43"/>
        <v>None</v>
      </c>
      <c r="AQ92" s="45">
        <f>IF(AP92="None", AK92*'[1]Gavi Simplified'!$Y$3, IF(AP92="Limited", AK92*'[1]Gavi Simplified'!$Y$4, IF(AP92="Accessible", AK92*'[1]Gavi Simplified'!$Y$5, AK92)))</f>
        <v>382.96041063872661</v>
      </c>
      <c r="AR92" s="45">
        <f t="shared" si="44"/>
        <v>33666.402022828246</v>
      </c>
      <c r="AS92" s="45">
        <f t="shared" si="45"/>
        <v>9618.9720065223555</v>
      </c>
      <c r="AT92" s="45">
        <f t="shared" si="46"/>
        <v>6733.2804045656485</v>
      </c>
      <c r="AU92" s="45">
        <f t="shared" si="47"/>
        <v>8416.6005057070615</v>
      </c>
      <c r="AV92" s="45">
        <f t="shared" si="48"/>
        <v>25556.035111805228</v>
      </c>
      <c r="AW92" s="45">
        <f t="shared" si="49"/>
        <v>1989.5536958254556</v>
      </c>
      <c r="AX92" s="45">
        <f t="shared" si="50"/>
        <v>3366.6402022828242</v>
      </c>
      <c r="AY92" s="45">
        <f t="shared" si="51"/>
        <v>5049.9603034242364</v>
      </c>
      <c r="AZ92" s="45">
        <f t="shared" si="52"/>
        <v>6733.2804045656485</v>
      </c>
      <c r="BA92" s="45">
        <f t="shared" si="53"/>
        <v>8416.6005057070615</v>
      </c>
    </row>
    <row r="93" spans="2:53" x14ac:dyDescent="0.2">
      <c r="B93" s="60" t="s">
        <v>585</v>
      </c>
      <c r="C93" s="61" t="s">
        <v>153</v>
      </c>
      <c r="D93" s="32">
        <v>18143378</v>
      </c>
      <c r="E93" s="58" t="s">
        <v>224</v>
      </c>
      <c r="F93" s="58" t="s">
        <v>191</v>
      </c>
      <c r="G93" s="59" t="s">
        <v>586</v>
      </c>
      <c r="H93" s="59" t="s">
        <v>587</v>
      </c>
      <c r="I93" s="59" t="s">
        <v>228</v>
      </c>
      <c r="J93" s="59" t="s">
        <v>64</v>
      </c>
      <c r="K93" s="59" t="s">
        <v>588</v>
      </c>
      <c r="L93" s="59" t="s">
        <v>230</v>
      </c>
      <c r="M93" s="13" t="str">
        <f t="shared" si="27"/>
        <v>7.48</v>
      </c>
      <c r="N93" s="13" t="str">
        <f t="shared" si="28"/>
        <v>4</v>
      </c>
      <c r="O93" s="13">
        <f t="shared" si="29"/>
        <v>7.48</v>
      </c>
      <c r="P93" s="13">
        <f t="shared" si="30"/>
        <v>-4</v>
      </c>
      <c r="Q93" s="13">
        <f t="shared" si="31"/>
        <v>7.4800000000000008E-4</v>
      </c>
      <c r="R93" s="13" t="str">
        <f t="shared" si="32"/>
        <v>7.59</v>
      </c>
      <c r="S93" s="13" t="str">
        <f t="shared" si="33"/>
        <v>3</v>
      </c>
      <c r="T93" s="13">
        <f t="shared" si="34"/>
        <v>7.59</v>
      </c>
      <c r="U93" s="13">
        <f t="shared" si="35"/>
        <v>-3</v>
      </c>
      <c r="V93" s="49">
        <f t="shared" si="36"/>
        <v>7.5900000000000004E-3</v>
      </c>
      <c r="W93" s="50">
        <v>4.7078602082186638</v>
      </c>
      <c r="X93" s="50">
        <v>3.1576094152272058</v>
      </c>
      <c r="Y93" s="50">
        <v>5.7299379820270433</v>
      </c>
      <c r="Z93" s="51">
        <v>813.70008636586192</v>
      </c>
      <c r="AA93" s="51">
        <v>545.75687047687688</v>
      </c>
      <c r="AB93" s="52">
        <v>990.3546037129662</v>
      </c>
      <c r="AC93" s="4">
        <v>338</v>
      </c>
      <c r="AD93" s="4">
        <v>492</v>
      </c>
      <c r="AE93" s="4">
        <v>660</v>
      </c>
      <c r="AF93" s="53" t="e">
        <v>#N/A</v>
      </c>
      <c r="AG93" s="54" t="e">
        <v>#N/A</v>
      </c>
      <c r="AH93" s="55">
        <v>16.7</v>
      </c>
      <c r="AI93" s="43">
        <v>3</v>
      </c>
      <c r="AJ93" s="44">
        <f t="shared" si="37"/>
        <v>3.5071682056103839E-3</v>
      </c>
      <c r="AK93" s="45">
        <f t="shared" si="38"/>
        <v>10</v>
      </c>
      <c r="AL93" s="45">
        <f t="shared" si="39"/>
        <v>1814.3378</v>
      </c>
      <c r="AM93" s="45">
        <f t="shared" si="40"/>
        <v>518.38222857142853</v>
      </c>
      <c r="AN93" s="45">
        <f t="shared" si="41"/>
        <v>362.86755999999997</v>
      </c>
      <c r="AO93" s="45">
        <f t="shared" si="42"/>
        <v>453.58444999999995</v>
      </c>
      <c r="AP93" s="43" t="str">
        <f t="shared" si="43"/>
        <v>None</v>
      </c>
      <c r="AQ93" s="45">
        <f>IF(AP93="None", AK93*'[1]Gavi Simplified'!$Y$3, IF(AP93="Limited", AK93*'[1]Gavi Simplified'!$Y$4, IF(AP93="Accessible", AK93*'[1]Gavi Simplified'!$Y$5, AK93)))</f>
        <v>42.303962558874574</v>
      </c>
      <c r="AR93" s="45">
        <f t="shared" si="44"/>
        <v>7675.3678360350868</v>
      </c>
      <c r="AS93" s="45">
        <f t="shared" si="45"/>
        <v>2192.9622388671678</v>
      </c>
      <c r="AT93" s="45">
        <f t="shared" si="46"/>
        <v>1535.0735672070173</v>
      </c>
      <c r="AU93" s="45">
        <f t="shared" si="47"/>
        <v>1918.8419590087715</v>
      </c>
      <c r="AV93" s="45">
        <f t="shared" si="48"/>
        <v>5826.3419352245601</v>
      </c>
      <c r="AW93" s="45">
        <f t="shared" si="49"/>
        <v>453.58444999999995</v>
      </c>
      <c r="AX93" s="45">
        <f t="shared" si="50"/>
        <v>767.53678360350852</v>
      </c>
      <c r="AY93" s="45">
        <f t="shared" si="51"/>
        <v>1151.3051754052628</v>
      </c>
      <c r="AZ93" s="45">
        <f t="shared" si="52"/>
        <v>1535.073567207017</v>
      </c>
      <c r="BA93" s="45">
        <f t="shared" si="53"/>
        <v>1918.8419590087715</v>
      </c>
    </row>
    <row r="94" spans="2:53" x14ac:dyDescent="0.2">
      <c r="B94" s="62" t="s">
        <v>589</v>
      </c>
      <c r="C94" s="46" t="s">
        <v>153</v>
      </c>
      <c r="D94" s="32">
        <v>60414495</v>
      </c>
      <c r="E94" s="47" t="s">
        <v>321</v>
      </c>
      <c r="F94" s="47" t="s">
        <v>590</v>
      </c>
      <c r="G94" s="48" t="s">
        <v>465</v>
      </c>
      <c r="H94" s="48" t="s">
        <v>364</v>
      </c>
      <c r="I94" s="48" t="s">
        <v>325</v>
      </c>
      <c r="J94" s="48" t="s">
        <v>591</v>
      </c>
      <c r="K94" s="48" t="s">
        <v>592</v>
      </c>
      <c r="L94" s="48" t="s">
        <v>593</v>
      </c>
      <c r="M94" s="13" t="str">
        <f t="shared" si="27"/>
        <v>1.06</v>
      </c>
      <c r="N94" s="13" t="str">
        <f t="shared" si="28"/>
        <v>4</v>
      </c>
      <c r="O94" s="13">
        <f t="shared" si="29"/>
        <v>1.06</v>
      </c>
      <c r="P94" s="13">
        <f t="shared" si="30"/>
        <v>-4</v>
      </c>
      <c r="Q94" s="13">
        <f t="shared" si="31"/>
        <v>1.0600000000000002E-4</v>
      </c>
      <c r="R94" s="13" t="str">
        <f t="shared" si="32"/>
        <v>1.12</v>
      </c>
      <c r="S94" s="13" t="str">
        <f t="shared" si="33"/>
        <v>3</v>
      </c>
      <c r="T94" s="13">
        <f t="shared" si="34"/>
        <v>1.1200000000000001</v>
      </c>
      <c r="U94" s="13">
        <f t="shared" si="35"/>
        <v>-3</v>
      </c>
      <c r="V94" s="49">
        <f t="shared" si="36"/>
        <v>1.1200000000000001E-3</v>
      </c>
      <c r="W94" s="50">
        <v>8.5799363899204645E-2</v>
      </c>
      <c r="X94" s="50">
        <v>4.5940728521549852E-2</v>
      </c>
      <c r="Y94" s="50">
        <v>0.14400216349852599</v>
      </c>
      <c r="Z94" s="51">
        <v>52.987350558269199</v>
      </c>
      <c r="AA94" s="51">
        <v>28.371742824729779</v>
      </c>
      <c r="AB94" s="52">
        <v>88.931814545962254</v>
      </c>
      <c r="AC94" s="4" t="e">
        <v>#N/A</v>
      </c>
      <c r="AD94" s="4" t="e">
        <v>#N/A</v>
      </c>
      <c r="AE94" s="4" t="e">
        <v>#N/A</v>
      </c>
      <c r="AF94" s="53" t="e">
        <v>#N/A</v>
      </c>
      <c r="AG94" s="54" t="e">
        <v>#N/A</v>
      </c>
      <c r="AH94" s="55">
        <v>44.6</v>
      </c>
      <c r="AI94" s="43"/>
      <c r="AJ94" s="44">
        <f t="shared" si="37"/>
        <v>0.1060977946556122</v>
      </c>
      <c r="AK94" s="45">
        <f t="shared" si="38"/>
        <v>340.11475220077546</v>
      </c>
      <c r="AL94" s="45">
        <f t="shared" si="39"/>
        <v>205478.60996259988</v>
      </c>
      <c r="AM94" s="45">
        <f t="shared" si="40"/>
        <v>58708.174275028534</v>
      </c>
      <c r="AN94" s="45">
        <f t="shared" si="41"/>
        <v>41095.721992519968</v>
      </c>
      <c r="AO94" s="45">
        <f t="shared" si="42"/>
        <v>51369.652490649962</v>
      </c>
      <c r="AP94" s="43" t="str">
        <f t="shared" si="43"/>
        <v>Accessible</v>
      </c>
      <c r="AQ94" s="45">
        <f>IF(AP94="None", AK94*'[1]Gavi Simplified'!$Y$3, IF(AP94="Limited", AK94*'[1]Gavi Simplified'!$Y$4, IF(AP94="Accessible", AK94*'[1]Gavi Simplified'!$Y$5, AK94)))</f>
        <v>1054.0453026707794</v>
      </c>
      <c r="AR94" s="45">
        <f t="shared" si="44"/>
        <v>636796.14667977288</v>
      </c>
      <c r="AS94" s="45">
        <f t="shared" si="45"/>
        <v>181941.75619422083</v>
      </c>
      <c r="AT94" s="45">
        <f t="shared" si="46"/>
        <v>127359.22933595457</v>
      </c>
      <c r="AU94" s="45">
        <f t="shared" si="47"/>
        <v>159199.03666994322</v>
      </c>
      <c r="AV94" s="45">
        <f t="shared" si="48"/>
        <v>497126.95516649098</v>
      </c>
      <c r="AW94" s="45">
        <f t="shared" si="49"/>
        <v>51369.652490649962</v>
      </c>
      <c r="AX94" s="45">
        <f t="shared" si="50"/>
        <v>63679.614667977286</v>
      </c>
      <c r="AY94" s="45">
        <f t="shared" si="51"/>
        <v>95519.422001965926</v>
      </c>
      <c r="AZ94" s="45">
        <f t="shared" si="52"/>
        <v>127359.22933595457</v>
      </c>
      <c r="BA94" s="45">
        <f t="shared" si="53"/>
        <v>159199.03666994322</v>
      </c>
    </row>
    <row r="95" spans="2:53" x14ac:dyDescent="0.2">
      <c r="B95" s="71" t="s">
        <v>594</v>
      </c>
      <c r="C95" s="57" t="s">
        <v>459</v>
      </c>
      <c r="D95" s="32">
        <v>21893579</v>
      </c>
      <c r="E95" s="58" t="s">
        <v>595</v>
      </c>
      <c r="F95" s="58" t="s">
        <v>596</v>
      </c>
      <c r="G95" s="59" t="s">
        <v>173</v>
      </c>
      <c r="H95" s="59" t="s">
        <v>597</v>
      </c>
      <c r="I95" s="59" t="s">
        <v>598</v>
      </c>
      <c r="J95" s="59" t="s">
        <v>599</v>
      </c>
      <c r="K95" s="59" t="s">
        <v>600</v>
      </c>
      <c r="L95" s="59" t="s">
        <v>601</v>
      </c>
      <c r="M95" s="13" t="str">
        <f t="shared" si="27"/>
        <v>1.93</v>
      </c>
      <c r="N95" s="13" t="str">
        <f t="shared" si="28"/>
        <v>4</v>
      </c>
      <c r="O95" s="13">
        <f t="shared" si="29"/>
        <v>1.93</v>
      </c>
      <c r="P95" s="13">
        <f t="shared" si="30"/>
        <v>-4</v>
      </c>
      <c r="Q95" s="13">
        <f t="shared" si="31"/>
        <v>1.93E-4</v>
      </c>
      <c r="R95" s="13" t="str">
        <f t="shared" si="32"/>
        <v>2.03</v>
      </c>
      <c r="S95" s="13" t="str">
        <f t="shared" si="33"/>
        <v>3</v>
      </c>
      <c r="T95" s="13">
        <f t="shared" si="34"/>
        <v>2.0299999999999998</v>
      </c>
      <c r="U95" s="13">
        <f t="shared" si="35"/>
        <v>-3</v>
      </c>
      <c r="V95" s="49">
        <f t="shared" si="36"/>
        <v>2.0299999999999997E-3</v>
      </c>
      <c r="W95" s="50">
        <v>3.9804970271132077E-2</v>
      </c>
      <c r="X95" s="50">
        <v>2.1985597165821848E-2</v>
      </c>
      <c r="Y95" s="50">
        <v>8.0245340141764016E-2</v>
      </c>
      <c r="Z95" s="51">
        <v>8.8930461345235567</v>
      </c>
      <c r="AA95" s="51">
        <v>4.9119225202009771</v>
      </c>
      <c r="AB95" s="52">
        <v>17.92805036909645</v>
      </c>
      <c r="AC95" s="4">
        <v>140</v>
      </c>
      <c r="AD95" s="4">
        <v>203</v>
      </c>
      <c r="AE95" s="4">
        <v>273</v>
      </c>
      <c r="AF95" s="53" t="e">
        <v>#N/A</v>
      </c>
      <c r="AG95" s="54" t="e">
        <v>#N/A</v>
      </c>
      <c r="AH95" s="55">
        <v>60.5</v>
      </c>
      <c r="AI95" s="43"/>
      <c r="AJ95" s="44">
        <f t="shared" si="37"/>
        <v>0.30572061569480347</v>
      </c>
      <c r="AK95" s="45">
        <f t="shared" si="38"/>
        <v>547.48980542882555</v>
      </c>
      <c r="AL95" s="45">
        <f t="shared" si="39"/>
        <v>119865.11306850619</v>
      </c>
      <c r="AM95" s="45">
        <f t="shared" si="40"/>
        <v>34247.175162430343</v>
      </c>
      <c r="AN95" s="45">
        <f t="shared" si="41"/>
        <v>23973.02261370124</v>
      </c>
      <c r="AO95" s="45">
        <f t="shared" si="42"/>
        <v>29966.278267126549</v>
      </c>
      <c r="AP95" s="43" t="str">
        <f t="shared" si="43"/>
        <v>Widely Accessible</v>
      </c>
      <c r="AQ95" s="45">
        <f>IF(AP95="None", AK95*'[1]Gavi Simplified'!$Y$3, IF(AP95="Limited", AK95*'[1]Gavi Simplified'!$Y$4, IF(AP95="Accessible", AK95*'[1]Gavi Simplified'!$Y$5, AK95)))</f>
        <v>547.48980542882555</v>
      </c>
      <c r="AR95" s="45">
        <f t="shared" si="44"/>
        <v>119865.11306850619</v>
      </c>
      <c r="AS95" s="45">
        <f t="shared" si="45"/>
        <v>34247.175162430343</v>
      </c>
      <c r="AT95" s="45">
        <f t="shared" si="46"/>
        <v>23973.02261370124</v>
      </c>
      <c r="AU95" s="45">
        <f t="shared" si="47"/>
        <v>29966.278267126549</v>
      </c>
      <c r="AV95" s="45">
        <f t="shared" si="48"/>
        <v>113871.85741508089</v>
      </c>
      <c r="AW95" s="45">
        <f t="shared" si="49"/>
        <v>29966.278267126549</v>
      </c>
      <c r="AX95" s="45">
        <f t="shared" si="50"/>
        <v>29966.278267126549</v>
      </c>
      <c r="AY95" s="45">
        <f t="shared" si="51"/>
        <v>29966.278267126549</v>
      </c>
      <c r="AZ95" s="45">
        <f t="shared" si="52"/>
        <v>29966.278267126549</v>
      </c>
      <c r="BA95" s="45">
        <f t="shared" si="53"/>
        <v>29966.278267126549</v>
      </c>
    </row>
    <row r="96" spans="2:53" x14ac:dyDescent="0.2">
      <c r="B96" s="12" t="s">
        <v>602</v>
      </c>
      <c r="C96" s="46" t="s">
        <v>48</v>
      </c>
      <c r="D96" s="32">
        <v>48109006</v>
      </c>
      <c r="E96" s="47" t="s">
        <v>505</v>
      </c>
      <c r="F96" s="47" t="s">
        <v>184</v>
      </c>
      <c r="G96" s="48" t="s">
        <v>603</v>
      </c>
      <c r="H96" s="48" t="s">
        <v>62</v>
      </c>
      <c r="I96" s="48" t="s">
        <v>604</v>
      </c>
      <c r="J96" s="48" t="s">
        <v>464</v>
      </c>
      <c r="K96" s="48" t="s">
        <v>605</v>
      </c>
      <c r="L96" s="48" t="s">
        <v>195</v>
      </c>
      <c r="M96" s="13" t="str">
        <f t="shared" si="27"/>
        <v>6.96</v>
      </c>
      <c r="N96" s="13" t="str">
        <f t="shared" si="28"/>
        <v>4</v>
      </c>
      <c r="O96" s="13">
        <f t="shared" si="29"/>
        <v>6.96</v>
      </c>
      <c r="P96" s="13">
        <f t="shared" si="30"/>
        <v>-4</v>
      </c>
      <c r="Q96" s="13">
        <f t="shared" si="31"/>
        <v>6.96E-4</v>
      </c>
      <c r="R96" s="13" t="str">
        <f t="shared" si="32"/>
        <v>7.50</v>
      </c>
      <c r="S96" s="13" t="str">
        <f t="shared" si="33"/>
        <v>3</v>
      </c>
      <c r="T96" s="13">
        <f t="shared" si="34"/>
        <v>7.5</v>
      </c>
      <c r="U96" s="13">
        <f t="shared" si="35"/>
        <v>-3</v>
      </c>
      <c r="V96" s="49">
        <f t="shared" si="36"/>
        <v>7.4999999999999997E-3</v>
      </c>
      <c r="W96" s="50">
        <v>1.2582488285109861</v>
      </c>
      <c r="X96" s="50">
        <v>0.91857133210070341</v>
      </c>
      <c r="Y96" s="50">
        <v>1.512408832770604</v>
      </c>
      <c r="Z96" s="51">
        <v>592.1055227224582</v>
      </c>
      <c r="AA96" s="51">
        <v>432.26041338341111</v>
      </c>
      <c r="AB96" s="52">
        <v>711.70789291132826</v>
      </c>
      <c r="AC96" s="4" t="e">
        <v>#N/A</v>
      </c>
      <c r="AD96" s="4" t="e">
        <v>#N/A</v>
      </c>
      <c r="AE96" s="4" t="e">
        <v>#N/A</v>
      </c>
      <c r="AF96" s="53" t="e">
        <v>#N/A</v>
      </c>
      <c r="AG96" s="54" t="e">
        <v>#N/A</v>
      </c>
      <c r="AH96" s="55">
        <v>43.9</v>
      </c>
      <c r="AI96" s="43">
        <v>3</v>
      </c>
      <c r="AJ96" s="44">
        <f t="shared" si="37"/>
        <v>0.10042922214736329</v>
      </c>
      <c r="AK96" s="45">
        <f t="shared" si="38"/>
        <v>329.35556737357501</v>
      </c>
      <c r="AL96" s="45">
        <f t="shared" si="39"/>
        <v>158449.68966908724</v>
      </c>
      <c r="AM96" s="45">
        <f t="shared" si="40"/>
        <v>45271.339905453497</v>
      </c>
      <c r="AN96" s="45">
        <f t="shared" si="41"/>
        <v>31689.937933817444</v>
      </c>
      <c r="AO96" s="45">
        <f t="shared" si="42"/>
        <v>39612.422417271802</v>
      </c>
      <c r="AP96" s="43" t="str">
        <f t="shared" si="43"/>
        <v>Accessible</v>
      </c>
      <c r="AQ96" s="45">
        <f>IF(AP96="None", AK96*'[1]Gavi Simplified'!$Y$3, IF(AP96="Limited", AK96*'[1]Gavi Simplified'!$Y$4, IF(AP96="Accessible", AK96*'[1]Gavi Simplified'!$Y$5, AK96)))</f>
        <v>1020.7016498174544</v>
      </c>
      <c r="AR96" s="45">
        <f t="shared" si="44"/>
        <v>491049.41795277817</v>
      </c>
      <c r="AS96" s="45">
        <f t="shared" si="45"/>
        <v>140299.83370079377</v>
      </c>
      <c r="AT96" s="45">
        <f t="shared" si="46"/>
        <v>98209.883590555633</v>
      </c>
      <c r="AU96" s="45">
        <f t="shared" si="47"/>
        <v>122762.35448819454</v>
      </c>
      <c r="AV96" s="45">
        <f t="shared" si="48"/>
        <v>383347.01498421654</v>
      </c>
      <c r="AW96" s="45">
        <f t="shared" si="49"/>
        <v>39612.422417271802</v>
      </c>
      <c r="AX96" s="45">
        <f t="shared" si="50"/>
        <v>49104.941795277809</v>
      </c>
      <c r="AY96" s="45">
        <f t="shared" si="51"/>
        <v>73657.412692916711</v>
      </c>
      <c r="AZ96" s="45">
        <f t="shared" si="52"/>
        <v>98209.883590555619</v>
      </c>
      <c r="BA96" s="45">
        <f t="shared" si="53"/>
        <v>122762.35448819454</v>
      </c>
    </row>
    <row r="97" spans="2:53" x14ac:dyDescent="0.2">
      <c r="B97" s="60" t="s">
        <v>606</v>
      </c>
      <c r="C97" s="61" t="s">
        <v>104</v>
      </c>
      <c r="D97" s="32">
        <v>23227014</v>
      </c>
      <c r="E97" s="58" t="s">
        <v>105</v>
      </c>
      <c r="F97" s="58" t="s">
        <v>607</v>
      </c>
      <c r="G97" s="59" t="s">
        <v>608</v>
      </c>
      <c r="H97" s="59" t="s">
        <v>375</v>
      </c>
      <c r="I97" s="59" t="s">
        <v>109</v>
      </c>
      <c r="J97" s="59" t="s">
        <v>211</v>
      </c>
      <c r="K97" s="59" t="s">
        <v>609</v>
      </c>
      <c r="L97" s="59" t="s">
        <v>112</v>
      </c>
      <c r="M97" s="13" t="str">
        <f t="shared" si="27"/>
        <v>4.77</v>
      </c>
      <c r="N97" s="13" t="str">
        <f t="shared" si="28"/>
        <v>4</v>
      </c>
      <c r="O97" s="13">
        <f t="shared" si="29"/>
        <v>4.7699999999999996</v>
      </c>
      <c r="P97" s="13">
        <f t="shared" si="30"/>
        <v>-4</v>
      </c>
      <c r="Q97" s="13">
        <f t="shared" si="31"/>
        <v>4.7699999999999999E-4</v>
      </c>
      <c r="R97" s="13" t="str">
        <f t="shared" si="32"/>
        <v>5.33</v>
      </c>
      <c r="S97" s="13" t="str">
        <f t="shared" si="33"/>
        <v>3</v>
      </c>
      <c r="T97" s="13">
        <f t="shared" si="34"/>
        <v>5.33</v>
      </c>
      <c r="U97" s="13">
        <f t="shared" si="35"/>
        <v>-3</v>
      </c>
      <c r="V97" s="49">
        <f t="shared" si="36"/>
        <v>5.3300000000000005E-3</v>
      </c>
      <c r="W97" s="50">
        <v>0.28819012285414791</v>
      </c>
      <c r="X97" s="50">
        <v>0.2034434730161582</v>
      </c>
      <c r="Y97" s="50">
        <v>0.53467353609946178</v>
      </c>
      <c r="Z97" s="51">
        <v>51.120023579458213</v>
      </c>
      <c r="AA97" s="51">
        <v>36.087410056507387</v>
      </c>
      <c r="AB97" s="52">
        <v>94.841986609477573</v>
      </c>
      <c r="AC97" s="4" t="e">
        <v>#N/A</v>
      </c>
      <c r="AD97" s="4" t="e">
        <v>#N/A</v>
      </c>
      <c r="AE97" s="4" t="e">
        <v>#N/A</v>
      </c>
      <c r="AF97" s="53" t="e">
        <v>#N/A</v>
      </c>
      <c r="AG97" s="54" t="e">
        <v>#N/A</v>
      </c>
      <c r="AH97" s="55">
        <v>60.2</v>
      </c>
      <c r="AI97" s="43"/>
      <c r="AJ97" s="44">
        <f t="shared" si="37"/>
        <v>0.30049099182350825</v>
      </c>
      <c r="AK97" s="45">
        <f t="shared" si="38"/>
        <v>544.10892025632529</v>
      </c>
      <c r="AL97" s="45">
        <f t="shared" si="39"/>
        <v>126380.25508318552</v>
      </c>
      <c r="AM97" s="45">
        <f t="shared" si="40"/>
        <v>36108.644309481577</v>
      </c>
      <c r="AN97" s="45">
        <f t="shared" si="41"/>
        <v>25276.051016637102</v>
      </c>
      <c r="AO97" s="45">
        <f t="shared" si="42"/>
        <v>31595.063770796376</v>
      </c>
      <c r="AP97" s="43" t="str">
        <f t="shared" si="43"/>
        <v>Widely Accessible</v>
      </c>
      <c r="AQ97" s="45">
        <f>IF(AP97="None", AK97*'[1]Gavi Simplified'!$Y$3, IF(AP97="Limited", AK97*'[1]Gavi Simplified'!$Y$4, IF(AP97="Accessible", AK97*'[1]Gavi Simplified'!$Y$5, AK97)))</f>
        <v>544.10892025632529</v>
      </c>
      <c r="AR97" s="45">
        <f t="shared" si="44"/>
        <v>126380.25508318552</v>
      </c>
      <c r="AS97" s="45">
        <f t="shared" si="45"/>
        <v>36108.644309481577</v>
      </c>
      <c r="AT97" s="45">
        <f t="shared" si="46"/>
        <v>25276.051016637102</v>
      </c>
      <c r="AU97" s="45">
        <f t="shared" si="47"/>
        <v>31595.063770796376</v>
      </c>
      <c r="AV97" s="45">
        <f t="shared" si="48"/>
        <v>120061.24232902622</v>
      </c>
      <c r="AW97" s="45">
        <f t="shared" si="49"/>
        <v>31595.063770796376</v>
      </c>
      <c r="AX97" s="45">
        <f t="shared" si="50"/>
        <v>31595.063770796376</v>
      </c>
      <c r="AY97" s="45">
        <f t="shared" si="51"/>
        <v>31595.063770796376</v>
      </c>
      <c r="AZ97" s="45">
        <f t="shared" si="52"/>
        <v>31595.063770796376</v>
      </c>
      <c r="BA97" s="45">
        <f t="shared" si="53"/>
        <v>31595.063770796376</v>
      </c>
    </row>
    <row r="98" spans="2:53" x14ac:dyDescent="0.2">
      <c r="B98" s="66" t="s">
        <v>610</v>
      </c>
      <c r="C98" s="64" t="s">
        <v>58</v>
      </c>
      <c r="D98" s="32">
        <v>10143543</v>
      </c>
      <c r="E98" s="47" t="s">
        <v>611</v>
      </c>
      <c r="F98" s="47" t="s">
        <v>612</v>
      </c>
      <c r="G98" s="48" t="s">
        <v>613</v>
      </c>
      <c r="H98" s="48" t="s">
        <v>614</v>
      </c>
      <c r="I98" s="48" t="s">
        <v>615</v>
      </c>
      <c r="J98" s="48" t="s">
        <v>616</v>
      </c>
      <c r="K98" s="48" t="s">
        <v>617</v>
      </c>
      <c r="L98" s="48" t="s">
        <v>618</v>
      </c>
      <c r="M98" s="13" t="str">
        <f t="shared" si="27"/>
        <v>5.43</v>
      </c>
      <c r="N98" s="13" t="str">
        <f t="shared" si="28"/>
        <v>4</v>
      </c>
      <c r="O98" s="13">
        <f t="shared" si="29"/>
        <v>5.43</v>
      </c>
      <c r="P98" s="13">
        <f t="shared" si="30"/>
        <v>-4</v>
      </c>
      <c r="Q98" s="13">
        <f t="shared" si="31"/>
        <v>5.4299999999999997E-4</v>
      </c>
      <c r="R98" s="13" t="str">
        <f t="shared" si="32"/>
        <v>5.70</v>
      </c>
      <c r="S98" s="13" t="str">
        <f t="shared" si="33"/>
        <v>3</v>
      </c>
      <c r="T98" s="13">
        <f t="shared" si="34"/>
        <v>5.7</v>
      </c>
      <c r="U98" s="13">
        <f t="shared" si="35"/>
        <v>-3</v>
      </c>
      <c r="V98" s="49">
        <f t="shared" si="36"/>
        <v>5.7000000000000002E-3</v>
      </c>
      <c r="W98" s="50">
        <v>9.0760124433818923E-2</v>
      </c>
      <c r="X98" s="50">
        <v>5.8653665912808087E-2</v>
      </c>
      <c r="Y98" s="50">
        <v>0.16120367319792919</v>
      </c>
      <c r="Z98" s="51">
        <v>9.298178297301158</v>
      </c>
      <c r="AA98" s="51">
        <v>6.008941116484511</v>
      </c>
      <c r="AB98" s="52">
        <v>16.514967392615159</v>
      </c>
      <c r="AC98" s="4">
        <v>84</v>
      </c>
      <c r="AD98" s="4">
        <v>120</v>
      </c>
      <c r="AE98" s="4">
        <v>164</v>
      </c>
      <c r="AF98" s="53" t="e">
        <v>#N/A</v>
      </c>
      <c r="AG98" s="54" t="e">
        <v>#N/A</v>
      </c>
      <c r="AH98" s="55">
        <v>42.5</v>
      </c>
      <c r="AI98" s="43">
        <v>3</v>
      </c>
      <c r="AJ98" s="44">
        <f t="shared" si="37"/>
        <v>8.9743940137586603E-2</v>
      </c>
      <c r="AK98" s="45">
        <f t="shared" si="38"/>
        <v>307.31271212176398</v>
      </c>
      <c r="AL98" s="45">
        <f t="shared" si="39"/>
        <v>31172.397098537342</v>
      </c>
      <c r="AM98" s="45">
        <f t="shared" si="40"/>
        <v>8906.3991710106693</v>
      </c>
      <c r="AN98" s="45">
        <f t="shared" si="41"/>
        <v>6234.479419707468</v>
      </c>
      <c r="AO98" s="45">
        <f t="shared" si="42"/>
        <v>7793.0992746343345</v>
      </c>
      <c r="AP98" s="43" t="str">
        <f t="shared" si="43"/>
        <v>Accessible</v>
      </c>
      <c r="AQ98" s="45">
        <f>IF(AP98="None", AK98*'[1]Gavi Simplified'!$Y$3, IF(AP98="Limited", AK98*'[1]Gavi Simplified'!$Y$4, IF(AP98="Accessible", AK98*'[1]Gavi Simplified'!$Y$5, AK98)))</f>
        <v>952.38891746673346</v>
      </c>
      <c r="AR98" s="45">
        <f t="shared" si="44"/>
        <v>96605.979370472618</v>
      </c>
      <c r="AS98" s="45">
        <f t="shared" si="45"/>
        <v>27601.708391563607</v>
      </c>
      <c r="AT98" s="45">
        <f t="shared" si="46"/>
        <v>19321.195874094523</v>
      </c>
      <c r="AU98" s="45">
        <f t="shared" si="47"/>
        <v>24151.494842618155</v>
      </c>
      <c r="AV98" s="45">
        <f t="shared" si="48"/>
        <v>75417.284833965168</v>
      </c>
      <c r="AW98" s="45">
        <f t="shared" si="49"/>
        <v>7793.0992746343345</v>
      </c>
      <c r="AX98" s="45">
        <f t="shared" si="50"/>
        <v>9660.5979370472614</v>
      </c>
      <c r="AY98" s="45">
        <f t="shared" si="51"/>
        <v>14490.896905570891</v>
      </c>
      <c r="AZ98" s="45">
        <f t="shared" si="52"/>
        <v>19321.195874094523</v>
      </c>
      <c r="BA98" s="45">
        <f t="shared" si="53"/>
        <v>24151.494842618155</v>
      </c>
    </row>
    <row r="99" spans="2:53" x14ac:dyDescent="0.2">
      <c r="B99" s="70" t="s">
        <v>619</v>
      </c>
      <c r="C99" s="61" t="s">
        <v>153</v>
      </c>
      <c r="D99" s="32">
        <v>67438106</v>
      </c>
      <c r="E99" s="58" t="s">
        <v>154</v>
      </c>
      <c r="F99" s="58" t="s">
        <v>620</v>
      </c>
      <c r="G99" s="59" t="s">
        <v>621</v>
      </c>
      <c r="H99" s="59" t="s">
        <v>622</v>
      </c>
      <c r="I99" s="59" t="s">
        <v>73</v>
      </c>
      <c r="J99" s="59" t="s">
        <v>332</v>
      </c>
      <c r="K99" s="59" t="s">
        <v>623</v>
      </c>
      <c r="L99" s="59" t="s">
        <v>436</v>
      </c>
      <c r="M99" s="13" t="str">
        <f t="shared" si="27"/>
        <v>6.79</v>
      </c>
      <c r="N99" s="13" t="str">
        <f t="shared" si="28"/>
        <v>4</v>
      </c>
      <c r="O99" s="13">
        <f t="shared" si="29"/>
        <v>6.79</v>
      </c>
      <c r="P99" s="13">
        <f t="shared" si="30"/>
        <v>-4</v>
      </c>
      <c r="Q99" s="13">
        <f t="shared" si="31"/>
        <v>6.7900000000000002E-4</v>
      </c>
      <c r="R99" s="13" t="str">
        <f t="shared" si="32"/>
        <v>7.11</v>
      </c>
      <c r="S99" s="13" t="str">
        <f t="shared" si="33"/>
        <v>3</v>
      </c>
      <c r="T99" s="13">
        <f t="shared" si="34"/>
        <v>7.11</v>
      </c>
      <c r="U99" s="13">
        <f t="shared" si="35"/>
        <v>-3</v>
      </c>
      <c r="V99" s="49">
        <f t="shared" si="36"/>
        <v>7.1100000000000009E-3</v>
      </c>
      <c r="W99" s="50">
        <v>1.1260026516754831</v>
      </c>
      <c r="X99" s="50">
        <v>0.82125535407639183</v>
      </c>
      <c r="Y99" s="50">
        <v>1.358972518199933</v>
      </c>
      <c r="Z99" s="51">
        <v>733.73982377372329</v>
      </c>
      <c r="AA99" s="51">
        <v>535.15660720389303</v>
      </c>
      <c r="AB99" s="52">
        <v>885.55053980878904</v>
      </c>
      <c r="AC99" s="4">
        <v>366</v>
      </c>
      <c r="AD99" s="4">
        <v>550</v>
      </c>
      <c r="AE99" s="4">
        <v>755</v>
      </c>
      <c r="AF99" s="53">
        <v>0.65</v>
      </c>
      <c r="AG99" s="54">
        <v>1.34</v>
      </c>
      <c r="AH99" s="55">
        <v>32.5</v>
      </c>
      <c r="AI99" s="43">
        <v>2</v>
      </c>
      <c r="AJ99" s="44">
        <f t="shared" si="37"/>
        <v>3.5369258349866005E-2</v>
      </c>
      <c r="AK99" s="45">
        <f t="shared" si="38"/>
        <v>124.86100955899065</v>
      </c>
      <c r="AL99" s="45">
        <f t="shared" si="39"/>
        <v>84203.899979062247</v>
      </c>
      <c r="AM99" s="45">
        <f t="shared" si="40"/>
        <v>24058.257136874927</v>
      </c>
      <c r="AN99" s="45">
        <f t="shared" si="41"/>
        <v>16840.779995812449</v>
      </c>
      <c r="AO99" s="45">
        <f t="shared" si="42"/>
        <v>21050.974994765562</v>
      </c>
      <c r="AP99" s="43" t="str">
        <f t="shared" si="43"/>
        <v>Limited</v>
      </c>
      <c r="AQ99" s="45">
        <f>IF(AP99="None", AK99*'[1]Gavi Simplified'!$Y$3, IF(AP99="Limited", AK99*'[1]Gavi Simplified'!$Y$4, IF(AP99="Accessible", AK99*'[1]Gavi Simplified'!$Y$5, AK99)))</f>
        <v>435.00597548531221</v>
      </c>
      <c r="AR99" s="45">
        <f t="shared" si="44"/>
        <v>293359.79085411882</v>
      </c>
      <c r="AS99" s="45">
        <f t="shared" si="45"/>
        <v>83817.083101176802</v>
      </c>
      <c r="AT99" s="45">
        <f t="shared" si="46"/>
        <v>58671.95817082376</v>
      </c>
      <c r="AU99" s="45">
        <f t="shared" si="47"/>
        <v>73339.947713529706</v>
      </c>
      <c r="AV99" s="45">
        <f t="shared" si="48"/>
        <v>226402.82859264873</v>
      </c>
      <c r="AW99" s="45">
        <f t="shared" si="49"/>
        <v>21050.974994765562</v>
      </c>
      <c r="AX99" s="45">
        <f t="shared" si="50"/>
        <v>29335.97908541188</v>
      </c>
      <c r="AY99" s="45">
        <f t="shared" si="51"/>
        <v>44003.968628117815</v>
      </c>
      <c r="AZ99" s="45">
        <f t="shared" si="52"/>
        <v>58671.95817082376</v>
      </c>
      <c r="BA99" s="45">
        <f t="shared" si="53"/>
        <v>73339.947713529706</v>
      </c>
    </row>
    <row r="100" spans="2:53" x14ac:dyDescent="0.2">
      <c r="B100" s="62" t="s">
        <v>624</v>
      </c>
      <c r="C100" s="64" t="s">
        <v>459</v>
      </c>
      <c r="D100" s="32">
        <v>71801279</v>
      </c>
      <c r="E100" s="47" t="s">
        <v>625</v>
      </c>
      <c r="F100" s="47" t="s">
        <v>626</v>
      </c>
      <c r="G100" s="48" t="s">
        <v>120</v>
      </c>
      <c r="H100" s="48" t="s">
        <v>627</v>
      </c>
      <c r="I100" s="48" t="s">
        <v>598</v>
      </c>
      <c r="J100" s="48" t="s">
        <v>628</v>
      </c>
      <c r="K100" s="48" t="s">
        <v>629</v>
      </c>
      <c r="L100" s="48" t="s">
        <v>630</v>
      </c>
      <c r="M100" s="13" t="str">
        <f t="shared" si="27"/>
        <v>1.87</v>
      </c>
      <c r="N100" s="13" t="str">
        <f t="shared" si="28"/>
        <v>4</v>
      </c>
      <c r="O100" s="13">
        <f t="shared" si="29"/>
        <v>1.87</v>
      </c>
      <c r="P100" s="13">
        <f t="shared" si="30"/>
        <v>-4</v>
      </c>
      <c r="Q100" s="13">
        <f t="shared" si="31"/>
        <v>1.8700000000000002E-4</v>
      </c>
      <c r="R100" s="13" t="str">
        <f t="shared" si="32"/>
        <v>2.04</v>
      </c>
      <c r="S100" s="13" t="str">
        <f t="shared" si="33"/>
        <v>3</v>
      </c>
      <c r="T100" s="13">
        <f t="shared" si="34"/>
        <v>2.04</v>
      </c>
      <c r="U100" s="13">
        <f t="shared" si="35"/>
        <v>-3</v>
      </c>
      <c r="V100" s="49">
        <f t="shared" si="36"/>
        <v>2.0400000000000001E-3</v>
      </c>
      <c r="W100" s="50">
        <v>4.7587066295027507E-2</v>
      </c>
      <c r="X100" s="50">
        <v>2.7246006305744148E-2</v>
      </c>
      <c r="Y100" s="50">
        <v>9.2355669203008098E-2</v>
      </c>
      <c r="Z100" s="51">
        <v>33.510000126761547</v>
      </c>
      <c r="AA100" s="51">
        <v>19.186172753301989</v>
      </c>
      <c r="AB100" s="52">
        <v>65.035286426625902</v>
      </c>
      <c r="AC100" s="4">
        <v>25</v>
      </c>
      <c r="AD100" s="4">
        <v>62</v>
      </c>
      <c r="AE100" s="4">
        <v>176</v>
      </c>
      <c r="AF100" s="53">
        <v>0.01</v>
      </c>
      <c r="AG100" s="54">
        <v>0.1</v>
      </c>
      <c r="AH100" s="55">
        <v>62.5</v>
      </c>
      <c r="AI100" s="43"/>
      <c r="AJ100" s="44">
        <f t="shared" si="37"/>
        <v>0.34225511537936948</v>
      </c>
      <c r="AK100" s="45">
        <f t="shared" si="38"/>
        <v>569.60947857161091</v>
      </c>
      <c r="AL100" s="45">
        <f t="shared" si="39"/>
        <v>408986.89091964753</v>
      </c>
      <c r="AM100" s="45">
        <f t="shared" si="40"/>
        <v>116853.39740561358</v>
      </c>
      <c r="AN100" s="45">
        <f t="shared" si="41"/>
        <v>81797.378183929497</v>
      </c>
      <c r="AO100" s="45">
        <f t="shared" si="42"/>
        <v>102246.72272991187</v>
      </c>
      <c r="AP100" s="43" t="str">
        <f t="shared" si="43"/>
        <v>Widely Accessible</v>
      </c>
      <c r="AQ100" s="45">
        <f>IF(AP100="None", AK100*'[1]Gavi Simplified'!$Y$3, IF(AP100="Limited", AK100*'[1]Gavi Simplified'!$Y$4, IF(AP100="Accessible", AK100*'[1]Gavi Simplified'!$Y$5, AK100)))</f>
        <v>569.60947857161091</v>
      </c>
      <c r="AR100" s="45">
        <f t="shared" si="44"/>
        <v>408986.89091964753</v>
      </c>
      <c r="AS100" s="45">
        <f t="shared" si="45"/>
        <v>116853.39740561358</v>
      </c>
      <c r="AT100" s="45">
        <f t="shared" si="46"/>
        <v>81797.378183929497</v>
      </c>
      <c r="AU100" s="45">
        <f t="shared" si="47"/>
        <v>102246.72272991187</v>
      </c>
      <c r="AV100" s="45">
        <f t="shared" si="48"/>
        <v>388537.5463736651</v>
      </c>
      <c r="AW100" s="45">
        <f t="shared" si="49"/>
        <v>102246.72272991187</v>
      </c>
      <c r="AX100" s="45">
        <f t="shared" si="50"/>
        <v>102246.72272991187</v>
      </c>
      <c r="AY100" s="45">
        <f t="shared" si="51"/>
        <v>102246.72272991187</v>
      </c>
      <c r="AZ100" s="45">
        <f t="shared" si="52"/>
        <v>102246.72272991187</v>
      </c>
      <c r="BA100" s="45">
        <f t="shared" si="53"/>
        <v>102246.72272991187</v>
      </c>
    </row>
    <row r="101" spans="2:53" x14ac:dyDescent="0.2">
      <c r="B101" s="70" t="s">
        <v>631</v>
      </c>
      <c r="C101" s="57" t="s">
        <v>124</v>
      </c>
      <c r="D101" s="32">
        <v>9053799</v>
      </c>
      <c r="E101" s="58" t="s">
        <v>632</v>
      </c>
      <c r="F101" s="58" t="s">
        <v>633</v>
      </c>
      <c r="G101" s="59" t="s">
        <v>634</v>
      </c>
      <c r="H101" s="59" t="s">
        <v>635</v>
      </c>
      <c r="I101" s="59" t="s">
        <v>328</v>
      </c>
      <c r="J101" s="59" t="s">
        <v>636</v>
      </c>
      <c r="K101" s="59" t="s">
        <v>559</v>
      </c>
      <c r="L101" s="59" t="s">
        <v>494</v>
      </c>
      <c r="M101" s="13" t="str">
        <f t="shared" si="27"/>
        <v>6.07</v>
      </c>
      <c r="N101" s="13" t="str">
        <f t="shared" si="28"/>
        <v>4</v>
      </c>
      <c r="O101" s="13">
        <f t="shared" si="29"/>
        <v>6.07</v>
      </c>
      <c r="P101" s="13">
        <f t="shared" si="30"/>
        <v>-4</v>
      </c>
      <c r="Q101" s="13">
        <f t="shared" si="31"/>
        <v>6.0700000000000001E-4</v>
      </c>
      <c r="R101" s="13" t="str">
        <f t="shared" si="32"/>
        <v>6.42</v>
      </c>
      <c r="S101" s="13" t="str">
        <f t="shared" si="33"/>
        <v>3</v>
      </c>
      <c r="T101" s="13">
        <f t="shared" si="34"/>
        <v>6.42</v>
      </c>
      <c r="U101" s="13">
        <f t="shared" si="35"/>
        <v>-3</v>
      </c>
      <c r="V101" s="49">
        <f t="shared" si="36"/>
        <v>6.4200000000000004E-3</v>
      </c>
      <c r="W101" s="50">
        <v>1.2014096719831371</v>
      </c>
      <c r="X101" s="50">
        <v>0.87695695741855717</v>
      </c>
      <c r="Y101" s="50">
        <v>1.4464515251712691</v>
      </c>
      <c r="Z101" s="51">
        <v>106.84997097536051</v>
      </c>
      <c r="AA101" s="51">
        <v>77.994066164075704</v>
      </c>
      <c r="AB101" s="52">
        <v>128.6432988563333</v>
      </c>
      <c r="AC101" s="4">
        <v>148</v>
      </c>
      <c r="AD101" s="4">
        <v>210</v>
      </c>
      <c r="AE101" s="4">
        <v>280</v>
      </c>
      <c r="AF101" s="53">
        <v>1.88</v>
      </c>
      <c r="AG101" s="54">
        <v>3.57</v>
      </c>
      <c r="AH101" s="55">
        <v>33.5</v>
      </c>
      <c r="AI101" s="43">
        <v>2</v>
      </c>
      <c r="AJ101" s="44">
        <f t="shared" si="37"/>
        <v>3.9292351130980022E-2</v>
      </c>
      <c r="AK101" s="45">
        <f t="shared" si="38"/>
        <v>145.47228385775361</v>
      </c>
      <c r="AL101" s="45">
        <f t="shared" si="39"/>
        <v>13170.768181190457</v>
      </c>
      <c r="AM101" s="45">
        <f t="shared" si="40"/>
        <v>3763.0766231972734</v>
      </c>
      <c r="AN101" s="45">
        <f t="shared" si="41"/>
        <v>2634.1536362380912</v>
      </c>
      <c r="AO101" s="45">
        <f t="shared" si="42"/>
        <v>3292.6920452976137</v>
      </c>
      <c r="AP101" s="43" t="str">
        <f t="shared" si="43"/>
        <v>Limited</v>
      </c>
      <c r="AQ101" s="45">
        <f>IF(AP101="None", AK101*'[1]Gavi Simplified'!$Y$3, IF(AP101="Limited", AK101*'[1]Gavi Simplified'!$Y$4, IF(AP101="Accessible", AK101*'[1]Gavi Simplified'!$Y$5, AK101)))</f>
        <v>506.81404042084938</v>
      </c>
      <c r="AR101" s="45">
        <f t="shared" si="44"/>
        <v>45885.924523482456</v>
      </c>
      <c r="AS101" s="45">
        <f t="shared" si="45"/>
        <v>13110.264149566416</v>
      </c>
      <c r="AT101" s="45">
        <f t="shared" si="46"/>
        <v>9177.1849046964908</v>
      </c>
      <c r="AU101" s="45">
        <f t="shared" si="47"/>
        <v>11471.481130870614</v>
      </c>
      <c r="AV101" s="45">
        <f t="shared" si="48"/>
        <v>35412.839211735329</v>
      </c>
      <c r="AW101" s="45">
        <f t="shared" si="49"/>
        <v>3292.6920452976137</v>
      </c>
      <c r="AX101" s="45">
        <f t="shared" si="50"/>
        <v>4588.5924523482454</v>
      </c>
      <c r="AY101" s="45">
        <f t="shared" si="51"/>
        <v>6882.8886785223676</v>
      </c>
      <c r="AZ101" s="45">
        <f t="shared" si="52"/>
        <v>9177.1849046964908</v>
      </c>
      <c r="BA101" s="45">
        <f t="shared" si="53"/>
        <v>11471.481130870614</v>
      </c>
    </row>
    <row r="102" spans="2:53" x14ac:dyDescent="0.2">
      <c r="B102" s="62" t="s">
        <v>637</v>
      </c>
      <c r="C102" s="64" t="s">
        <v>48</v>
      </c>
      <c r="D102" s="32">
        <v>12458223</v>
      </c>
      <c r="E102" s="47" t="s">
        <v>638</v>
      </c>
      <c r="F102" s="47" t="s">
        <v>639</v>
      </c>
      <c r="G102" s="48" t="s">
        <v>640</v>
      </c>
      <c r="H102" s="48" t="s">
        <v>641</v>
      </c>
      <c r="I102" s="48" t="s">
        <v>211</v>
      </c>
      <c r="J102" s="48" t="s">
        <v>642</v>
      </c>
      <c r="K102" s="48" t="s">
        <v>643</v>
      </c>
      <c r="L102" s="48" t="s">
        <v>644</v>
      </c>
      <c r="M102" s="13" t="str">
        <f t="shared" si="27"/>
        <v>2.06</v>
      </c>
      <c r="N102" s="13" t="str">
        <f t="shared" si="28"/>
        <v>4</v>
      </c>
      <c r="O102" s="13">
        <f t="shared" si="29"/>
        <v>2.06</v>
      </c>
      <c r="P102" s="13">
        <f t="shared" si="30"/>
        <v>-4</v>
      </c>
      <c r="Q102" s="13">
        <f t="shared" si="31"/>
        <v>2.0600000000000002E-4</v>
      </c>
      <c r="R102" s="13" t="str">
        <f t="shared" si="32"/>
        <v>2.13</v>
      </c>
      <c r="S102" s="13" t="str">
        <f t="shared" si="33"/>
        <v>3</v>
      </c>
      <c r="T102" s="13">
        <f t="shared" si="34"/>
        <v>2.13</v>
      </c>
      <c r="U102" s="13">
        <f t="shared" si="35"/>
        <v>-3</v>
      </c>
      <c r="V102" s="49">
        <f t="shared" si="36"/>
        <v>2.1299999999999999E-3</v>
      </c>
      <c r="W102" s="50">
        <v>4.8204296683805777E-2</v>
      </c>
      <c r="X102" s="50">
        <v>2.4944316490680119E-2</v>
      </c>
      <c r="Y102" s="50">
        <v>9.5653284074370293E-2</v>
      </c>
      <c r="Z102" s="51">
        <v>5.8927034478817264</v>
      </c>
      <c r="AA102" s="51">
        <v>3.0493020311831418</v>
      </c>
      <c r="AB102" s="52">
        <v>11.69307459381753</v>
      </c>
      <c r="AC102" s="4">
        <v>3</v>
      </c>
      <c r="AD102" s="4">
        <v>5</v>
      </c>
      <c r="AE102" s="4">
        <v>10</v>
      </c>
      <c r="AF102" s="53">
        <v>0.03</v>
      </c>
      <c r="AG102" s="54">
        <v>0.08</v>
      </c>
      <c r="AH102" s="55">
        <v>63.9</v>
      </c>
      <c r="AI102" s="43"/>
      <c r="AJ102" s="44">
        <f t="shared" si="37"/>
        <v>0.36960932891124271</v>
      </c>
      <c r="AK102" s="45">
        <f t="shared" si="38"/>
        <v>584.6760440641383</v>
      </c>
      <c r="AL102" s="45">
        <f t="shared" si="39"/>
        <v>72840.245397088613</v>
      </c>
      <c r="AM102" s="45">
        <f t="shared" si="40"/>
        <v>20811.498684882459</v>
      </c>
      <c r="AN102" s="45">
        <f t="shared" si="41"/>
        <v>14568.04907941772</v>
      </c>
      <c r="AO102" s="45">
        <f t="shared" si="42"/>
        <v>18210.06134927215</v>
      </c>
      <c r="AP102" s="43" t="str">
        <f t="shared" si="43"/>
        <v>Widely Accessible</v>
      </c>
      <c r="AQ102" s="45">
        <f>IF(AP102="None", AK102*'[1]Gavi Simplified'!$Y$3, IF(AP102="Limited", AK102*'[1]Gavi Simplified'!$Y$4, IF(AP102="Accessible", AK102*'[1]Gavi Simplified'!$Y$5, AK102)))</f>
        <v>584.6760440641383</v>
      </c>
      <c r="AR102" s="45">
        <f t="shared" si="44"/>
        <v>72840.245397088613</v>
      </c>
      <c r="AS102" s="45">
        <f t="shared" si="45"/>
        <v>20811.498684882459</v>
      </c>
      <c r="AT102" s="45">
        <f t="shared" si="46"/>
        <v>14568.04907941772</v>
      </c>
      <c r="AU102" s="45">
        <f t="shared" si="47"/>
        <v>18210.06134927215</v>
      </c>
      <c r="AV102" s="45">
        <f t="shared" si="48"/>
        <v>69198.233127234169</v>
      </c>
      <c r="AW102" s="45">
        <f t="shared" si="49"/>
        <v>18210.06134927215</v>
      </c>
      <c r="AX102" s="45">
        <f t="shared" si="50"/>
        <v>18210.06134927215</v>
      </c>
      <c r="AY102" s="45">
        <f t="shared" si="51"/>
        <v>18210.06134927215</v>
      </c>
      <c r="AZ102" s="45">
        <f t="shared" si="52"/>
        <v>18210.06134927215</v>
      </c>
      <c r="BA102" s="45">
        <f t="shared" si="53"/>
        <v>18210.06134927215</v>
      </c>
    </row>
    <row r="103" spans="2:53" x14ac:dyDescent="0.2">
      <c r="B103" s="56" t="s">
        <v>645</v>
      </c>
      <c r="C103" s="57" t="s">
        <v>58</v>
      </c>
      <c r="D103" s="32">
        <v>85816199</v>
      </c>
      <c r="E103" s="58" t="s">
        <v>88</v>
      </c>
      <c r="F103" s="58" t="s">
        <v>646</v>
      </c>
      <c r="G103" s="59" t="s">
        <v>647</v>
      </c>
      <c r="H103" s="59" t="s">
        <v>648</v>
      </c>
      <c r="I103" s="59" t="s">
        <v>92</v>
      </c>
      <c r="J103" s="59" t="s">
        <v>406</v>
      </c>
      <c r="K103" s="59" t="s">
        <v>649</v>
      </c>
      <c r="L103" s="59" t="s">
        <v>102</v>
      </c>
      <c r="M103" s="13" t="str">
        <f t="shared" si="27"/>
        <v>4.38</v>
      </c>
      <c r="N103" s="13" t="str">
        <f t="shared" si="28"/>
        <v>4</v>
      </c>
      <c r="O103" s="13">
        <f t="shared" si="29"/>
        <v>4.38</v>
      </c>
      <c r="P103" s="13">
        <f t="shared" si="30"/>
        <v>-4</v>
      </c>
      <c r="Q103" s="13">
        <f t="shared" si="31"/>
        <v>4.3800000000000002E-4</v>
      </c>
      <c r="R103" s="13" t="str">
        <f t="shared" si="32"/>
        <v>4.69</v>
      </c>
      <c r="S103" s="13" t="str">
        <f t="shared" si="33"/>
        <v>3</v>
      </c>
      <c r="T103" s="13">
        <f t="shared" si="34"/>
        <v>4.6900000000000004</v>
      </c>
      <c r="U103" s="13">
        <f t="shared" si="35"/>
        <v>-3</v>
      </c>
      <c r="V103" s="49">
        <f t="shared" si="36"/>
        <v>4.6900000000000006E-3</v>
      </c>
      <c r="W103" s="50">
        <v>5.6309473482623683E-2</v>
      </c>
      <c r="X103" s="50">
        <v>3.3338195102587717E-2</v>
      </c>
      <c r="Y103" s="50">
        <v>0.1059923446910319</v>
      </c>
      <c r="Z103" s="51">
        <v>49.546459568164543</v>
      </c>
      <c r="AA103" s="51">
        <v>29.33413213738649</v>
      </c>
      <c r="AB103" s="52">
        <v>93.262200762536438</v>
      </c>
      <c r="AC103" s="4" t="e">
        <v>#N/A</v>
      </c>
      <c r="AD103" s="4" t="e">
        <v>#N/A</v>
      </c>
      <c r="AE103" s="4" t="e">
        <v>#N/A</v>
      </c>
      <c r="AF103" s="53" t="e">
        <v>#N/A</v>
      </c>
      <c r="AG103" s="54" t="e">
        <v>#N/A</v>
      </c>
      <c r="AH103" s="55">
        <v>64.8</v>
      </c>
      <c r="AI103" s="43"/>
      <c r="AJ103" s="44">
        <f t="shared" si="37"/>
        <v>0.38799460204829583</v>
      </c>
      <c r="AK103" s="45">
        <f t="shared" si="38"/>
        <v>594.18836695599839</v>
      </c>
      <c r="AL103" s="45">
        <f t="shared" si="39"/>
        <v>509909.87142180983</v>
      </c>
      <c r="AM103" s="45">
        <f t="shared" si="40"/>
        <v>145688.53469194568</v>
      </c>
      <c r="AN103" s="45">
        <f t="shared" si="41"/>
        <v>101981.97428436198</v>
      </c>
      <c r="AO103" s="45">
        <f t="shared" si="42"/>
        <v>127477.46785545247</v>
      </c>
      <c r="AP103" s="43" t="str">
        <f t="shared" si="43"/>
        <v>Widely Accessible</v>
      </c>
      <c r="AQ103" s="45">
        <f>IF(AP103="None", AK103*'[1]Gavi Simplified'!$Y$3, IF(AP103="Limited", AK103*'[1]Gavi Simplified'!$Y$4, IF(AP103="Accessible", AK103*'[1]Gavi Simplified'!$Y$5, AK103)))</f>
        <v>594.18836695599839</v>
      </c>
      <c r="AR103" s="45">
        <f t="shared" si="44"/>
        <v>509909.87142180983</v>
      </c>
      <c r="AS103" s="45">
        <f t="shared" si="45"/>
        <v>145688.53469194568</v>
      </c>
      <c r="AT103" s="45">
        <f t="shared" si="46"/>
        <v>101981.97428436198</v>
      </c>
      <c r="AU103" s="45">
        <f t="shared" si="47"/>
        <v>127477.46785545247</v>
      </c>
      <c r="AV103" s="45">
        <f t="shared" si="48"/>
        <v>484414.37785071938</v>
      </c>
      <c r="AW103" s="45">
        <f t="shared" si="49"/>
        <v>127477.46785545247</v>
      </c>
      <c r="AX103" s="45">
        <f t="shared" si="50"/>
        <v>127477.46785545247</v>
      </c>
      <c r="AY103" s="45">
        <f t="shared" si="51"/>
        <v>127477.46785545247</v>
      </c>
      <c r="AZ103" s="45">
        <f t="shared" si="52"/>
        <v>127477.46785545247</v>
      </c>
      <c r="BA103" s="45">
        <f t="shared" si="53"/>
        <v>127477.46785545247</v>
      </c>
    </row>
    <row r="104" spans="2:53" x14ac:dyDescent="0.2">
      <c r="B104" s="12" t="s">
        <v>650</v>
      </c>
      <c r="C104" s="46" t="s">
        <v>58</v>
      </c>
      <c r="D104" s="32">
        <v>6516100</v>
      </c>
      <c r="E104" s="47" t="s">
        <v>88</v>
      </c>
      <c r="F104" s="47" t="s">
        <v>312</v>
      </c>
      <c r="G104" s="48" t="s">
        <v>651</v>
      </c>
      <c r="H104" s="48" t="s">
        <v>652</v>
      </c>
      <c r="I104" s="48" t="s">
        <v>92</v>
      </c>
      <c r="J104" s="48" t="s">
        <v>653</v>
      </c>
      <c r="K104" s="48" t="s">
        <v>654</v>
      </c>
      <c r="L104" s="48" t="s">
        <v>102</v>
      </c>
      <c r="M104" s="13" t="str">
        <f t="shared" si="27"/>
        <v>4.57</v>
      </c>
      <c r="N104" s="13" t="str">
        <f t="shared" si="28"/>
        <v>4</v>
      </c>
      <c r="O104" s="13">
        <f t="shared" si="29"/>
        <v>4.57</v>
      </c>
      <c r="P104" s="13">
        <f t="shared" si="30"/>
        <v>-4</v>
      </c>
      <c r="Q104" s="13">
        <f t="shared" si="31"/>
        <v>4.5700000000000005E-4</v>
      </c>
      <c r="R104" s="13" t="str">
        <f t="shared" si="32"/>
        <v>4.90</v>
      </c>
      <c r="S104" s="13" t="str">
        <f t="shared" si="33"/>
        <v>3</v>
      </c>
      <c r="T104" s="13">
        <f t="shared" si="34"/>
        <v>4.9000000000000004</v>
      </c>
      <c r="U104" s="13">
        <f t="shared" si="35"/>
        <v>-3</v>
      </c>
      <c r="V104" s="49">
        <f t="shared" si="36"/>
        <v>4.9000000000000007E-3</v>
      </c>
      <c r="W104" s="50">
        <v>8.8518876530627247E-2</v>
      </c>
      <c r="X104" s="50">
        <v>5.696784659002177E-2</v>
      </c>
      <c r="Y104" s="50">
        <v>0.15753188881602351</v>
      </c>
      <c r="Z104" s="51">
        <v>5.5928476233948619</v>
      </c>
      <c r="AA104" s="51">
        <v>3.5993733528767451</v>
      </c>
      <c r="AB104" s="52">
        <v>9.9532651622477317</v>
      </c>
      <c r="AC104" s="4" t="e">
        <v>#N/A</v>
      </c>
      <c r="AD104" s="4" t="e">
        <v>#N/A</v>
      </c>
      <c r="AE104" s="4" t="e">
        <v>#N/A</v>
      </c>
      <c r="AF104" s="53" t="e">
        <v>#N/A</v>
      </c>
      <c r="AG104" s="54" t="e">
        <v>#N/A</v>
      </c>
      <c r="AH104" s="55">
        <v>48.7</v>
      </c>
      <c r="AI104" s="43"/>
      <c r="AJ104" s="44">
        <f t="shared" si="37"/>
        <v>0.14397075002516135</v>
      </c>
      <c r="AK104" s="45">
        <f t="shared" si="38"/>
        <v>399.92802194382057</v>
      </c>
      <c r="AL104" s="45">
        <f t="shared" si="39"/>
        <v>26059.709837881292</v>
      </c>
      <c r="AM104" s="45">
        <f t="shared" si="40"/>
        <v>7445.6313822517977</v>
      </c>
      <c r="AN104" s="45">
        <f t="shared" si="41"/>
        <v>5211.9419675762583</v>
      </c>
      <c r="AO104" s="45">
        <f t="shared" si="42"/>
        <v>6514.9274594703229</v>
      </c>
      <c r="AP104" s="43" t="str">
        <f t="shared" si="43"/>
        <v>Widely Accessible</v>
      </c>
      <c r="AQ104" s="45">
        <f>IF(AP104="None", AK104*'[1]Gavi Simplified'!$Y$3, IF(AP104="Limited", AK104*'[1]Gavi Simplified'!$Y$4, IF(AP104="Accessible", AK104*'[1]Gavi Simplified'!$Y$5, AK104)))</f>
        <v>399.92802194382057</v>
      </c>
      <c r="AR104" s="45">
        <f t="shared" si="44"/>
        <v>26059.709837881292</v>
      </c>
      <c r="AS104" s="45">
        <f t="shared" si="45"/>
        <v>7445.6313822517977</v>
      </c>
      <c r="AT104" s="45">
        <f t="shared" si="46"/>
        <v>5211.9419675762583</v>
      </c>
      <c r="AU104" s="45">
        <f t="shared" si="47"/>
        <v>6514.9274594703229</v>
      </c>
      <c r="AV104" s="45">
        <f t="shared" si="48"/>
        <v>24756.724345987226</v>
      </c>
      <c r="AW104" s="45">
        <f t="shared" si="49"/>
        <v>6514.9274594703229</v>
      </c>
      <c r="AX104" s="45">
        <f t="shared" si="50"/>
        <v>6514.9274594703229</v>
      </c>
      <c r="AY104" s="45">
        <f t="shared" si="51"/>
        <v>6514.9274594703229</v>
      </c>
      <c r="AZ104" s="45">
        <f t="shared" si="52"/>
        <v>6514.9274594703229</v>
      </c>
      <c r="BA104" s="45">
        <f t="shared" si="53"/>
        <v>6514.9274594703229</v>
      </c>
    </row>
    <row r="105" spans="2:53" x14ac:dyDescent="0.2">
      <c r="B105" s="56" t="s">
        <v>655</v>
      </c>
      <c r="C105" s="57" t="s">
        <v>153</v>
      </c>
      <c r="D105" s="32">
        <v>48582334</v>
      </c>
      <c r="E105" s="58" t="s">
        <v>134</v>
      </c>
      <c r="F105" s="58" t="s">
        <v>656</v>
      </c>
      <c r="G105" s="59" t="s">
        <v>657</v>
      </c>
      <c r="H105" s="59" t="s">
        <v>658</v>
      </c>
      <c r="I105" s="59" t="s">
        <v>138</v>
      </c>
      <c r="J105" s="59" t="s">
        <v>659</v>
      </c>
      <c r="K105" s="59" t="s">
        <v>660</v>
      </c>
      <c r="L105" s="59" t="s">
        <v>560</v>
      </c>
      <c r="M105" s="13" t="str">
        <f t="shared" si="27"/>
        <v>6.05</v>
      </c>
      <c r="N105" s="13" t="str">
        <f t="shared" si="28"/>
        <v>4</v>
      </c>
      <c r="O105" s="13">
        <f t="shared" si="29"/>
        <v>6.05</v>
      </c>
      <c r="P105" s="13">
        <f t="shared" si="30"/>
        <v>-4</v>
      </c>
      <c r="Q105" s="13">
        <f t="shared" si="31"/>
        <v>6.0499999999999996E-4</v>
      </c>
      <c r="R105" s="13" t="str">
        <f t="shared" si="32"/>
        <v>6.23</v>
      </c>
      <c r="S105" s="13" t="str">
        <f t="shared" si="33"/>
        <v>3</v>
      </c>
      <c r="T105" s="13">
        <f t="shared" si="34"/>
        <v>6.23</v>
      </c>
      <c r="U105" s="13">
        <f t="shared" si="35"/>
        <v>-3</v>
      </c>
      <c r="V105" s="49">
        <f t="shared" si="36"/>
        <v>6.2300000000000003E-3</v>
      </c>
      <c r="W105" s="50">
        <v>1.4221562003736541</v>
      </c>
      <c r="X105" s="50">
        <v>1.036784068907268</v>
      </c>
      <c r="Y105" s="50">
        <v>1.702740796389596</v>
      </c>
      <c r="Z105" s="51">
        <v>724.01831565436828</v>
      </c>
      <c r="AA105" s="51">
        <v>527.82574450703714</v>
      </c>
      <c r="AB105" s="52">
        <v>866.86365609773827</v>
      </c>
      <c r="AC105" s="4">
        <v>430</v>
      </c>
      <c r="AD105" s="4">
        <v>642</v>
      </c>
      <c r="AE105" s="4">
        <v>862</v>
      </c>
      <c r="AF105" s="53" t="e">
        <v>#N/A</v>
      </c>
      <c r="AG105" s="54" t="e">
        <v>#N/A</v>
      </c>
      <c r="AH105" s="55">
        <v>32.4</v>
      </c>
      <c r="AI105" s="43">
        <v>1</v>
      </c>
      <c r="AJ105" s="44">
        <f t="shared" si="37"/>
        <v>3.4992959295731367E-2</v>
      </c>
      <c r="AK105" s="45">
        <f t="shared" si="38"/>
        <v>122.7651065135683</v>
      </c>
      <c r="AL105" s="45">
        <f t="shared" si="39"/>
        <v>59642.15408187751</v>
      </c>
      <c r="AM105" s="45">
        <f t="shared" si="40"/>
        <v>17040.615451965004</v>
      </c>
      <c r="AN105" s="45">
        <f t="shared" si="41"/>
        <v>11928.430816375503</v>
      </c>
      <c r="AO105" s="45">
        <f t="shared" si="42"/>
        <v>14910.538520469379</v>
      </c>
      <c r="AP105" s="43" t="str">
        <f t="shared" si="43"/>
        <v>Limited</v>
      </c>
      <c r="AQ105" s="45">
        <f>IF(AP105="None", AK105*'[1]Gavi Simplified'!$Y$3, IF(AP105="Limited", AK105*'[1]Gavi Simplified'!$Y$4, IF(AP105="Accessible", AK105*'[1]Gavi Simplified'!$Y$5, AK105)))</f>
        <v>427.70401347157537</v>
      </c>
      <c r="AR105" s="45">
        <f t="shared" si="44"/>
        <v>207788.59235616573</v>
      </c>
      <c r="AS105" s="45">
        <f t="shared" si="45"/>
        <v>59368.169244618781</v>
      </c>
      <c r="AT105" s="45">
        <f t="shared" si="46"/>
        <v>41557.718471233144</v>
      </c>
      <c r="AU105" s="45">
        <f t="shared" si="47"/>
        <v>51947.148089041431</v>
      </c>
      <c r="AV105" s="45">
        <f t="shared" si="48"/>
        <v>160362.55316978539</v>
      </c>
      <c r="AW105" s="45">
        <f t="shared" si="49"/>
        <v>14910.538520469379</v>
      </c>
      <c r="AX105" s="45">
        <f t="shared" si="50"/>
        <v>20778.859235616572</v>
      </c>
      <c r="AY105" s="45">
        <f t="shared" si="51"/>
        <v>31168.288853424856</v>
      </c>
      <c r="AZ105" s="45">
        <f t="shared" si="52"/>
        <v>41557.718471233144</v>
      </c>
      <c r="BA105" s="45">
        <f t="shared" si="53"/>
        <v>51947.148089041431</v>
      </c>
    </row>
    <row r="106" spans="2:53" x14ac:dyDescent="0.2">
      <c r="B106" s="12" t="s">
        <v>661</v>
      </c>
      <c r="C106" s="46" t="s">
        <v>104</v>
      </c>
      <c r="D106" s="32">
        <v>9516871</v>
      </c>
      <c r="E106" s="47" t="s">
        <v>105</v>
      </c>
      <c r="F106" s="47" t="s">
        <v>398</v>
      </c>
      <c r="G106" s="48" t="s">
        <v>662</v>
      </c>
      <c r="H106" s="48" t="s">
        <v>663</v>
      </c>
      <c r="I106" s="48" t="s">
        <v>109</v>
      </c>
      <c r="J106" s="48" t="s">
        <v>664</v>
      </c>
      <c r="K106" s="48" t="s">
        <v>665</v>
      </c>
      <c r="L106" s="48" t="s">
        <v>666</v>
      </c>
      <c r="M106" s="13" t="str">
        <f t="shared" si="27"/>
        <v>5.12</v>
      </c>
      <c r="N106" s="13" t="str">
        <f t="shared" si="28"/>
        <v>4</v>
      </c>
      <c r="O106" s="13">
        <f t="shared" si="29"/>
        <v>5.12</v>
      </c>
      <c r="P106" s="13">
        <f t="shared" si="30"/>
        <v>-4</v>
      </c>
      <c r="Q106" s="13">
        <f t="shared" si="31"/>
        <v>5.1200000000000009E-4</v>
      </c>
      <c r="R106" s="13" t="str">
        <f t="shared" si="32"/>
        <v>5.16</v>
      </c>
      <c r="S106" s="13" t="str">
        <f t="shared" si="33"/>
        <v>3</v>
      </c>
      <c r="T106" s="13">
        <f t="shared" si="34"/>
        <v>5.16</v>
      </c>
      <c r="U106" s="13">
        <f t="shared" si="35"/>
        <v>-3</v>
      </c>
      <c r="V106" s="49">
        <f t="shared" si="36"/>
        <v>5.1600000000000005E-3</v>
      </c>
      <c r="W106" s="50" t="e">
        <v>#N/A</v>
      </c>
      <c r="X106" s="50" t="e">
        <v>#N/A</v>
      </c>
      <c r="Y106" s="50" t="e">
        <v>#N/A</v>
      </c>
      <c r="Z106" s="51" t="e">
        <v>#N/A</v>
      </c>
      <c r="AA106" s="51" t="e">
        <v>#N/A</v>
      </c>
      <c r="AB106" s="52" t="e">
        <v>#N/A</v>
      </c>
      <c r="AC106" s="4" t="e">
        <v>#N/A</v>
      </c>
      <c r="AD106" s="4" t="e">
        <v>#N/A</v>
      </c>
      <c r="AE106" s="4" t="e">
        <v>#N/A</v>
      </c>
      <c r="AF106" s="53" t="e">
        <v>#N/A</v>
      </c>
      <c r="AG106" s="54" t="e">
        <v>#N/A</v>
      </c>
      <c r="AH106" s="55">
        <v>58.8</v>
      </c>
      <c r="AI106" s="43"/>
      <c r="AJ106" s="44">
        <f t="shared" si="37"/>
        <v>0.27692474006975332</v>
      </c>
      <c r="AK106" s="45">
        <f t="shared" si="38"/>
        <v>528.10535835770361</v>
      </c>
      <c r="AL106" s="45">
        <f t="shared" si="39"/>
        <v>50259.105698990374</v>
      </c>
      <c r="AM106" s="45">
        <f t="shared" si="40"/>
        <v>14359.744485425821</v>
      </c>
      <c r="AN106" s="45">
        <f t="shared" si="41"/>
        <v>10051.821139798074</v>
      </c>
      <c r="AO106" s="45">
        <f t="shared" si="42"/>
        <v>12564.776424747593</v>
      </c>
      <c r="AP106" s="43" t="str">
        <f t="shared" si="43"/>
        <v>Widely Accessible</v>
      </c>
      <c r="AQ106" s="45">
        <f>IF(AP106="None", AK106*'[1]Gavi Simplified'!$Y$3, IF(AP106="Limited", AK106*'[1]Gavi Simplified'!$Y$4, IF(AP106="Accessible", AK106*'[1]Gavi Simplified'!$Y$5, AK106)))</f>
        <v>528.10535835770361</v>
      </c>
      <c r="AR106" s="45">
        <f t="shared" si="44"/>
        <v>50259.105698990374</v>
      </c>
      <c r="AS106" s="45">
        <f t="shared" si="45"/>
        <v>14359.744485425821</v>
      </c>
      <c r="AT106" s="45">
        <f t="shared" si="46"/>
        <v>10051.821139798074</v>
      </c>
      <c r="AU106" s="45">
        <f t="shared" si="47"/>
        <v>12564.776424747593</v>
      </c>
      <c r="AV106" s="45">
        <f t="shared" si="48"/>
        <v>47746.150414040858</v>
      </c>
      <c r="AW106" s="45">
        <f t="shared" si="49"/>
        <v>12564.776424747593</v>
      </c>
      <c r="AX106" s="45">
        <f t="shared" si="50"/>
        <v>12564.776424747593</v>
      </c>
      <c r="AY106" s="45">
        <f t="shared" si="51"/>
        <v>12564.776424747593</v>
      </c>
      <c r="AZ106" s="45">
        <f t="shared" si="52"/>
        <v>12564.776424747593</v>
      </c>
      <c r="BA106" s="45">
        <f t="shared" si="53"/>
        <v>12564.776424747593</v>
      </c>
    </row>
    <row r="107" spans="2:53" x14ac:dyDescent="0.2">
      <c r="B107" s="60" t="s">
        <v>667</v>
      </c>
      <c r="C107" s="61" t="s">
        <v>58</v>
      </c>
      <c r="D107" s="32">
        <v>35163944</v>
      </c>
      <c r="E107" s="58" t="s">
        <v>612</v>
      </c>
      <c r="F107" s="58" t="s">
        <v>668</v>
      </c>
      <c r="G107" s="59" t="s">
        <v>669</v>
      </c>
      <c r="H107" s="59" t="s">
        <v>670</v>
      </c>
      <c r="I107" s="59" t="s">
        <v>671</v>
      </c>
      <c r="J107" s="59" t="s">
        <v>672</v>
      </c>
      <c r="K107" s="59" t="s">
        <v>673</v>
      </c>
      <c r="L107" s="59" t="s">
        <v>674</v>
      </c>
      <c r="M107" s="13" t="str">
        <f t="shared" si="27"/>
        <v>2.58</v>
      </c>
      <c r="N107" s="13" t="str">
        <f t="shared" si="28"/>
        <v>4</v>
      </c>
      <c r="O107" s="13">
        <f t="shared" si="29"/>
        <v>2.58</v>
      </c>
      <c r="P107" s="13">
        <f t="shared" si="30"/>
        <v>-4</v>
      </c>
      <c r="Q107" s="13">
        <f t="shared" si="31"/>
        <v>2.5800000000000004E-4</v>
      </c>
      <c r="R107" s="13" t="str">
        <f t="shared" si="32"/>
        <v>2.87</v>
      </c>
      <c r="S107" s="13" t="str">
        <f t="shared" si="33"/>
        <v>3</v>
      </c>
      <c r="T107" s="13">
        <f t="shared" si="34"/>
        <v>2.87</v>
      </c>
      <c r="U107" s="13">
        <f t="shared" si="35"/>
        <v>-3</v>
      </c>
      <c r="V107" s="49">
        <f t="shared" si="36"/>
        <v>2.8700000000000002E-3</v>
      </c>
      <c r="W107" s="50">
        <v>4.4486316304515341E-2</v>
      </c>
      <c r="X107" s="50">
        <v>2.5127862027476969E-2</v>
      </c>
      <c r="Y107" s="50">
        <v>8.7526793075005896E-2</v>
      </c>
      <c r="Z107" s="51">
        <v>16.09260433253711</v>
      </c>
      <c r="AA107" s="51">
        <v>9.0898230045117714</v>
      </c>
      <c r="AB107" s="52">
        <v>31.662186633082801</v>
      </c>
      <c r="AC107" s="4" t="e">
        <v>#N/A</v>
      </c>
      <c r="AD107" s="4" t="e">
        <v>#N/A</v>
      </c>
      <c r="AE107" s="4" t="e">
        <v>#N/A</v>
      </c>
      <c r="AF107" s="53" t="e">
        <v>#N/A</v>
      </c>
      <c r="AG107" s="54" t="e">
        <v>#N/A</v>
      </c>
      <c r="AH107" s="67">
        <v>49</v>
      </c>
      <c r="AI107" s="68"/>
      <c r="AJ107" s="44">
        <f t="shared" si="37"/>
        <v>0.14707253218242142</v>
      </c>
      <c r="AK107" s="45">
        <f t="shared" si="38"/>
        <v>404.10482115099921</v>
      </c>
      <c r="AL107" s="45">
        <f t="shared" si="39"/>
        <v>142099.19301083751</v>
      </c>
      <c r="AM107" s="45">
        <f t="shared" si="40"/>
        <v>40599.769431667861</v>
      </c>
      <c r="AN107" s="45">
        <f t="shared" si="41"/>
        <v>28419.8386021675</v>
      </c>
      <c r="AO107" s="45">
        <f t="shared" si="42"/>
        <v>35524.798252709377</v>
      </c>
      <c r="AP107" s="43" t="str">
        <f t="shared" si="43"/>
        <v>Widely Accessible</v>
      </c>
      <c r="AQ107" s="45">
        <f>IF(AP107="None", AK107*'[1]Gavi Simplified'!$Y$3, IF(AP107="Limited", AK107*'[1]Gavi Simplified'!$Y$4, IF(AP107="Accessible", AK107*'[1]Gavi Simplified'!$Y$5, AK107)))</f>
        <v>404.10482115099921</v>
      </c>
      <c r="AR107" s="45">
        <f t="shared" si="44"/>
        <v>142099.19301083751</v>
      </c>
      <c r="AS107" s="45">
        <f t="shared" si="45"/>
        <v>40599.769431667861</v>
      </c>
      <c r="AT107" s="45">
        <f t="shared" si="46"/>
        <v>28419.8386021675</v>
      </c>
      <c r="AU107" s="45">
        <f t="shared" si="47"/>
        <v>35524.798252709377</v>
      </c>
      <c r="AV107" s="45">
        <f t="shared" si="48"/>
        <v>134994.23336029565</v>
      </c>
      <c r="AW107" s="45">
        <f t="shared" si="49"/>
        <v>35524.798252709377</v>
      </c>
      <c r="AX107" s="45">
        <f t="shared" si="50"/>
        <v>35524.798252709377</v>
      </c>
      <c r="AY107" s="45">
        <f t="shared" si="51"/>
        <v>35524.798252709377</v>
      </c>
      <c r="AZ107" s="45">
        <f t="shared" si="52"/>
        <v>35524.798252709377</v>
      </c>
      <c r="BA107" s="45">
        <f t="shared" si="53"/>
        <v>35524.798252709377</v>
      </c>
    </row>
    <row r="108" spans="2:53" x14ac:dyDescent="0.2">
      <c r="B108" s="12" t="s">
        <v>675</v>
      </c>
      <c r="C108" s="46" t="s">
        <v>143</v>
      </c>
      <c r="D108" s="32">
        <v>28838499</v>
      </c>
      <c r="E108" s="47" t="s">
        <v>676</v>
      </c>
      <c r="F108" s="47" t="s">
        <v>677</v>
      </c>
      <c r="G108" s="48" t="s">
        <v>678</v>
      </c>
      <c r="H108" s="48" t="s">
        <v>679</v>
      </c>
      <c r="I108" s="48" t="s">
        <v>680</v>
      </c>
      <c r="J108" s="48" t="s">
        <v>355</v>
      </c>
      <c r="K108" s="48" t="s">
        <v>681</v>
      </c>
      <c r="L108" s="48" t="s">
        <v>682</v>
      </c>
      <c r="M108" s="13" t="str">
        <f t="shared" si="27"/>
        <v>3.57</v>
      </c>
      <c r="N108" s="13" t="str">
        <f t="shared" si="28"/>
        <v>4</v>
      </c>
      <c r="O108" s="13">
        <f t="shared" si="29"/>
        <v>3.57</v>
      </c>
      <c r="P108" s="13">
        <f t="shared" si="30"/>
        <v>-4</v>
      </c>
      <c r="Q108" s="13">
        <f t="shared" si="31"/>
        <v>3.57E-4</v>
      </c>
      <c r="R108" s="13" t="str">
        <f t="shared" si="32"/>
        <v>3.89</v>
      </c>
      <c r="S108" s="13" t="str">
        <f t="shared" si="33"/>
        <v>3</v>
      </c>
      <c r="T108" s="13">
        <f t="shared" si="34"/>
        <v>3.89</v>
      </c>
      <c r="U108" s="13">
        <f t="shared" si="35"/>
        <v>-3</v>
      </c>
      <c r="V108" s="49">
        <f t="shared" si="36"/>
        <v>3.8900000000000002E-3</v>
      </c>
      <c r="W108" s="50">
        <v>1.700371008096584E-2</v>
      </c>
      <c r="X108" s="50">
        <v>8.9663949958335447E-4</v>
      </c>
      <c r="Y108" s="50">
        <v>0.42562940399340982</v>
      </c>
      <c r="Z108" s="51">
        <v>4.613613846023739</v>
      </c>
      <c r="AA108" s="51">
        <v>0.24328504723215</v>
      </c>
      <c r="AB108" s="52">
        <v>115.48595584072</v>
      </c>
      <c r="AC108" s="4" t="e">
        <v>#N/A</v>
      </c>
      <c r="AD108" s="4" t="e">
        <v>#N/A</v>
      </c>
      <c r="AE108" s="4" t="e">
        <v>#N/A</v>
      </c>
      <c r="AF108" s="53" t="e">
        <v>#N/A</v>
      </c>
      <c r="AG108" s="54" t="e">
        <v>#N/A</v>
      </c>
      <c r="AH108" s="55">
        <v>54.1</v>
      </c>
      <c r="AI108" s="43"/>
      <c r="AJ108" s="44">
        <f t="shared" si="37"/>
        <v>0.20738836279383477</v>
      </c>
      <c r="AK108" s="45">
        <f t="shared" si="38"/>
        <v>471.44614648195829</v>
      </c>
      <c r="AL108" s="45">
        <f t="shared" si="39"/>
        <v>135957.99223873808</v>
      </c>
      <c r="AM108" s="45">
        <f t="shared" si="40"/>
        <v>38845.140639639452</v>
      </c>
      <c r="AN108" s="45">
        <f t="shared" si="41"/>
        <v>27191.598447747616</v>
      </c>
      <c r="AO108" s="45">
        <f t="shared" si="42"/>
        <v>33989.49805968452</v>
      </c>
      <c r="AP108" s="43" t="str">
        <f t="shared" si="43"/>
        <v>Widely Accessible</v>
      </c>
      <c r="AQ108" s="45">
        <f>IF(AP108="None", AK108*'[1]Gavi Simplified'!$Y$3, IF(AP108="Limited", AK108*'[1]Gavi Simplified'!$Y$4, IF(AP108="Accessible", AK108*'[1]Gavi Simplified'!$Y$5, AK108)))</f>
        <v>471.44614648195829</v>
      </c>
      <c r="AR108" s="45">
        <f t="shared" si="44"/>
        <v>135957.99223873808</v>
      </c>
      <c r="AS108" s="45">
        <f t="shared" si="45"/>
        <v>38845.140639639452</v>
      </c>
      <c r="AT108" s="45">
        <f t="shared" si="46"/>
        <v>27191.598447747616</v>
      </c>
      <c r="AU108" s="45">
        <f t="shared" si="47"/>
        <v>33989.49805968452</v>
      </c>
      <c r="AV108" s="45">
        <f t="shared" si="48"/>
        <v>129160.09262680117</v>
      </c>
      <c r="AW108" s="45">
        <f t="shared" si="49"/>
        <v>33989.49805968452</v>
      </c>
      <c r="AX108" s="45">
        <f t="shared" si="50"/>
        <v>33989.49805968452</v>
      </c>
      <c r="AY108" s="45">
        <f t="shared" si="51"/>
        <v>33989.49805968452</v>
      </c>
      <c r="AZ108" s="45">
        <f t="shared" si="52"/>
        <v>33989.49805968452</v>
      </c>
      <c r="BA108" s="45">
        <f t="shared" si="53"/>
        <v>33989.49805968452</v>
      </c>
    </row>
    <row r="109" spans="2:53" x14ac:dyDescent="0.2">
      <c r="B109" s="71" t="s">
        <v>683</v>
      </c>
      <c r="C109" s="61" t="s">
        <v>182</v>
      </c>
      <c r="D109" s="32">
        <v>98858950</v>
      </c>
      <c r="E109" s="58" t="s">
        <v>684</v>
      </c>
      <c r="F109" s="58" t="s">
        <v>685</v>
      </c>
      <c r="G109" s="59" t="s">
        <v>73</v>
      </c>
      <c r="H109" s="59" t="s">
        <v>686</v>
      </c>
      <c r="I109" s="59" t="s">
        <v>687</v>
      </c>
      <c r="J109" s="59" t="s">
        <v>688</v>
      </c>
      <c r="K109" s="59" t="s">
        <v>689</v>
      </c>
      <c r="L109" s="59" t="s">
        <v>690</v>
      </c>
      <c r="M109" s="13" t="str">
        <f t="shared" si="27"/>
        <v>3.89</v>
      </c>
      <c r="N109" s="13" t="str">
        <f t="shared" si="28"/>
        <v>4</v>
      </c>
      <c r="O109" s="13">
        <f t="shared" si="29"/>
        <v>3.89</v>
      </c>
      <c r="P109" s="13">
        <f t="shared" si="30"/>
        <v>-4</v>
      </c>
      <c r="Q109" s="13">
        <f t="shared" si="31"/>
        <v>3.8900000000000002E-4</v>
      </c>
      <c r="R109" s="13" t="str">
        <f t="shared" si="32"/>
        <v>4.21</v>
      </c>
      <c r="S109" s="13" t="str">
        <f t="shared" si="33"/>
        <v>3</v>
      </c>
      <c r="T109" s="13">
        <f t="shared" si="34"/>
        <v>4.21</v>
      </c>
      <c r="U109" s="13">
        <f t="shared" si="35"/>
        <v>-3</v>
      </c>
      <c r="V109" s="49">
        <f t="shared" si="36"/>
        <v>4.2100000000000002E-3</v>
      </c>
      <c r="W109" s="50">
        <v>4.7804666356604512E-2</v>
      </c>
      <c r="X109" s="50">
        <v>2.7395667270273379E-2</v>
      </c>
      <c r="Y109" s="50">
        <v>9.269482701383211E-2</v>
      </c>
      <c r="Z109" s="51">
        <v>47.910014210455053</v>
      </c>
      <c r="AA109" s="51">
        <v>27.456039509464372</v>
      </c>
      <c r="AB109" s="52">
        <v>92.899099982000308</v>
      </c>
      <c r="AC109" s="4">
        <v>330</v>
      </c>
      <c r="AD109" s="4">
        <v>500</v>
      </c>
      <c r="AE109" s="4">
        <v>700</v>
      </c>
      <c r="AF109" s="53">
        <v>0.34</v>
      </c>
      <c r="AG109" s="54">
        <v>0.71</v>
      </c>
      <c r="AH109" s="55">
        <v>55.6</v>
      </c>
      <c r="AI109" s="43"/>
      <c r="AJ109" s="44">
        <f t="shared" si="37"/>
        <v>0.22803950507658952</v>
      </c>
      <c r="AK109" s="45">
        <f t="shared" si="38"/>
        <v>490.04675883859545</v>
      </c>
      <c r="AL109" s="45">
        <f t="shared" si="39"/>
        <v>484455.0802968677</v>
      </c>
      <c r="AM109" s="45">
        <f t="shared" si="40"/>
        <v>138415.73722767649</v>
      </c>
      <c r="AN109" s="45">
        <f t="shared" si="41"/>
        <v>96891.016059373535</v>
      </c>
      <c r="AO109" s="45">
        <f t="shared" si="42"/>
        <v>121113.77007421691</v>
      </c>
      <c r="AP109" s="43" t="str">
        <f t="shared" si="43"/>
        <v>Widely Accessible</v>
      </c>
      <c r="AQ109" s="45">
        <f>IF(AP109="None", AK109*'[1]Gavi Simplified'!$Y$3, IF(AP109="Limited", AK109*'[1]Gavi Simplified'!$Y$4, IF(AP109="Accessible", AK109*'[1]Gavi Simplified'!$Y$5, AK109)))</f>
        <v>490.04675883859545</v>
      </c>
      <c r="AR109" s="45">
        <f t="shared" si="44"/>
        <v>484455.0802968677</v>
      </c>
      <c r="AS109" s="45">
        <f t="shared" si="45"/>
        <v>138415.73722767649</v>
      </c>
      <c r="AT109" s="45">
        <f t="shared" si="46"/>
        <v>96891.016059373535</v>
      </c>
      <c r="AU109" s="45">
        <f t="shared" si="47"/>
        <v>121113.77007421691</v>
      </c>
      <c r="AV109" s="45">
        <f t="shared" si="48"/>
        <v>460232.32628202427</v>
      </c>
      <c r="AW109" s="45">
        <f t="shared" si="49"/>
        <v>121113.77007421691</v>
      </c>
      <c r="AX109" s="45">
        <f t="shared" si="50"/>
        <v>121113.77007421691</v>
      </c>
      <c r="AY109" s="45">
        <f t="shared" si="51"/>
        <v>121113.77007421691</v>
      </c>
      <c r="AZ109" s="45">
        <f t="shared" si="52"/>
        <v>121113.77007421691</v>
      </c>
      <c r="BA109" s="45">
        <f t="shared" si="53"/>
        <v>121113.77007421691</v>
      </c>
    </row>
    <row r="110" spans="2:53" x14ac:dyDescent="0.2">
      <c r="B110" s="66" t="s">
        <v>691</v>
      </c>
      <c r="C110" s="64" t="s">
        <v>104</v>
      </c>
      <c r="D110" s="32">
        <v>34449825</v>
      </c>
      <c r="E110" s="47" t="s">
        <v>105</v>
      </c>
      <c r="F110" s="47" t="s">
        <v>373</v>
      </c>
      <c r="G110" s="48" t="s">
        <v>692</v>
      </c>
      <c r="H110" s="48" t="s">
        <v>663</v>
      </c>
      <c r="I110" s="48" t="s">
        <v>109</v>
      </c>
      <c r="J110" s="48" t="s">
        <v>110</v>
      </c>
      <c r="K110" s="48" t="s">
        <v>693</v>
      </c>
      <c r="L110" s="48" t="s">
        <v>112</v>
      </c>
      <c r="M110" s="13" t="str">
        <f t="shared" si="27"/>
        <v>4.73</v>
      </c>
      <c r="N110" s="13" t="str">
        <f t="shared" si="28"/>
        <v>4</v>
      </c>
      <c r="O110" s="13">
        <f t="shared" si="29"/>
        <v>4.7300000000000004</v>
      </c>
      <c r="P110" s="13">
        <f t="shared" si="30"/>
        <v>-4</v>
      </c>
      <c r="Q110" s="13">
        <f t="shared" si="31"/>
        <v>4.7300000000000006E-4</v>
      </c>
      <c r="R110" s="13" t="str">
        <f t="shared" si="32"/>
        <v>5.16</v>
      </c>
      <c r="S110" s="13" t="str">
        <f t="shared" si="33"/>
        <v>3</v>
      </c>
      <c r="T110" s="13">
        <f t="shared" si="34"/>
        <v>5.16</v>
      </c>
      <c r="U110" s="13">
        <f t="shared" si="35"/>
        <v>-3</v>
      </c>
      <c r="V110" s="49">
        <f t="shared" si="36"/>
        <v>5.1600000000000005E-3</v>
      </c>
      <c r="W110" s="50">
        <v>1.2679545617134991</v>
      </c>
      <c r="X110" s="50">
        <v>0.65647347376113996</v>
      </c>
      <c r="Y110" s="50">
        <v>3.51622791445496</v>
      </c>
      <c r="Z110" s="51">
        <v>404.97873582685048</v>
      </c>
      <c r="AA110" s="51">
        <v>209.67454634050179</v>
      </c>
      <c r="AB110" s="52">
        <v>1123.0666923510889</v>
      </c>
      <c r="AC110" s="4" t="e">
        <v>#N/A</v>
      </c>
      <c r="AD110" s="4" t="e">
        <v>#N/A</v>
      </c>
      <c r="AE110" s="4" t="e">
        <v>#N/A</v>
      </c>
      <c r="AF110" s="53" t="e">
        <v>#N/A</v>
      </c>
      <c r="AG110" s="54" t="e">
        <v>#N/A</v>
      </c>
      <c r="AH110" s="55">
        <v>39.299999999999997</v>
      </c>
      <c r="AI110" s="43">
        <v>3</v>
      </c>
      <c r="AJ110" s="44">
        <f t="shared" si="37"/>
        <v>6.8392282625313494E-2</v>
      </c>
      <c r="AK110" s="45">
        <f t="shared" si="38"/>
        <v>254.0732197774114</v>
      </c>
      <c r="AL110" s="45">
        <f t="shared" si="39"/>
        <v>87527.779585183613</v>
      </c>
      <c r="AM110" s="45">
        <f t="shared" si="40"/>
        <v>25007.937024338175</v>
      </c>
      <c r="AN110" s="45">
        <f t="shared" si="41"/>
        <v>17505.55591703672</v>
      </c>
      <c r="AO110" s="45">
        <f t="shared" si="42"/>
        <v>21881.9448962959</v>
      </c>
      <c r="AP110" s="43" t="str">
        <f t="shared" si="43"/>
        <v>Accessible</v>
      </c>
      <c r="AQ110" s="45">
        <f>IF(AP110="None", AK110*'[1]Gavi Simplified'!$Y$3, IF(AP110="Limited", AK110*'[1]Gavi Simplified'!$Y$4, IF(AP110="Accessible", AK110*'[1]Gavi Simplified'!$Y$5, AK110)))</f>
        <v>787.39508388842671</v>
      </c>
      <c r="AR110" s="45">
        <f t="shared" si="44"/>
        <v>271256.22845816618</v>
      </c>
      <c r="AS110" s="45">
        <f t="shared" si="45"/>
        <v>77501.779559476054</v>
      </c>
      <c r="AT110" s="45">
        <f t="shared" si="46"/>
        <v>54251.245691633238</v>
      </c>
      <c r="AU110" s="45">
        <f t="shared" si="47"/>
        <v>67814.057114541545</v>
      </c>
      <c r="AV110" s="45">
        <f t="shared" si="48"/>
        <v>211761.30481701222</v>
      </c>
      <c r="AW110" s="45">
        <f t="shared" si="49"/>
        <v>21881.9448962959</v>
      </c>
      <c r="AX110" s="45">
        <f t="shared" si="50"/>
        <v>27125.622845816619</v>
      </c>
      <c r="AY110" s="45">
        <f t="shared" si="51"/>
        <v>40688.43426872493</v>
      </c>
      <c r="AZ110" s="45">
        <f t="shared" si="52"/>
        <v>54251.245691633238</v>
      </c>
      <c r="BA110" s="45">
        <f t="shared" si="53"/>
        <v>67814.057114541545</v>
      </c>
    </row>
    <row r="111" spans="2:53" x14ac:dyDescent="0.2">
      <c r="B111" s="70" t="s">
        <v>694</v>
      </c>
      <c r="C111" s="57" t="s">
        <v>153</v>
      </c>
      <c r="D111" s="32">
        <v>20569737</v>
      </c>
      <c r="E111" s="58" t="s">
        <v>695</v>
      </c>
      <c r="F111" s="58" t="s">
        <v>696</v>
      </c>
      <c r="G111" s="59" t="s">
        <v>697</v>
      </c>
      <c r="H111" s="59" t="s">
        <v>698</v>
      </c>
      <c r="I111" s="59" t="s">
        <v>699</v>
      </c>
      <c r="J111" s="59" t="s">
        <v>700</v>
      </c>
      <c r="K111" s="59" t="s">
        <v>701</v>
      </c>
      <c r="L111" s="59" t="s">
        <v>112</v>
      </c>
      <c r="M111" s="13" t="str">
        <f t="shared" si="27"/>
        <v>5.15</v>
      </c>
      <c r="N111" s="13" t="str">
        <f t="shared" si="28"/>
        <v>4</v>
      </c>
      <c r="O111" s="13">
        <f t="shared" si="29"/>
        <v>5.15</v>
      </c>
      <c r="P111" s="13">
        <f t="shared" si="30"/>
        <v>-4</v>
      </c>
      <c r="Q111" s="13">
        <f t="shared" si="31"/>
        <v>5.1500000000000005E-4</v>
      </c>
      <c r="R111" s="13" t="str">
        <f t="shared" si="32"/>
        <v>5.42</v>
      </c>
      <c r="S111" s="13" t="str">
        <f t="shared" si="33"/>
        <v>3</v>
      </c>
      <c r="T111" s="13">
        <f t="shared" si="34"/>
        <v>5.42</v>
      </c>
      <c r="U111" s="13">
        <f t="shared" si="35"/>
        <v>-3</v>
      </c>
      <c r="V111" s="49">
        <f t="shared" si="36"/>
        <v>5.4200000000000003E-3</v>
      </c>
      <c r="W111" s="50">
        <v>0.85219220645756566</v>
      </c>
      <c r="X111" s="50">
        <v>0.61454559368713868</v>
      </c>
      <c r="Y111" s="50">
        <v>1.0414269004986609</v>
      </c>
      <c r="Z111" s="51">
        <v>170.5991215643989</v>
      </c>
      <c r="AA111" s="51">
        <v>123.0249908997711</v>
      </c>
      <c r="AB111" s="52">
        <v>208.48174044813089</v>
      </c>
      <c r="AC111" s="4">
        <v>390</v>
      </c>
      <c r="AD111" s="4">
        <v>580</v>
      </c>
      <c r="AE111" s="4">
        <v>775</v>
      </c>
      <c r="AF111" s="53">
        <v>2.1018593371059016</v>
      </c>
      <c r="AG111" s="54">
        <v>4.1767717596335219</v>
      </c>
      <c r="AH111" s="55">
        <v>31.6</v>
      </c>
      <c r="AI111" s="43">
        <v>2</v>
      </c>
      <c r="AJ111" s="44">
        <f t="shared" si="37"/>
        <v>3.208439768187564E-2</v>
      </c>
      <c r="AK111" s="45">
        <f t="shared" si="38"/>
        <v>105.76122085762017</v>
      </c>
      <c r="AL111" s="45">
        <f t="shared" si="39"/>
        <v>21754.804978401615</v>
      </c>
      <c r="AM111" s="45">
        <f t="shared" si="40"/>
        <v>6215.6585652576041</v>
      </c>
      <c r="AN111" s="45">
        <f t="shared" si="41"/>
        <v>4350.9609956803224</v>
      </c>
      <c r="AO111" s="45">
        <f t="shared" si="42"/>
        <v>5438.7012446004028</v>
      </c>
      <c r="AP111" s="43" t="str">
        <f t="shared" si="43"/>
        <v>Limited</v>
      </c>
      <c r="AQ111" s="45">
        <f>IF(AP111="None", AK111*'[1]Gavi Simplified'!$Y$3, IF(AP111="Limited", AK111*'[1]Gavi Simplified'!$Y$4, IF(AP111="Accessible", AK111*'[1]Gavi Simplified'!$Y$5, AK111)))</f>
        <v>368.46380795880634</v>
      </c>
      <c r="AR111" s="45">
        <f t="shared" si="44"/>
        <v>75792.036237311535</v>
      </c>
      <c r="AS111" s="45">
        <f t="shared" si="45"/>
        <v>21654.867496374725</v>
      </c>
      <c r="AT111" s="45">
        <f t="shared" si="46"/>
        <v>15158.407247462306</v>
      </c>
      <c r="AU111" s="45">
        <f t="shared" si="47"/>
        <v>18948.009059327884</v>
      </c>
      <c r="AV111" s="45">
        <f t="shared" si="48"/>
        <v>58493.126610718478</v>
      </c>
      <c r="AW111" s="45">
        <f t="shared" si="49"/>
        <v>5438.7012446004028</v>
      </c>
      <c r="AX111" s="45">
        <f t="shared" si="50"/>
        <v>7579.203623731154</v>
      </c>
      <c r="AY111" s="45">
        <f t="shared" si="51"/>
        <v>11368.805435596729</v>
      </c>
      <c r="AZ111" s="45">
        <f t="shared" si="52"/>
        <v>15158.407247462308</v>
      </c>
      <c r="BA111" s="45">
        <f t="shared" si="53"/>
        <v>18948.009059327884</v>
      </c>
    </row>
    <row r="112" spans="2:53" ht="16" thickBot="1" x14ac:dyDescent="0.25">
      <c r="B112" s="74" t="s">
        <v>702</v>
      </c>
      <c r="C112" s="75" t="s">
        <v>153</v>
      </c>
      <c r="D112" s="32">
        <v>16665409</v>
      </c>
      <c r="E112" s="33" t="s">
        <v>703</v>
      </c>
      <c r="F112" s="33" t="s">
        <v>524</v>
      </c>
      <c r="G112" s="34" t="s">
        <v>704</v>
      </c>
      <c r="H112" s="34" t="s">
        <v>705</v>
      </c>
      <c r="I112" s="34" t="s">
        <v>706</v>
      </c>
      <c r="J112" s="34" t="s">
        <v>707</v>
      </c>
      <c r="K112" s="34" t="s">
        <v>708</v>
      </c>
      <c r="L112" s="34" t="s">
        <v>709</v>
      </c>
      <c r="M112" s="13" t="str">
        <f t="shared" si="27"/>
        <v>5.74</v>
      </c>
      <c r="N112" s="13" t="str">
        <f t="shared" si="28"/>
        <v>4</v>
      </c>
      <c r="O112" s="13">
        <f t="shared" si="29"/>
        <v>5.74</v>
      </c>
      <c r="P112" s="13">
        <f t="shared" si="30"/>
        <v>-4</v>
      </c>
      <c r="Q112" s="13">
        <f t="shared" si="31"/>
        <v>5.7400000000000007E-4</v>
      </c>
      <c r="R112" s="13" t="str">
        <f t="shared" si="32"/>
        <v>6.14</v>
      </c>
      <c r="S112" s="13" t="str">
        <f t="shared" si="33"/>
        <v>3</v>
      </c>
      <c r="T112" s="13">
        <f t="shared" si="34"/>
        <v>6.14</v>
      </c>
      <c r="U112" s="13">
        <f t="shared" si="35"/>
        <v>-3</v>
      </c>
      <c r="V112" s="76">
        <f t="shared" si="36"/>
        <v>6.1399999999999996E-3</v>
      </c>
      <c r="W112" s="77">
        <v>0.8305797360431677</v>
      </c>
      <c r="X112" s="77">
        <v>0.59796689909878986</v>
      </c>
      <c r="Y112" s="77">
        <v>1.016360685872691</v>
      </c>
      <c r="Z112" s="78">
        <v>128.6985183571089</v>
      </c>
      <c r="AA112" s="78">
        <v>92.655106549107245</v>
      </c>
      <c r="AB112" s="79">
        <v>157.48531864186009</v>
      </c>
      <c r="AC112" s="80">
        <v>400</v>
      </c>
      <c r="AD112" s="80">
        <v>562</v>
      </c>
      <c r="AE112" s="80">
        <v>755</v>
      </c>
      <c r="AF112" s="81" t="e">
        <v>#N/A</v>
      </c>
      <c r="AG112" s="82" t="e">
        <v>#N/A</v>
      </c>
      <c r="AH112" s="83">
        <v>28.6</v>
      </c>
      <c r="AI112" s="43">
        <v>1</v>
      </c>
      <c r="AJ112" s="44">
        <f t="shared" si="37"/>
        <v>2.2695035167675581E-2</v>
      </c>
      <c r="AK112" s="45">
        <f t="shared" si="38"/>
        <v>37.918976927687709</v>
      </c>
      <c r="AL112" s="45">
        <f t="shared" si="39"/>
        <v>6319.3525936147917</v>
      </c>
      <c r="AM112" s="45">
        <f t="shared" si="40"/>
        <v>1805.529312461369</v>
      </c>
      <c r="AN112" s="45">
        <f t="shared" si="41"/>
        <v>1263.8705187229582</v>
      </c>
      <c r="AO112" s="45">
        <f t="shared" si="42"/>
        <v>1579.8381484036977</v>
      </c>
      <c r="AP112" s="43" t="str">
        <f t="shared" si="43"/>
        <v>None</v>
      </c>
      <c r="AQ112" s="45">
        <f>IF(AP112="None", AK112*'[1]Gavi Simplified'!$Y$3, IF(AP112="Limited", AK112*'[1]Gavi Simplified'!$Y$4, IF(AP112="Accessible", AK112*'[1]Gavi Simplified'!$Y$5, AK112)))</f>
        <v>160.41229802197299</v>
      </c>
      <c r="AR112" s="45">
        <f t="shared" si="44"/>
        <v>26733.36555166071</v>
      </c>
      <c r="AS112" s="45">
        <f t="shared" si="45"/>
        <v>7638.104443331632</v>
      </c>
      <c r="AT112" s="45">
        <f t="shared" si="46"/>
        <v>5346.6731103321417</v>
      </c>
      <c r="AU112" s="45">
        <f t="shared" si="47"/>
        <v>6683.3413879151776</v>
      </c>
      <c r="AV112" s="45">
        <f t="shared" si="48"/>
        <v>20293.194034566197</v>
      </c>
      <c r="AW112" s="45">
        <f t="shared" si="49"/>
        <v>1579.8381484036977</v>
      </c>
      <c r="AX112" s="45">
        <f t="shared" si="50"/>
        <v>2673.3365551660713</v>
      </c>
      <c r="AY112" s="45">
        <f t="shared" si="51"/>
        <v>4010.0048327491068</v>
      </c>
      <c r="AZ112" s="45">
        <f t="shared" si="52"/>
        <v>5346.6731103321426</v>
      </c>
      <c r="BA112" s="45">
        <f t="shared" si="53"/>
        <v>6683.3413879151776</v>
      </c>
    </row>
    <row r="114" spans="38:44" x14ac:dyDescent="0.2">
      <c r="AL114" s="84">
        <f>SUM(AL1:AL112)</f>
        <v>23201615.560199592</v>
      </c>
      <c r="AM114" s="84"/>
      <c r="AN114" s="84"/>
      <c r="AO114" s="84"/>
      <c r="AR114" s="84">
        <f>SUM(AR1:AR112)</f>
        <v>39669286.944240913</v>
      </c>
    </row>
  </sheetData>
  <mergeCells count="16">
    <mergeCell ref="AI7:BA9"/>
    <mergeCell ref="B8:B10"/>
    <mergeCell ref="C8:C10"/>
    <mergeCell ref="E8:H8"/>
    <mergeCell ref="I8:L8"/>
    <mergeCell ref="V8:V9"/>
    <mergeCell ref="K9:L9"/>
    <mergeCell ref="E7:V7"/>
    <mergeCell ref="W7:AB9"/>
    <mergeCell ref="AC7:AG9"/>
    <mergeCell ref="AH7:AH9"/>
    <mergeCell ref="E9:E10"/>
    <mergeCell ref="F9:F10"/>
    <mergeCell ref="G9:H9"/>
    <mergeCell ref="I9:I10"/>
    <mergeCell ref="J9:J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302A-5B07-41CF-9E59-BCE335179B89}">
  <dimension ref="A1:BP23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0.6640625" customWidth="1"/>
    <col min="2" max="3" width="11.83203125" customWidth="1"/>
    <col min="4" max="4" width="17.83203125" bestFit="1" customWidth="1"/>
    <col min="5" max="6" width="17.83203125" customWidth="1"/>
    <col min="7" max="7" width="14.5" bestFit="1" customWidth="1"/>
    <col min="8" max="8" width="17.83203125" bestFit="1" customWidth="1"/>
    <col min="9" max="9" width="16.6640625" bestFit="1" customWidth="1"/>
    <col min="10" max="13" width="16" customWidth="1"/>
    <col min="14" max="14" width="9.33203125" bestFit="1" customWidth="1"/>
    <col min="18" max="18" width="12.5" customWidth="1"/>
    <col min="19" max="28" width="13.33203125" customWidth="1"/>
    <col min="30" max="30" width="13.6640625" bestFit="1" customWidth="1"/>
    <col min="31" max="31" width="21.6640625" bestFit="1" customWidth="1"/>
    <col min="32" max="32" width="9.5" bestFit="1" customWidth="1"/>
    <col min="33" max="33" width="16.1640625" bestFit="1" customWidth="1"/>
    <col min="34" max="34" width="14.5" bestFit="1" customWidth="1"/>
    <col min="35" max="36" width="9.5" bestFit="1" customWidth="1"/>
    <col min="37" max="37" width="11.5" bestFit="1" customWidth="1"/>
    <col min="38" max="46" width="9.5" bestFit="1" customWidth="1"/>
    <col min="47" max="47" width="9.6640625" bestFit="1" customWidth="1"/>
    <col min="48" max="48" width="9.5" bestFit="1" customWidth="1"/>
    <col min="49" max="49" width="9.6640625" bestFit="1" customWidth="1"/>
    <col min="50" max="50" width="9.5" bestFit="1" customWidth="1"/>
    <col min="57" max="57" width="9.33203125" bestFit="1" customWidth="1"/>
    <col min="59" max="59" width="14.5" bestFit="1" customWidth="1"/>
    <col min="60" max="60" width="9.33203125" bestFit="1" customWidth="1"/>
    <col min="61" max="61" width="11.5" bestFit="1" customWidth="1"/>
  </cols>
  <sheetData>
    <row r="1" spans="1:68" ht="47" thickBot="1" x14ac:dyDescent="0.25">
      <c r="A1" s="85" t="s">
        <v>5</v>
      </c>
      <c r="B1" s="85" t="s">
        <v>710</v>
      </c>
      <c r="C1" s="85" t="s">
        <v>711</v>
      </c>
      <c r="D1" s="85" t="s">
        <v>712</v>
      </c>
      <c r="E1" s="85" t="s">
        <v>3</v>
      </c>
      <c r="F1" s="85" t="s">
        <v>713</v>
      </c>
      <c r="G1" s="85" t="s">
        <v>714</v>
      </c>
      <c r="H1" s="85" t="s">
        <v>715</v>
      </c>
      <c r="I1" s="85" t="s">
        <v>716</v>
      </c>
      <c r="J1" s="85" t="s">
        <v>717</v>
      </c>
      <c r="K1" s="85" t="s">
        <v>718</v>
      </c>
      <c r="L1" s="85" t="s">
        <v>719</v>
      </c>
      <c r="M1" s="85" t="s">
        <v>720</v>
      </c>
      <c r="N1" s="86" t="s">
        <v>31</v>
      </c>
      <c r="O1" s="86"/>
      <c r="P1" s="86"/>
      <c r="R1" s="87"/>
      <c r="S1" s="88" t="s">
        <v>721</v>
      </c>
      <c r="T1" s="88" t="s">
        <v>718</v>
      </c>
      <c r="U1" s="88" t="s">
        <v>30</v>
      </c>
      <c r="V1" s="88" t="s">
        <v>722</v>
      </c>
      <c r="W1" s="88" t="s">
        <v>31</v>
      </c>
      <c r="X1" s="88" t="s">
        <v>723</v>
      </c>
      <c r="Y1" s="88" t="s">
        <v>724</v>
      </c>
      <c r="Z1" s="88" t="s">
        <v>725</v>
      </c>
      <c r="AA1" s="89"/>
      <c r="AB1" s="89"/>
    </row>
    <row r="2" spans="1:68" ht="46" thickBot="1" x14ac:dyDescent="0.25">
      <c r="A2" s="90" t="s">
        <v>683</v>
      </c>
      <c r="B2" s="91" t="s">
        <v>726</v>
      </c>
      <c r="C2" s="91" t="s">
        <v>727</v>
      </c>
      <c r="D2" s="91" t="s">
        <v>728</v>
      </c>
      <c r="E2" s="91">
        <f>VLOOKUP(A2,[1]Fact_Check!$B$11:$AH$200,33,FALSE)</f>
        <v>55.6</v>
      </c>
      <c r="F2" s="91">
        <v>27.9</v>
      </c>
      <c r="G2" s="91" t="s">
        <v>729</v>
      </c>
      <c r="H2" s="91" t="s">
        <v>728</v>
      </c>
      <c r="I2" s="91" t="s">
        <v>730</v>
      </c>
      <c r="J2" s="92">
        <f t="shared" ref="J2:J24" si="0">VLOOKUP(A2,$BF$2:$BG$235,2,FALSE)</f>
        <v>98858950</v>
      </c>
      <c r="K2" s="93">
        <v>0.03</v>
      </c>
      <c r="L2" s="92">
        <v>475000</v>
      </c>
      <c r="M2" s="93">
        <f t="shared" ref="M2:M26" si="1">L2/(J2*K2)</f>
        <v>0.16016084869739497</v>
      </c>
      <c r="N2" s="94">
        <f t="shared" ref="N2:N26" si="2">L2/J2*100000</f>
        <v>480.48254609218486</v>
      </c>
      <c r="O2" s="94"/>
      <c r="R2" s="87" t="s">
        <v>731</v>
      </c>
      <c r="S2" s="95">
        <v>20</v>
      </c>
      <c r="T2" s="96">
        <v>0.03</v>
      </c>
      <c r="U2" s="96">
        <v>0.01</v>
      </c>
      <c r="V2" s="96"/>
      <c r="W2" s="95">
        <v>10</v>
      </c>
      <c r="X2" s="95"/>
      <c r="Y2" s="97" t="s">
        <v>732</v>
      </c>
      <c r="Z2" s="97" t="s">
        <v>732</v>
      </c>
      <c r="AA2" s="98"/>
      <c r="AB2" s="99">
        <f>QUARTILE(N2:N9,1)</f>
        <v>76.060795217206348</v>
      </c>
      <c r="AD2" s="100" t="s">
        <v>733</v>
      </c>
      <c r="AE2" s="100" t="s">
        <v>734</v>
      </c>
      <c r="AF2" s="100" t="s">
        <v>735</v>
      </c>
      <c r="AG2" s="101" t="s">
        <v>736</v>
      </c>
      <c r="AH2" s="102" t="s">
        <v>717</v>
      </c>
      <c r="AI2" s="102" t="s">
        <v>737</v>
      </c>
      <c r="AJ2" s="102" t="s">
        <v>738</v>
      </c>
      <c r="AK2" s="102" t="s">
        <v>739</v>
      </c>
      <c r="AL2" s="102" t="s">
        <v>740</v>
      </c>
      <c r="AM2" s="102" t="s">
        <v>741</v>
      </c>
      <c r="AN2" s="102" t="s">
        <v>742</v>
      </c>
      <c r="AO2" s="102" t="s">
        <v>743</v>
      </c>
      <c r="AP2" s="103" t="s">
        <v>744</v>
      </c>
      <c r="AQ2" s="103" t="s">
        <v>745</v>
      </c>
      <c r="AR2" s="102" t="s">
        <v>746</v>
      </c>
      <c r="AS2" s="102" t="s">
        <v>747</v>
      </c>
      <c r="AT2" s="102" t="s">
        <v>748</v>
      </c>
      <c r="AU2" s="102" t="s">
        <v>749</v>
      </c>
      <c r="AV2" s="102" t="s">
        <v>750</v>
      </c>
      <c r="AW2" s="102" t="s">
        <v>751</v>
      </c>
      <c r="AX2" s="102" t="s">
        <v>3</v>
      </c>
      <c r="BE2">
        <v>1</v>
      </c>
      <c r="BF2" s="104" t="s">
        <v>356</v>
      </c>
      <c r="BG2" s="105">
        <v>1428627663</v>
      </c>
      <c r="BH2" s="106">
        <v>8.0999999999999996E-3</v>
      </c>
      <c r="BI2" s="107">
        <v>11454490</v>
      </c>
      <c r="BJ2" s="108">
        <v>481</v>
      </c>
      <c r="BK2" s="107">
        <v>2973190</v>
      </c>
      <c r="BL2" s="107">
        <v>-486136</v>
      </c>
      <c r="BM2" s="108">
        <v>2</v>
      </c>
      <c r="BN2" s="108">
        <v>28</v>
      </c>
      <c r="BO2" s="109">
        <v>0.36</v>
      </c>
      <c r="BP2" s="110">
        <v>0.17760000000000001</v>
      </c>
    </row>
    <row r="3" spans="1:68" ht="17" thickBot="1" x14ac:dyDescent="0.25">
      <c r="A3" s="90" t="s">
        <v>190</v>
      </c>
      <c r="B3" s="91" t="s">
        <v>752</v>
      </c>
      <c r="C3" s="91" t="s">
        <v>753</v>
      </c>
      <c r="D3" s="91" t="s">
        <v>728</v>
      </c>
      <c r="E3" s="91">
        <f>VLOOKUP(A3,[1]Fact_Check!$B$11:$AH$200,33,FALSE)</f>
        <v>33.700000000000003</v>
      </c>
      <c r="F3" s="91">
        <v>52.6</v>
      </c>
      <c r="G3" s="91" t="s">
        <v>754</v>
      </c>
      <c r="H3" s="91" t="s">
        <v>755</v>
      </c>
      <c r="I3" s="91" t="s">
        <v>756</v>
      </c>
      <c r="J3" s="92">
        <f t="shared" si="0"/>
        <v>28647293</v>
      </c>
      <c r="K3" s="111">
        <v>2.5999999999999999E-2</v>
      </c>
      <c r="L3" s="112">
        <f>(38*0.6)/100000*J3</f>
        <v>6531.5828040000006</v>
      </c>
      <c r="M3" s="93">
        <f t="shared" si="1"/>
        <v>8.7692307692307705E-3</v>
      </c>
      <c r="N3" s="94">
        <f t="shared" si="2"/>
        <v>22.8</v>
      </c>
      <c r="O3" s="94"/>
      <c r="R3" s="87" t="s">
        <v>755</v>
      </c>
      <c r="S3" s="92">
        <f>MEDIAN(E10:E17)</f>
        <v>30.549999999999997</v>
      </c>
      <c r="T3" s="113">
        <f>MEDIAN(K10:K17)</f>
        <v>2.3E-2</v>
      </c>
      <c r="U3" s="113">
        <f>MEDIAN(M10:M17)</f>
        <v>2.5774611420804963E-2</v>
      </c>
      <c r="V3" t="s">
        <v>757</v>
      </c>
      <c r="W3" s="114">
        <f>MEDIAN(N10:N17)</f>
        <v>42.303962558874574</v>
      </c>
      <c r="X3" s="114" t="s">
        <v>758</v>
      </c>
      <c r="Y3" s="115">
        <f>W3/W2</f>
        <v>4.2303962558874577</v>
      </c>
      <c r="Z3" s="116">
        <f>U3/U2</f>
        <v>2.5774611420804963</v>
      </c>
      <c r="AA3" s="98"/>
      <c r="AB3" s="99">
        <f>_xlfn.QUARTILE.EXC(N2:N9,3)</f>
        <v>328.88161493738403</v>
      </c>
      <c r="AD3" s="117">
        <f>[1]Country_Profile!Y2</f>
        <v>0</v>
      </c>
      <c r="AE3" s="118"/>
      <c r="AF3" s="119"/>
      <c r="AG3" s="120">
        <f>BG20</f>
        <v>83294633</v>
      </c>
      <c r="AH3" s="121">
        <f>[1]Country_Profile!AC7</f>
        <v>0</v>
      </c>
      <c r="AI3" s="122">
        <f>[1]Step1_Inputs!AA10</f>
        <v>0</v>
      </c>
      <c r="AJ3" s="120">
        <f>[1]Step1_Inputs!AO10</f>
        <v>0</v>
      </c>
      <c r="AK3" s="123">
        <f>[1]Step1_Inputs!AB3</f>
        <v>0</v>
      </c>
      <c r="AL3" s="123" t="e">
        <f>[1]Step1_Inputs!AB3/[1]Country_Profile!AC7*10000</f>
        <v>#DIV/0!</v>
      </c>
      <c r="AM3" s="123">
        <f>[1]Step1_Inputs!AI3</f>
        <v>0</v>
      </c>
      <c r="AN3" s="124" t="e">
        <f>(AK3-AM3)/AM3</f>
        <v>#DIV/0!</v>
      </c>
      <c r="AO3" s="125" t="e">
        <f>VLOOKUP([1]Country_Profile!Y2,[1]Fact_Check!AZ2:EW33,28,FALSE)</f>
        <v>#N/A</v>
      </c>
      <c r="AP3" s="126" t="e">
        <f>VLOOKUP([1]Country_Profile!Y2,[1]Fact_Check!AZ2:EW33,21,FALSE)</f>
        <v>#N/A</v>
      </c>
      <c r="AQ3" s="127" t="e">
        <f>VLOOKUP([1]Country_Profile!Y2,[1]Fact_Check!AZ2:EW33,24,FALSE)</f>
        <v>#N/A</v>
      </c>
      <c r="AR3" s="123"/>
      <c r="AS3" s="123"/>
      <c r="AT3" s="120" t="e">
        <f>[1]Step1_Inputs!AI3/[1]Step1_Inputs!AP10</f>
        <v>#DIV/0!</v>
      </c>
      <c r="AU3" s="123">
        <f>([1]Step1_Inputs!AL10)*(AG3)</f>
        <v>0</v>
      </c>
      <c r="AV3" s="125"/>
      <c r="AW3" s="125"/>
      <c r="AX3" s="125" t="e">
        <f>VLOOKUP([1]Country_Profile!Y2,[1]Fact_Check!AZ2:EW33,32,FALSE)</f>
        <v>#N/A</v>
      </c>
      <c r="BE3" s="128">
        <v>2</v>
      </c>
      <c r="BF3" s="129" t="s">
        <v>206</v>
      </c>
      <c r="BG3" s="130">
        <v>1425671352</v>
      </c>
      <c r="BH3" s="131">
        <v>-2.0000000000000001E-4</v>
      </c>
      <c r="BI3" s="132">
        <v>-215985</v>
      </c>
      <c r="BJ3" s="133">
        <v>152</v>
      </c>
      <c r="BK3" s="132">
        <v>9388211</v>
      </c>
      <c r="BL3" s="132">
        <v>-310220</v>
      </c>
      <c r="BM3" s="133">
        <v>1.2</v>
      </c>
      <c r="BN3" s="133">
        <v>39</v>
      </c>
      <c r="BO3" s="134">
        <v>0.65</v>
      </c>
      <c r="BP3" s="131">
        <v>0.1772</v>
      </c>
    </row>
    <row r="4" spans="1:68" ht="33" thickBot="1" x14ac:dyDescent="0.25">
      <c r="A4" s="90" t="s">
        <v>392</v>
      </c>
      <c r="B4" s="91" t="s">
        <v>752</v>
      </c>
      <c r="C4" s="91" t="s">
        <v>753</v>
      </c>
      <c r="D4" s="91" t="s">
        <v>728</v>
      </c>
      <c r="E4" s="91">
        <f>VLOOKUP(A4,[1]Fact_Check!$B$11:$AH$200,33,FALSE)</f>
        <v>34.299999999999997</v>
      </c>
      <c r="F4" s="91">
        <v>46.3</v>
      </c>
      <c r="G4" s="91" t="s">
        <v>759</v>
      </c>
      <c r="H4" s="91" t="s">
        <v>755</v>
      </c>
      <c r="I4" s="91" t="s">
        <v>756</v>
      </c>
      <c r="J4" s="92">
        <f t="shared" si="0"/>
        <v>28873034</v>
      </c>
      <c r="K4" s="111">
        <v>5.0000000000000001E-3</v>
      </c>
      <c r="L4" s="135">
        <v>25000</v>
      </c>
      <c r="M4" s="93">
        <f t="shared" si="1"/>
        <v>0.17317196384695835</v>
      </c>
      <c r="N4" s="94">
        <f t="shared" si="2"/>
        <v>86.585981923479181</v>
      </c>
      <c r="O4" s="94"/>
      <c r="R4" s="87" t="s">
        <v>728</v>
      </c>
      <c r="S4" s="92">
        <f>MEDIAN(E2:E9)</f>
        <v>36.15</v>
      </c>
      <c r="T4" s="113">
        <f>MEDIAN(K2:K9)</f>
        <v>2.4500000000000001E-2</v>
      </c>
      <c r="U4" s="113">
        <f>MEDIAN(M2:M9)</f>
        <v>8.6876357354515932E-2</v>
      </c>
      <c r="V4" s="113" t="s">
        <v>760</v>
      </c>
      <c r="W4" s="114">
        <f>MEDIAN(N2:N9)</f>
        <v>147.38369139265288</v>
      </c>
      <c r="X4" s="114" t="s">
        <v>761</v>
      </c>
      <c r="Y4" s="115">
        <f t="shared" ref="Y4:Y5" si="3">W4/W3</f>
        <v>3.4839216583443804</v>
      </c>
      <c r="Z4" s="116">
        <f>U4/U3</f>
        <v>3.3706175404991892</v>
      </c>
      <c r="AA4" s="98"/>
      <c r="AB4" s="98"/>
      <c r="AD4" s="136" t="s">
        <v>762</v>
      </c>
      <c r="AE4" s="137" t="s">
        <v>763</v>
      </c>
      <c r="AF4" s="138">
        <f>AVERAGE(AF5:AF13)</f>
        <v>2.7777777777777777</v>
      </c>
      <c r="AG4" s="139">
        <f>AVERAGE(AG5:AG13)</f>
        <v>0.40154283509492861</v>
      </c>
      <c r="AH4" s="140"/>
      <c r="AI4" s="139">
        <f>AVERAGE(AI5:AI13)</f>
        <v>1.6253333333333331E-2</v>
      </c>
      <c r="AJ4" s="139">
        <f>AVERAGE(AJ5:AJ13)</f>
        <v>2.1444444444444447E-2</v>
      </c>
      <c r="AK4" s="140"/>
      <c r="AL4" s="140">
        <f>AVERAGE(AL5:AL13)</f>
        <v>53.385580453818903</v>
      </c>
      <c r="AM4" s="140"/>
      <c r="AN4" s="140">
        <f>AVERAGE(AN5:AN13)</f>
        <v>58.505196896501246</v>
      </c>
      <c r="AO4" s="140"/>
      <c r="AP4" s="141"/>
      <c r="AQ4" s="142"/>
      <c r="AR4" s="140"/>
      <c r="AS4" s="140"/>
      <c r="AT4" s="139" t="e">
        <f>AVERAGE(AT5:AT13)</f>
        <v>#N/A</v>
      </c>
      <c r="AU4" s="140">
        <f>[1]Step1_Inputs!$J$15*AG4</f>
        <v>95827.961909837657</v>
      </c>
      <c r="AV4" s="140">
        <f>[1]Step1_Inputs!$C$5</f>
        <v>500</v>
      </c>
      <c r="AW4" s="140">
        <f t="shared" ref="AW4:AW18" si="4">AU4</f>
        <v>95827.961909837657</v>
      </c>
      <c r="AX4" s="140" t="e">
        <f>AVERAGE(AX5:AX13)</f>
        <v>#N/A</v>
      </c>
      <c r="BE4" s="143">
        <v>3</v>
      </c>
      <c r="BF4" s="144" t="s">
        <v>764</v>
      </c>
      <c r="BG4" s="105">
        <v>339996563</v>
      </c>
      <c r="BH4" s="106">
        <v>5.0000000000000001E-3</v>
      </c>
      <c r="BI4" s="107">
        <v>1706706</v>
      </c>
      <c r="BJ4" s="108">
        <v>37</v>
      </c>
      <c r="BK4" s="107">
        <v>9147420</v>
      </c>
      <c r="BL4" s="107">
        <v>999700</v>
      </c>
      <c r="BM4" s="108">
        <v>1.7</v>
      </c>
      <c r="BN4" s="108">
        <v>38</v>
      </c>
      <c r="BO4" s="109">
        <v>0.83</v>
      </c>
      <c r="BP4" s="106">
        <v>4.2299999999999997E-2</v>
      </c>
    </row>
    <row r="5" spans="1:68" ht="17" thickBot="1" x14ac:dyDescent="0.25">
      <c r="A5" s="91" t="s">
        <v>408</v>
      </c>
      <c r="B5" s="91" t="s">
        <v>752</v>
      </c>
      <c r="C5" s="91" t="s">
        <v>765</v>
      </c>
      <c r="D5" s="91" t="s">
        <v>728</v>
      </c>
      <c r="E5" s="91">
        <f>VLOOKUP(A5,[1]Fact_Check!$B$11:$AH$200,33,FALSE)</f>
        <v>33.4</v>
      </c>
      <c r="F5" s="91">
        <v>39.6</v>
      </c>
      <c r="G5" s="91" t="s">
        <v>766</v>
      </c>
      <c r="H5" s="91" t="s">
        <v>755</v>
      </c>
      <c r="I5" s="91" t="s">
        <v>767</v>
      </c>
      <c r="J5" s="92">
        <f t="shared" si="0"/>
        <v>55100586</v>
      </c>
      <c r="K5" s="93">
        <v>2.3E-2</v>
      </c>
      <c r="L5" s="92">
        <v>100000</v>
      </c>
      <c r="M5" s="93">
        <f t="shared" si="1"/>
        <v>7.8907075270606419E-2</v>
      </c>
      <c r="N5" s="94">
        <f t="shared" si="2"/>
        <v>181.48627312239475</v>
      </c>
      <c r="O5" s="94"/>
      <c r="R5" s="87" t="s">
        <v>768</v>
      </c>
      <c r="S5" s="92">
        <f>MEDIAN(E18:E26)</f>
        <v>47.4</v>
      </c>
      <c r="T5" s="113">
        <f>MEDIAN(K18:K26)</f>
        <v>0.01</v>
      </c>
      <c r="U5" s="113">
        <f>MEDIAN(M18:M26)</f>
        <v>0.25567302651615637</v>
      </c>
      <c r="V5" s="113" t="s">
        <v>769</v>
      </c>
      <c r="W5" s="114">
        <f>MEDIAN(N18:N26)</f>
        <v>456.75492344125189</v>
      </c>
      <c r="X5" s="114" t="s">
        <v>770</v>
      </c>
      <c r="Y5" s="115">
        <f t="shared" si="3"/>
        <v>3.0990872811319834</v>
      </c>
      <c r="Z5" s="116">
        <f>U5/U4</f>
        <v>2.9429528850160311</v>
      </c>
      <c r="AD5" s="136" t="s">
        <v>771</v>
      </c>
      <c r="AE5" s="137" t="s">
        <v>768</v>
      </c>
      <c r="AF5" s="145">
        <v>4</v>
      </c>
      <c r="AG5" s="146">
        <f t="shared" ref="AG5:AG13" si="5">AK5/(AH5*AI5)</f>
        <v>1</v>
      </c>
      <c r="AH5" s="147">
        <v>1570000</v>
      </c>
      <c r="AI5" s="148">
        <v>0.01</v>
      </c>
      <c r="AJ5" s="148">
        <v>0.01</v>
      </c>
      <c r="AK5" s="147">
        <v>15700</v>
      </c>
      <c r="AL5" s="149">
        <f t="shared" ref="AL5:AL13" si="6">AK5/AH5*10000</f>
        <v>100</v>
      </c>
      <c r="AM5" s="149">
        <f>AK5*AJ5</f>
        <v>157</v>
      </c>
      <c r="AN5" s="149">
        <f t="shared" ref="AN5:AN13" si="7">(AK5-AM5)/AM5</f>
        <v>99</v>
      </c>
      <c r="AO5" s="149">
        <v>0.51576872536136698</v>
      </c>
      <c r="AP5" s="150">
        <v>1</v>
      </c>
      <c r="AQ5" s="151">
        <f>(AP5*AH5)/100000</f>
        <v>15.7</v>
      </c>
      <c r="AR5" s="149">
        <f>AO5/0.17</f>
        <v>3.0339336785962763</v>
      </c>
      <c r="AS5" s="149">
        <f>AR5+AM5</f>
        <v>160.03393367859627</v>
      </c>
      <c r="AT5" s="146">
        <f t="shared" ref="AT5:AT13" si="8">AM5/AS5</f>
        <v>0.98104193523925076</v>
      </c>
      <c r="AU5" s="152">
        <f>[1]Step1_Inputs!$J$15*AG5</f>
        <v>238649.41305</v>
      </c>
      <c r="AV5" s="152">
        <f>[1]Step1_Inputs!$C$5</f>
        <v>500</v>
      </c>
      <c r="AW5" s="152">
        <f t="shared" si="4"/>
        <v>238649.41305</v>
      </c>
      <c r="AX5" s="153" t="e">
        <f>VLOOKUP(AD5,[1]Fact_Check!AZ2:EW33,32,TRUE)</f>
        <v>#N/A</v>
      </c>
      <c r="BE5" s="128">
        <v>4</v>
      </c>
      <c r="BF5" s="129" t="s">
        <v>365</v>
      </c>
      <c r="BG5" s="130">
        <v>277534122</v>
      </c>
      <c r="BH5" s="131">
        <v>7.4000000000000003E-3</v>
      </c>
      <c r="BI5" s="132">
        <v>2032783</v>
      </c>
      <c r="BJ5" s="133">
        <v>153</v>
      </c>
      <c r="BK5" s="132">
        <v>1811570</v>
      </c>
      <c r="BL5" s="132">
        <v>-49997</v>
      </c>
      <c r="BM5" s="133">
        <v>2.1</v>
      </c>
      <c r="BN5" s="133">
        <v>30</v>
      </c>
      <c r="BO5" s="134">
        <v>0.59</v>
      </c>
      <c r="BP5" s="131">
        <v>3.4500000000000003E-2</v>
      </c>
    </row>
    <row r="6" spans="1:68" ht="57.75" customHeight="1" thickBot="1" x14ac:dyDescent="0.25">
      <c r="A6" s="91" t="s">
        <v>619</v>
      </c>
      <c r="B6" s="91" t="s">
        <v>752</v>
      </c>
      <c r="C6" s="91" t="s">
        <v>772</v>
      </c>
      <c r="D6" s="91" t="s">
        <v>728</v>
      </c>
      <c r="E6" s="91">
        <f>VLOOKUP(A6,[1]Fact_Check!$B$11:$AH$200,33,FALSE)</f>
        <v>32.5</v>
      </c>
      <c r="F6" s="91">
        <v>52.6</v>
      </c>
      <c r="G6" s="91" t="s">
        <v>773</v>
      </c>
      <c r="H6" s="91" t="s">
        <v>755</v>
      </c>
      <c r="I6" s="91" t="s">
        <v>756</v>
      </c>
      <c r="J6" s="92">
        <f t="shared" si="0"/>
        <v>67438106</v>
      </c>
      <c r="K6" s="93">
        <v>8.0000000000000002E-3</v>
      </c>
      <c r="L6" s="92">
        <v>30000</v>
      </c>
      <c r="M6" s="93">
        <f t="shared" si="1"/>
        <v>5.5606543872984811E-2</v>
      </c>
      <c r="N6" s="94">
        <f t="shared" si="2"/>
        <v>44.485235098387847</v>
      </c>
      <c r="O6" s="94"/>
      <c r="AD6" s="154" t="s">
        <v>683</v>
      </c>
      <c r="AE6" s="155" t="s">
        <v>728</v>
      </c>
      <c r="AF6" s="156">
        <v>3</v>
      </c>
      <c r="AG6" s="146">
        <f t="shared" si="5"/>
        <v>0.16493055555555555</v>
      </c>
      <c r="AH6" s="147">
        <v>96000000</v>
      </c>
      <c r="AI6" s="148">
        <v>0.03</v>
      </c>
      <c r="AJ6" s="148">
        <v>0.01</v>
      </c>
      <c r="AK6" s="147">
        <v>475000</v>
      </c>
      <c r="AL6" s="149">
        <f t="shared" si="6"/>
        <v>49.479166666666664</v>
      </c>
      <c r="AM6" s="149">
        <f>AS6-AR6</f>
        <v>11500</v>
      </c>
      <c r="AN6" s="149">
        <f t="shared" si="7"/>
        <v>40.304347826086953</v>
      </c>
      <c r="AO6" s="149" t="e">
        <f>VLOOKUP(AD6,[1]Fact_Check!AZ2:EW33,28,FALSE)</f>
        <v>#N/A</v>
      </c>
      <c r="AP6" s="157" t="e">
        <f>VLOOKUP(AD6,[1]Fact_Check!AZ2:EW33,21,FALSE)</f>
        <v>#N/A</v>
      </c>
      <c r="AQ6" s="151" t="e">
        <f>VLOOKUP(AD6,[1]Fact_Check!AZ2:EW33,24,FALSE)</f>
        <v>#N/A</v>
      </c>
      <c r="AR6" s="147">
        <v>992</v>
      </c>
      <c r="AS6" s="147">
        <v>12492</v>
      </c>
      <c r="AT6" s="146">
        <f t="shared" si="8"/>
        <v>0.92058917707332688</v>
      </c>
      <c r="AU6" s="152">
        <f>[1]Step1_Inputs!$J$15*AG6</f>
        <v>39360.580277343746</v>
      </c>
      <c r="AV6" s="152">
        <f>[1]Step1_Inputs!$C$5</f>
        <v>500</v>
      </c>
      <c r="AW6" s="152">
        <f t="shared" si="4"/>
        <v>39360.580277343746</v>
      </c>
      <c r="AX6" s="153" t="e">
        <f>VLOOKUP(AD6,[1]Fact_Check!AZ2:EW33,32,FALSE)</f>
        <v>#N/A</v>
      </c>
      <c r="BE6" s="143">
        <v>5</v>
      </c>
      <c r="BF6" s="144" t="s">
        <v>543</v>
      </c>
      <c r="BG6" s="105">
        <v>240485658</v>
      </c>
      <c r="BH6" s="106">
        <v>1.9800000000000002E-2</v>
      </c>
      <c r="BI6" s="107">
        <v>4660796</v>
      </c>
      <c r="BJ6" s="108">
        <v>312</v>
      </c>
      <c r="BK6" s="107">
        <v>770880</v>
      </c>
      <c r="BL6" s="107">
        <v>-165988</v>
      </c>
      <c r="BM6" s="108">
        <v>3.3</v>
      </c>
      <c r="BN6" s="108">
        <v>21</v>
      </c>
      <c r="BO6" s="109">
        <v>0.35</v>
      </c>
      <c r="BP6" s="106">
        <v>2.9899999999999999E-2</v>
      </c>
    </row>
    <row r="7" spans="1:68" ht="46" thickBot="1" x14ac:dyDescent="0.25">
      <c r="A7" s="91" t="s">
        <v>356</v>
      </c>
      <c r="B7" s="91" t="s">
        <v>726</v>
      </c>
      <c r="C7" s="91" t="s">
        <v>727</v>
      </c>
      <c r="D7" s="91" t="s">
        <v>728</v>
      </c>
      <c r="E7" s="91">
        <f>VLOOKUP(A7,[1]Fact_Check!$B$11:$AH$200,33,FALSE)</f>
        <v>39.200000000000003</v>
      </c>
      <c r="F7" s="91">
        <v>40.200000000000003</v>
      </c>
      <c r="G7" s="91" t="s">
        <v>774</v>
      </c>
      <c r="H7" s="91" t="s">
        <v>755</v>
      </c>
      <c r="I7" s="91" t="s">
        <v>774</v>
      </c>
      <c r="J7" s="92">
        <f t="shared" si="0"/>
        <v>1428627663</v>
      </c>
      <c r="K7" s="158">
        <v>1.7000000000000001E-2</v>
      </c>
      <c r="L7" s="112">
        <v>5000000</v>
      </c>
      <c r="M7" s="93">
        <f t="shared" si="1"/>
        <v>0.20587424888665587</v>
      </c>
      <c r="N7" s="94">
        <f t="shared" si="2"/>
        <v>349.98622310731497</v>
      </c>
      <c r="O7" s="94"/>
      <c r="AD7" s="154" t="s">
        <v>624</v>
      </c>
      <c r="AE7" s="155" t="s">
        <v>768</v>
      </c>
      <c r="AF7" s="156">
        <v>4</v>
      </c>
      <c r="AG7" s="146">
        <f t="shared" si="5"/>
        <v>0.8571428571428571</v>
      </c>
      <c r="AH7" s="147">
        <v>70000000</v>
      </c>
      <c r="AI7" s="148">
        <v>0.01</v>
      </c>
      <c r="AJ7" s="148">
        <v>0.01</v>
      </c>
      <c r="AK7" s="147">
        <v>600000</v>
      </c>
      <c r="AL7" s="149">
        <f t="shared" si="6"/>
        <v>85.714285714285722</v>
      </c>
      <c r="AM7" s="149">
        <f>AS7-AR7</f>
        <v>7500</v>
      </c>
      <c r="AN7" s="149">
        <f t="shared" si="7"/>
        <v>79</v>
      </c>
      <c r="AO7" s="149" t="e">
        <f>VLOOKUP(AD7,[1]Fact_Check!AZ2:EW33,28,FALSE)</f>
        <v>#N/A</v>
      </c>
      <c r="AP7" s="157" t="e">
        <f>VLOOKUP(AD7,[1]Fact_Check!AZ2:EW33,21,FALSE)</f>
        <v>#N/A</v>
      </c>
      <c r="AQ7" s="151" t="e">
        <f>VLOOKUP(AD7,[1]Fact_Check!AZ2:EW33,24,FALSE)</f>
        <v>#N/A</v>
      </c>
      <c r="AR7" s="147">
        <v>794</v>
      </c>
      <c r="AS7" s="147">
        <v>8294</v>
      </c>
      <c r="AT7" s="146">
        <f t="shared" si="8"/>
        <v>0.90426814564745595</v>
      </c>
      <c r="AU7" s="152">
        <f>[1]Step1_Inputs!$J$15*AG7</f>
        <v>204556.63975714284</v>
      </c>
      <c r="AV7" s="152">
        <f>[1]Step1_Inputs!$C$5</f>
        <v>500</v>
      </c>
      <c r="AW7" s="152">
        <f t="shared" si="4"/>
        <v>204556.63975714284</v>
      </c>
      <c r="AX7" s="153" t="e">
        <f>VLOOKUP(AD7,[1]Fact_Check!AZ2:EW33,32,FALSE)</f>
        <v>#N/A</v>
      </c>
      <c r="BE7" s="128">
        <v>6</v>
      </c>
      <c r="BF7" s="129" t="s">
        <v>522</v>
      </c>
      <c r="BG7" s="130">
        <v>223804632</v>
      </c>
      <c r="BH7" s="131">
        <v>2.41E-2</v>
      </c>
      <c r="BI7" s="132">
        <v>5263420</v>
      </c>
      <c r="BJ7" s="133">
        <v>246</v>
      </c>
      <c r="BK7" s="132">
        <v>910770</v>
      </c>
      <c r="BL7" s="132">
        <v>-59996</v>
      </c>
      <c r="BM7" s="133">
        <v>5.0999999999999996</v>
      </c>
      <c r="BN7" s="133">
        <v>17</v>
      </c>
      <c r="BO7" s="134">
        <v>0.54</v>
      </c>
      <c r="BP7" s="131">
        <v>2.7799999999999998E-2</v>
      </c>
    </row>
    <row r="8" spans="1:68" ht="46" thickBot="1" x14ac:dyDescent="0.25">
      <c r="A8" s="90" t="s">
        <v>504</v>
      </c>
      <c r="B8" s="91" t="s">
        <v>726</v>
      </c>
      <c r="C8" s="91" t="s">
        <v>727</v>
      </c>
      <c r="D8" s="91" t="s">
        <v>728</v>
      </c>
      <c r="E8" s="91">
        <f>VLOOKUP(A8,[1]Fact_Check!$B$11:$AH$200,33,FALSE)</f>
        <v>38.799999999999997</v>
      </c>
      <c r="F8" s="91"/>
      <c r="G8" s="91" t="s">
        <v>774</v>
      </c>
      <c r="H8" s="91" t="s">
        <v>755</v>
      </c>
      <c r="I8" s="91" t="s">
        <v>756</v>
      </c>
      <c r="J8" s="92">
        <f t="shared" si="0"/>
        <v>30896590</v>
      </c>
      <c r="K8" s="159">
        <v>0.03</v>
      </c>
      <c r="L8" s="160">
        <v>35000</v>
      </c>
      <c r="M8" s="93">
        <f t="shared" si="1"/>
        <v>3.7760369887637008E-2</v>
      </c>
      <c r="N8" s="94">
        <f t="shared" si="2"/>
        <v>113.28110966291102</v>
      </c>
      <c r="O8" s="94"/>
      <c r="AD8" s="154" t="s">
        <v>113</v>
      </c>
      <c r="AE8" s="155" t="s">
        <v>768</v>
      </c>
      <c r="AF8" s="156">
        <v>1</v>
      </c>
      <c r="AG8" s="146">
        <f t="shared" si="5"/>
        <v>0.5470213563132259</v>
      </c>
      <c r="AH8" s="147">
        <v>170000000</v>
      </c>
      <c r="AI8" s="148">
        <f>628/100000</f>
        <v>6.28E-3</v>
      </c>
      <c r="AJ8" s="148">
        <v>0.05</v>
      </c>
      <c r="AK8" s="147">
        <v>584000</v>
      </c>
      <c r="AL8" s="149">
        <f t="shared" si="6"/>
        <v>34.352941176470587</v>
      </c>
      <c r="AM8" s="149">
        <f t="shared" ref="AM8:AM13" si="9">AK8*AJ8</f>
        <v>29200</v>
      </c>
      <c r="AN8" s="149">
        <f t="shared" si="7"/>
        <v>19</v>
      </c>
      <c r="AO8" s="149" t="e">
        <f>VLOOKUP(AD8,[1]Fact_Check!AZ2:EW33,28,FALSE)</f>
        <v>#N/A</v>
      </c>
      <c r="AP8" s="157" t="e">
        <f>VLOOKUP(AD8,[1]Fact_Check!AZ2:EW33,21,FALSE)</f>
        <v>#N/A</v>
      </c>
      <c r="AQ8" s="151" t="e">
        <f>VLOOKUP(AD8,[1]Fact_Check!AZ2:EW33,24,FALSE)</f>
        <v>#N/A</v>
      </c>
      <c r="AR8" s="147" t="e">
        <f>AO8/0.17</f>
        <v>#N/A</v>
      </c>
      <c r="AS8" s="147" t="e">
        <f>AR8+AM8</f>
        <v>#N/A</v>
      </c>
      <c r="AT8" s="146" t="e">
        <f t="shared" si="8"/>
        <v>#N/A</v>
      </c>
      <c r="AU8" s="152">
        <f>[1]Step1_Inputs!$J$15*AG8</f>
        <v>130546.32560996627</v>
      </c>
      <c r="AV8" s="152">
        <f>[1]Step1_Inputs!$C$5</f>
        <v>500</v>
      </c>
      <c r="AW8" s="152">
        <f t="shared" si="4"/>
        <v>130546.32560996627</v>
      </c>
      <c r="AX8" s="153" t="e">
        <f>VLOOKUP(AD8,[1]Fact_Check!AZ2:EW33,32,FALSE)</f>
        <v>#N/A</v>
      </c>
      <c r="BE8" s="143">
        <v>7</v>
      </c>
      <c r="BF8" s="144" t="s">
        <v>160</v>
      </c>
      <c r="BG8" s="105">
        <v>216422446</v>
      </c>
      <c r="BH8" s="106">
        <v>5.1999999999999998E-3</v>
      </c>
      <c r="BI8" s="107">
        <v>1108948</v>
      </c>
      <c r="BJ8" s="108">
        <v>26</v>
      </c>
      <c r="BK8" s="107">
        <v>8358140</v>
      </c>
      <c r="BL8" s="107">
        <v>6000</v>
      </c>
      <c r="BM8" s="108">
        <v>1.6</v>
      </c>
      <c r="BN8" s="108">
        <v>34</v>
      </c>
      <c r="BO8" s="109">
        <v>0.88</v>
      </c>
      <c r="BP8" s="106">
        <v>2.69E-2</v>
      </c>
    </row>
    <row r="9" spans="1:68" ht="46" thickBot="1" x14ac:dyDescent="0.25">
      <c r="A9" s="90" t="s">
        <v>181</v>
      </c>
      <c r="B9" s="91" t="s">
        <v>726</v>
      </c>
      <c r="C9" s="91" t="s">
        <v>727</v>
      </c>
      <c r="D9" s="161" t="s">
        <v>728</v>
      </c>
      <c r="E9" s="91">
        <f>VLOOKUP(A9,[1]Fact_Check!$B$11:$AH$200,33,FALSE)</f>
        <v>38</v>
      </c>
      <c r="F9" s="162">
        <v>42</v>
      </c>
      <c r="G9" s="91" t="s">
        <v>775</v>
      </c>
      <c r="H9" s="91" t="s">
        <v>755</v>
      </c>
      <c r="I9" s="91" t="s">
        <v>776</v>
      </c>
      <c r="J9" s="92">
        <f t="shared" si="0"/>
        <v>16944826</v>
      </c>
      <c r="K9" s="111">
        <v>2.8000000000000001E-2</v>
      </c>
      <c r="L9" s="112">
        <v>45000</v>
      </c>
      <c r="M9" s="93">
        <f t="shared" si="1"/>
        <v>9.4845639438425458E-2</v>
      </c>
      <c r="N9" s="94">
        <f t="shared" si="2"/>
        <v>265.56779042759126</v>
      </c>
      <c r="O9" s="94"/>
      <c r="AD9" s="154" t="s">
        <v>133</v>
      </c>
      <c r="AE9" s="155" t="s">
        <v>768</v>
      </c>
      <c r="AF9" s="156">
        <v>3</v>
      </c>
      <c r="AG9" s="146">
        <f t="shared" si="5"/>
        <v>0.3125</v>
      </c>
      <c r="AH9" s="147">
        <v>800000</v>
      </c>
      <c r="AI9" s="148">
        <v>0.02</v>
      </c>
      <c r="AJ9" s="148">
        <v>1.0999999999999999E-2</v>
      </c>
      <c r="AK9" s="147">
        <v>5000</v>
      </c>
      <c r="AL9" s="149">
        <f t="shared" si="6"/>
        <v>62.5</v>
      </c>
      <c r="AM9" s="149">
        <f t="shared" si="9"/>
        <v>55</v>
      </c>
      <c r="AN9" s="149">
        <f t="shared" si="7"/>
        <v>89.909090909090907</v>
      </c>
      <c r="AO9" s="149" t="e">
        <f>VLOOKUP(AD9,[1]Fact_Check!AZ2:EW33,28,FALSE)</f>
        <v>#N/A</v>
      </c>
      <c r="AP9" s="157" t="e">
        <f>VLOOKUP(AD9,[1]Fact_Check!AZ2:EW33,21,FALSE)</f>
        <v>#N/A</v>
      </c>
      <c r="AQ9" s="151" t="e">
        <f>VLOOKUP(AD9,[1]Fact_Check!AZ2:EW33,24,FALSE)</f>
        <v>#N/A</v>
      </c>
      <c r="AR9" s="147">
        <v>58</v>
      </c>
      <c r="AS9" s="147">
        <v>108</v>
      </c>
      <c r="AT9" s="146">
        <f t="shared" si="8"/>
        <v>0.5092592592592593</v>
      </c>
      <c r="AU9" s="152">
        <f>[1]Step1_Inputs!$J$15*AG9</f>
        <v>74577.941578124999</v>
      </c>
      <c r="AV9" s="152">
        <f>[1]Step1_Inputs!$C$5</f>
        <v>500</v>
      </c>
      <c r="AW9" s="152">
        <f t="shared" si="4"/>
        <v>74577.941578124999</v>
      </c>
      <c r="AX9" s="153" t="e">
        <f>VLOOKUP(AD9,[1]Fact_Check!AZ2:EW33,32,FALSE)</f>
        <v>#N/A</v>
      </c>
      <c r="BE9" s="128">
        <v>8</v>
      </c>
      <c r="BF9" s="129" t="s">
        <v>113</v>
      </c>
      <c r="BG9" s="130">
        <v>172954319</v>
      </c>
      <c r="BH9" s="131">
        <v>1.03E-2</v>
      </c>
      <c r="BI9" s="132">
        <v>1767947</v>
      </c>
      <c r="BJ9" s="132">
        <v>1329</v>
      </c>
      <c r="BK9" s="132">
        <v>130170</v>
      </c>
      <c r="BL9" s="132">
        <v>-309977</v>
      </c>
      <c r="BM9" s="133">
        <v>1.9</v>
      </c>
      <c r="BN9" s="133">
        <v>27</v>
      </c>
      <c r="BO9" s="134">
        <v>0.41</v>
      </c>
      <c r="BP9" s="131">
        <v>2.1499999999999998E-2</v>
      </c>
    </row>
    <row r="10" spans="1:68" ht="46" thickBot="1" x14ac:dyDescent="0.25">
      <c r="A10" s="91" t="s">
        <v>448</v>
      </c>
      <c r="B10" s="91" t="s">
        <v>726</v>
      </c>
      <c r="C10" s="91" t="s">
        <v>727</v>
      </c>
      <c r="D10" s="161" t="s">
        <v>755</v>
      </c>
      <c r="E10" s="91">
        <f>VLOOKUP(A10,[1]Fact_Check!$B$11:$AH$200,33,FALSE)</f>
        <v>29</v>
      </c>
      <c r="F10" s="91">
        <v>60.5</v>
      </c>
      <c r="G10" s="91" t="s">
        <v>774</v>
      </c>
      <c r="H10" s="91" t="s">
        <v>755</v>
      </c>
      <c r="I10" s="91" t="s">
        <v>774</v>
      </c>
      <c r="J10" s="92">
        <f t="shared" si="0"/>
        <v>30325732</v>
      </c>
      <c r="K10" s="111">
        <v>5.0000000000000001E-3</v>
      </c>
      <c r="L10" s="112">
        <f>35000/4</f>
        <v>8750</v>
      </c>
      <c r="M10" s="93">
        <f t="shared" si="1"/>
        <v>5.7706768628041687E-2</v>
      </c>
      <c r="N10" s="94">
        <f t="shared" si="2"/>
        <v>28.853384314020847</v>
      </c>
      <c r="O10" s="94"/>
      <c r="AD10" s="154" t="s">
        <v>594</v>
      </c>
      <c r="AE10" s="155" t="s">
        <v>768</v>
      </c>
      <c r="AF10" s="156">
        <v>2</v>
      </c>
      <c r="AG10" s="146">
        <f t="shared" si="5"/>
        <v>0.22563176895306858</v>
      </c>
      <c r="AH10" s="147">
        <v>22160000</v>
      </c>
      <c r="AI10" s="148">
        <v>0.02</v>
      </c>
      <c r="AJ10" s="148">
        <v>1.2E-2</v>
      </c>
      <c r="AK10" s="147">
        <v>100000</v>
      </c>
      <c r="AL10" s="149">
        <f t="shared" si="6"/>
        <v>45.12635379061372</v>
      </c>
      <c r="AM10" s="149">
        <f t="shared" si="9"/>
        <v>1200</v>
      </c>
      <c r="AN10" s="149">
        <f t="shared" si="7"/>
        <v>82.333333333333329</v>
      </c>
      <c r="AO10" s="149" t="e">
        <f>VLOOKUP(AD10,[1]Fact_Check!AZ2:EW33,28,FALSE)</f>
        <v>#N/A</v>
      </c>
      <c r="AP10" s="157" t="e">
        <f>VLOOKUP(AD10,[1]Fact_Check!AZ2:EW33,21,FALSE)</f>
        <v>#N/A</v>
      </c>
      <c r="AQ10" s="151" t="e">
        <f>VLOOKUP(AD10,[1]Fact_Check!AZ2:EW33,24,FALSE)</f>
        <v>#N/A</v>
      </c>
      <c r="AR10" s="147">
        <v>2555</v>
      </c>
      <c r="AS10" s="147">
        <v>3555</v>
      </c>
      <c r="AT10" s="146">
        <f t="shared" si="8"/>
        <v>0.33755274261603374</v>
      </c>
      <c r="AU10" s="152">
        <f>[1]Step1_Inputs!$J$15*AG10</f>
        <v>53846.889226083033</v>
      </c>
      <c r="AV10" s="152">
        <f>[1]Step1_Inputs!$C$5</f>
        <v>500</v>
      </c>
      <c r="AW10" s="152">
        <f t="shared" si="4"/>
        <v>53846.889226083033</v>
      </c>
      <c r="AX10" s="153" t="e">
        <f>VLOOKUP(AD10,[1]Fact_Check!AZ2:EW33,32,FALSE)</f>
        <v>#N/A</v>
      </c>
      <c r="BE10" s="143">
        <v>9</v>
      </c>
      <c r="BF10" s="144" t="s">
        <v>777</v>
      </c>
      <c r="BG10" s="105">
        <v>144444359</v>
      </c>
      <c r="BH10" s="106">
        <v>-1.9E-3</v>
      </c>
      <c r="BI10" s="107">
        <v>-268955</v>
      </c>
      <c r="BJ10" s="108">
        <v>9</v>
      </c>
      <c r="BK10" s="107">
        <v>16376870</v>
      </c>
      <c r="BL10" s="107">
        <v>-136414</v>
      </c>
      <c r="BM10" s="108">
        <v>1.5</v>
      </c>
      <c r="BN10" s="108">
        <v>39</v>
      </c>
      <c r="BO10" s="109">
        <v>0.75</v>
      </c>
      <c r="BP10" s="106">
        <v>1.7999999999999999E-2</v>
      </c>
    </row>
    <row r="11" spans="1:68" ht="17" thickBot="1" x14ac:dyDescent="0.25">
      <c r="A11" s="90" t="s">
        <v>453</v>
      </c>
      <c r="B11" s="91" t="s">
        <v>752</v>
      </c>
      <c r="C11" s="91" t="s">
        <v>765</v>
      </c>
      <c r="D11" s="91" t="s">
        <v>755</v>
      </c>
      <c r="E11" s="91">
        <f>VLOOKUP(A11,[1]Fact_Check!$B$11:$AH$200,33,FALSE)</f>
        <v>29.9</v>
      </c>
      <c r="F11" s="91">
        <v>68.5</v>
      </c>
      <c r="G11" s="91" t="s">
        <v>774</v>
      </c>
      <c r="H11" s="91" t="s">
        <v>755</v>
      </c>
      <c r="I11" s="91" t="s">
        <v>756</v>
      </c>
      <c r="J11" s="92">
        <f t="shared" si="0"/>
        <v>20931751</v>
      </c>
      <c r="K11" s="93">
        <v>0.03</v>
      </c>
      <c r="L11" s="135">
        <v>15000</v>
      </c>
      <c r="M11" s="93">
        <f t="shared" si="1"/>
        <v>2.3887155928808822E-2</v>
      </c>
      <c r="N11" s="94">
        <f t="shared" si="2"/>
        <v>71.661467786426471</v>
      </c>
      <c r="O11" s="94"/>
      <c r="AD11" s="154" t="s">
        <v>206</v>
      </c>
      <c r="AE11" s="155" t="s">
        <v>768</v>
      </c>
      <c r="AF11" s="156">
        <v>3</v>
      </c>
      <c r="AG11" s="146">
        <f t="shared" si="5"/>
        <v>0.16997167138810199</v>
      </c>
      <c r="AH11" s="147">
        <v>1412000000</v>
      </c>
      <c r="AI11" s="148">
        <v>0.01</v>
      </c>
      <c r="AJ11" s="148">
        <v>0.02</v>
      </c>
      <c r="AK11" s="147">
        <f>12000000/5</f>
        <v>2400000</v>
      </c>
      <c r="AL11" s="149">
        <f t="shared" si="6"/>
        <v>16.997167138810198</v>
      </c>
      <c r="AM11" s="149">
        <f t="shared" si="9"/>
        <v>48000</v>
      </c>
      <c r="AN11" s="149">
        <f t="shared" si="7"/>
        <v>49</v>
      </c>
      <c r="AO11" s="149">
        <v>500</v>
      </c>
      <c r="AP11" s="157" t="e">
        <f>VLOOKUP(AD11,[1]Fact_Check!AZ2:EW33,21,FALSE)</f>
        <v>#N/A</v>
      </c>
      <c r="AQ11" s="151" t="e">
        <f>VLOOKUP(AD11,[1]Fact_Check!AZ2:EW33,24,FALSE)</f>
        <v>#N/A</v>
      </c>
      <c r="AR11" s="147">
        <f>AO11/0.17</f>
        <v>2941.1764705882351</v>
      </c>
      <c r="AS11" s="147">
        <f>AR11+AM11</f>
        <v>50941.176470588238</v>
      </c>
      <c r="AT11" s="146">
        <f t="shared" si="8"/>
        <v>0.94226327944572741</v>
      </c>
      <c r="AU11" s="152">
        <f>[1]Step1_Inputs!$J$15*AG11</f>
        <v>40563.639611898019</v>
      </c>
      <c r="AV11" s="152">
        <f>[1]Step1_Inputs!$C$5</f>
        <v>500</v>
      </c>
      <c r="AW11" s="152">
        <f t="shared" si="4"/>
        <v>40563.639611898019</v>
      </c>
      <c r="AX11" s="153" t="e">
        <f>VLOOKUP(AD11,[1]Fact_Check!AZ2:EW33,32,FALSE)</f>
        <v>#N/A</v>
      </c>
      <c r="BE11" s="128">
        <v>10</v>
      </c>
      <c r="BF11" s="129" t="s">
        <v>778</v>
      </c>
      <c r="BG11" s="130">
        <v>128455567</v>
      </c>
      <c r="BH11" s="131">
        <v>7.4999999999999997E-3</v>
      </c>
      <c r="BI11" s="132">
        <v>951442</v>
      </c>
      <c r="BJ11" s="133">
        <v>66</v>
      </c>
      <c r="BK11" s="132">
        <v>1943950</v>
      </c>
      <c r="BL11" s="132">
        <v>-50239</v>
      </c>
      <c r="BM11" s="133">
        <v>1.8</v>
      </c>
      <c r="BN11" s="133">
        <v>30</v>
      </c>
      <c r="BO11" s="134">
        <v>0.88</v>
      </c>
      <c r="BP11" s="131">
        <v>1.6E-2</v>
      </c>
    </row>
    <row r="12" spans="1:68" ht="17" thickBot="1" x14ac:dyDescent="0.25">
      <c r="A12" s="90" t="s">
        <v>201</v>
      </c>
      <c r="B12" s="91" t="s">
        <v>752</v>
      </c>
      <c r="C12" s="91" t="s">
        <v>765</v>
      </c>
      <c r="D12" s="91" t="s">
        <v>755</v>
      </c>
      <c r="E12" s="91">
        <f>VLOOKUP(A12,[1]Fact_Check!$B$11:$AH$200,33,FALSE)</f>
        <v>23.8</v>
      </c>
      <c r="F12" s="91">
        <v>94.8</v>
      </c>
      <c r="G12" s="91" t="s">
        <v>759</v>
      </c>
      <c r="H12" s="91" t="s">
        <v>755</v>
      </c>
      <c r="I12" s="91" t="s">
        <v>756</v>
      </c>
      <c r="J12" s="92">
        <f t="shared" si="0"/>
        <v>18278568</v>
      </c>
      <c r="K12" s="111">
        <v>8.0000000000000002E-3</v>
      </c>
      <c r="L12" s="112">
        <v>1000</v>
      </c>
      <c r="M12" s="93">
        <f t="shared" si="1"/>
        <v>6.8386101143153013E-3</v>
      </c>
      <c r="N12" s="94">
        <f t="shared" si="2"/>
        <v>5.47088809145224</v>
      </c>
      <c r="O12" s="94"/>
      <c r="AD12" s="154" t="s">
        <v>472</v>
      </c>
      <c r="AE12" s="155" t="s">
        <v>768</v>
      </c>
      <c r="AF12" s="156">
        <v>3</v>
      </c>
      <c r="AG12" s="146">
        <f t="shared" si="5"/>
        <v>7.3529411764705885E-2</v>
      </c>
      <c r="AH12" s="147">
        <v>3400000</v>
      </c>
      <c r="AI12" s="148">
        <v>0.01</v>
      </c>
      <c r="AJ12" s="148">
        <v>0.02</v>
      </c>
      <c r="AK12" s="147">
        <v>2500</v>
      </c>
      <c r="AL12" s="149">
        <f t="shared" si="6"/>
        <v>7.3529411764705879</v>
      </c>
      <c r="AM12" s="149">
        <f t="shared" si="9"/>
        <v>50</v>
      </c>
      <c r="AN12" s="149">
        <f t="shared" si="7"/>
        <v>49</v>
      </c>
      <c r="AO12" s="149" t="e">
        <f>VLOOKUP(AD12,[1]Fact_Check!AZ2:EW33,28,FALSE)</f>
        <v>#N/A</v>
      </c>
      <c r="AP12" s="157" t="e">
        <f>VLOOKUP(AD12,[1]Fact_Check!AZ2:EW33,21,FALSE)</f>
        <v>#N/A</v>
      </c>
      <c r="AQ12" s="151" t="e">
        <f>VLOOKUP(AD12,[1]Fact_Check!AZ2:EW33,24,FALSE)</f>
        <v>#N/A</v>
      </c>
      <c r="AR12" s="147" t="e">
        <f>AO12/0.17</f>
        <v>#N/A</v>
      </c>
      <c r="AS12" s="147" t="e">
        <f>AR12+AM12</f>
        <v>#N/A</v>
      </c>
      <c r="AT12" s="146" t="e">
        <f t="shared" si="8"/>
        <v>#N/A</v>
      </c>
      <c r="AU12" s="152">
        <f>[1]Step1_Inputs!$J$15*AG12</f>
        <v>17547.750959558824</v>
      </c>
      <c r="AV12" s="152">
        <f>[1]Step1_Inputs!$C$5</f>
        <v>500</v>
      </c>
      <c r="AW12" s="152">
        <f t="shared" si="4"/>
        <v>17547.750959558824</v>
      </c>
      <c r="AX12" s="153" t="e">
        <f>VLOOKUP(AD12,[1]Fact_Check!AZ2:EW33,32,FALSE)</f>
        <v>#N/A</v>
      </c>
      <c r="BE12" s="143">
        <v>11</v>
      </c>
      <c r="BF12" s="144" t="s">
        <v>297</v>
      </c>
      <c r="BG12" s="105">
        <v>126527060</v>
      </c>
      <c r="BH12" s="106">
        <v>2.5499999999999998E-2</v>
      </c>
      <c r="BI12" s="107">
        <v>3147136</v>
      </c>
      <c r="BJ12" s="108">
        <v>127</v>
      </c>
      <c r="BK12" s="107">
        <v>1000000</v>
      </c>
      <c r="BL12" s="107">
        <v>-11999</v>
      </c>
      <c r="BM12" s="108">
        <v>4</v>
      </c>
      <c r="BN12" s="108">
        <v>19</v>
      </c>
      <c r="BO12" s="109">
        <v>0.22</v>
      </c>
      <c r="BP12" s="106">
        <v>1.5699999999999999E-2</v>
      </c>
    </row>
    <row r="13" spans="1:68" ht="61" thickBot="1" x14ac:dyDescent="0.25">
      <c r="A13" s="91" t="s">
        <v>297</v>
      </c>
      <c r="B13" s="91" t="s">
        <v>779</v>
      </c>
      <c r="C13" s="91" t="s">
        <v>780</v>
      </c>
      <c r="D13" s="91" t="s">
        <v>755</v>
      </c>
      <c r="E13" s="91">
        <f>VLOOKUP(A13,[1]Fact_Check!$B$11:$AH$200,33,FALSE)</f>
        <v>31.2</v>
      </c>
      <c r="F13" s="91">
        <v>62.8</v>
      </c>
      <c r="G13" s="91" t="s">
        <v>781</v>
      </c>
      <c r="H13" s="91" t="s">
        <v>755</v>
      </c>
      <c r="I13" s="91" t="s">
        <v>756</v>
      </c>
      <c r="J13" s="92">
        <f t="shared" si="0"/>
        <v>126527060</v>
      </c>
      <c r="K13" s="111">
        <v>0.02</v>
      </c>
      <c r="L13" s="112">
        <v>70000</v>
      </c>
      <c r="M13" s="93">
        <f t="shared" si="1"/>
        <v>2.7662066912801101E-2</v>
      </c>
      <c r="N13" s="94">
        <f t="shared" si="2"/>
        <v>55.324133825602203</v>
      </c>
      <c r="O13" s="94"/>
      <c r="AD13" s="154" t="s">
        <v>554</v>
      </c>
      <c r="AE13" s="155" t="s">
        <v>768</v>
      </c>
      <c r="AF13" s="156">
        <v>2</v>
      </c>
      <c r="AG13" s="146">
        <f t="shared" si="5"/>
        <v>0.26315789473684209</v>
      </c>
      <c r="AH13" s="147">
        <v>114000000</v>
      </c>
      <c r="AI13" s="148">
        <v>0.03</v>
      </c>
      <c r="AJ13" s="148">
        <v>0.05</v>
      </c>
      <c r="AK13" s="147">
        <v>900000</v>
      </c>
      <c r="AL13" s="149">
        <f t="shared" si="6"/>
        <v>78.94736842105263</v>
      </c>
      <c r="AM13" s="149">
        <f t="shared" si="9"/>
        <v>45000</v>
      </c>
      <c r="AN13" s="149">
        <f t="shared" si="7"/>
        <v>19</v>
      </c>
      <c r="AO13" s="149">
        <f>0.3/100000*AH13</f>
        <v>342</v>
      </c>
      <c r="AP13" s="157" t="e">
        <f>VLOOKUP(AD13,[1]Fact_Check!AZ2:EW33,21,FALSE)</f>
        <v>#N/A</v>
      </c>
      <c r="AQ13" s="151" t="e">
        <f>VLOOKUP(AD13,[1]Fact_Check!AZ2:EW33,24,FALSE)</f>
        <v>#N/A</v>
      </c>
      <c r="AR13" s="147">
        <f>AO13/0.17</f>
        <v>2011.7647058823527</v>
      </c>
      <c r="AS13" s="147">
        <f>AR13+AM13</f>
        <v>47011.76470588235</v>
      </c>
      <c r="AT13" s="146">
        <f t="shared" si="8"/>
        <v>0.95720720720720731</v>
      </c>
      <c r="AU13" s="152">
        <f>[1]Step1_Inputs!$J$15*AG13</f>
        <v>62802.477118421048</v>
      </c>
      <c r="AV13" s="152">
        <f>[1]Step1_Inputs!$C$5</f>
        <v>500</v>
      </c>
      <c r="AW13" s="152">
        <f t="shared" si="4"/>
        <v>62802.477118421048</v>
      </c>
      <c r="AX13" s="153" t="e">
        <f>VLOOKUP(AD13,[1]Fact_Check!AZ2:EW33,32,FALSE)</f>
        <v>#N/A</v>
      </c>
      <c r="BE13" s="128">
        <v>12</v>
      </c>
      <c r="BF13" s="129" t="s">
        <v>782</v>
      </c>
      <c r="BG13" s="130">
        <v>123294513</v>
      </c>
      <c r="BH13" s="131">
        <v>-5.3E-3</v>
      </c>
      <c r="BI13" s="132">
        <v>-657179</v>
      </c>
      <c r="BJ13" s="133">
        <v>338</v>
      </c>
      <c r="BK13" s="132">
        <v>364555</v>
      </c>
      <c r="BL13" s="132">
        <v>99994</v>
      </c>
      <c r="BM13" s="133">
        <v>1.3</v>
      </c>
      <c r="BN13" s="133">
        <v>49</v>
      </c>
      <c r="BO13" s="134">
        <v>0.94</v>
      </c>
      <c r="BP13" s="131">
        <v>1.5299999999999999E-2</v>
      </c>
    </row>
    <row r="14" spans="1:68" ht="33" thickBot="1" x14ac:dyDescent="0.25">
      <c r="A14" s="90" t="s">
        <v>316</v>
      </c>
      <c r="B14" s="91" t="s">
        <v>752</v>
      </c>
      <c r="C14" s="91" t="s">
        <v>765</v>
      </c>
      <c r="D14" s="91" t="s">
        <v>755</v>
      </c>
      <c r="E14" s="91">
        <f>VLOOKUP(A14,[1]Fact_Check!$B$11:$AH$200,33,FALSE)</f>
        <v>36.1</v>
      </c>
      <c r="F14" s="91">
        <v>35.299999999999997</v>
      </c>
      <c r="G14" s="91" t="s">
        <v>774</v>
      </c>
      <c r="H14" s="91" t="s">
        <v>755</v>
      </c>
      <c r="I14" s="91" t="s">
        <v>756</v>
      </c>
      <c r="J14" s="92">
        <f t="shared" si="0"/>
        <v>34121985</v>
      </c>
      <c r="K14" s="93">
        <v>0.03</v>
      </c>
      <c r="L14" s="92">
        <v>16100</v>
      </c>
      <c r="M14" s="93">
        <f t="shared" si="1"/>
        <v>1.5727885311088048E-2</v>
      </c>
      <c r="N14" s="94">
        <f t="shared" si="2"/>
        <v>47.183655933264141</v>
      </c>
      <c r="O14" s="94"/>
      <c r="AD14" s="163" t="s">
        <v>783</v>
      </c>
      <c r="AE14" s="164" t="s">
        <v>763</v>
      </c>
      <c r="AF14" s="165">
        <f>AVERAGE(AF15:AF18)</f>
        <v>2.5</v>
      </c>
      <c r="AG14" s="139">
        <f>AVERAGE(AG15:AG18)</f>
        <v>0.22230290787834062</v>
      </c>
      <c r="AH14" s="139"/>
      <c r="AI14" s="139">
        <f>AVERAGE(AI15,AI16)</f>
        <v>1.4E-2</v>
      </c>
      <c r="AJ14" s="139">
        <f>AVERAGE(AJ15,AJ16)</f>
        <v>3.15E-2</v>
      </c>
      <c r="AK14" s="139"/>
      <c r="AL14" s="140">
        <f>AVERAGE(AL15,AL16,AL18)</f>
        <v>42.075398296308784</v>
      </c>
      <c r="AM14" s="140"/>
      <c r="AN14" s="140">
        <f>AVERAGE(AN15:AN18)</f>
        <v>53.230769230769226</v>
      </c>
      <c r="AO14" s="140"/>
      <c r="AP14" s="141"/>
      <c r="AQ14" s="142"/>
      <c r="AR14" s="140"/>
      <c r="AS14" s="140"/>
      <c r="AT14" s="139"/>
      <c r="AU14" s="140">
        <f>[1]Step1_Inputs!$J$15*AG14</f>
        <v>53052.458484474213</v>
      </c>
      <c r="AV14" s="140">
        <f>[1]Step1_Inputs!$C$5</f>
        <v>500</v>
      </c>
      <c r="AW14" s="140">
        <f t="shared" si="4"/>
        <v>53052.458484474213</v>
      </c>
      <c r="AX14" s="166" t="e">
        <f>AVERAGE(AX15:AX18)</f>
        <v>#N/A</v>
      </c>
      <c r="BE14" s="143">
        <v>13</v>
      </c>
      <c r="BF14" s="144" t="s">
        <v>554</v>
      </c>
      <c r="BG14" s="105">
        <v>117337368</v>
      </c>
      <c r="BH14" s="106">
        <v>1.54E-2</v>
      </c>
      <c r="BI14" s="107">
        <v>1778359</v>
      </c>
      <c r="BJ14" s="108">
        <v>394</v>
      </c>
      <c r="BK14" s="107">
        <v>298170</v>
      </c>
      <c r="BL14" s="107">
        <v>-69996</v>
      </c>
      <c r="BM14" s="108">
        <v>2.7</v>
      </c>
      <c r="BN14" s="108">
        <v>25</v>
      </c>
      <c r="BO14" s="109">
        <v>0.47</v>
      </c>
      <c r="BP14" s="106">
        <v>1.46E-2</v>
      </c>
    </row>
    <row r="15" spans="1:68" ht="17" thickBot="1" x14ac:dyDescent="0.25">
      <c r="A15" s="90" t="s">
        <v>468</v>
      </c>
      <c r="B15" s="91" t="s">
        <v>752</v>
      </c>
      <c r="C15" s="91" t="s">
        <v>765</v>
      </c>
      <c r="D15" s="91" t="s">
        <v>755</v>
      </c>
      <c r="E15" s="91">
        <f>VLOOKUP(A15,[1]Fact_Check!$B$11:$AH$200,33,FALSE)</f>
        <v>29.6</v>
      </c>
      <c r="F15" s="91">
        <v>78.2</v>
      </c>
      <c r="G15" s="91" t="s">
        <v>784</v>
      </c>
      <c r="H15" s="91" t="s">
        <v>755</v>
      </c>
      <c r="I15" s="91" t="s">
        <v>756</v>
      </c>
      <c r="J15" s="92">
        <f t="shared" si="0"/>
        <v>23293698</v>
      </c>
      <c r="K15" s="93">
        <v>0.01</v>
      </c>
      <c r="L15" s="112">
        <v>7000</v>
      </c>
      <c r="M15" s="93">
        <f t="shared" si="1"/>
        <v>3.005104642465958E-2</v>
      </c>
      <c r="N15" s="94">
        <f t="shared" si="2"/>
        <v>30.051046424659578</v>
      </c>
      <c r="O15" s="94"/>
      <c r="AD15" s="167" t="s">
        <v>637</v>
      </c>
      <c r="AE15" s="168" t="s">
        <v>728</v>
      </c>
      <c r="AF15" s="169">
        <v>3</v>
      </c>
      <c r="AG15" s="146">
        <f>AK15/(AH15*AI15)</f>
        <v>0.05</v>
      </c>
      <c r="AH15" s="147">
        <v>12000000</v>
      </c>
      <c r="AI15" s="148">
        <v>5.0000000000000001E-3</v>
      </c>
      <c r="AJ15" s="148">
        <v>1.2999999999999999E-2</v>
      </c>
      <c r="AK15" s="147">
        <v>3000</v>
      </c>
      <c r="AL15" s="149">
        <f>AK15/AH15*10000</f>
        <v>2.5</v>
      </c>
      <c r="AM15" s="149">
        <f>AK15*AJ15</f>
        <v>39</v>
      </c>
      <c r="AN15" s="149">
        <f>(AK15-AM15)/AM15</f>
        <v>75.92307692307692</v>
      </c>
      <c r="AO15" s="149">
        <v>0.62112561174551384</v>
      </c>
      <c r="AP15" s="157" t="e">
        <f>VLOOKUP(AD15,[1]Fact_Check!AZ2:EW33,21,FALSE)</f>
        <v>#N/A</v>
      </c>
      <c r="AQ15" s="151" t="e">
        <f>VLOOKUP(AD15,[1]Fact_Check!AZ2:EW33,24,FALSE)</f>
        <v>#N/A</v>
      </c>
      <c r="AR15" s="147">
        <v>399</v>
      </c>
      <c r="AS15" s="147">
        <v>549</v>
      </c>
      <c r="AT15" s="146">
        <f>AM15/AS15</f>
        <v>7.1038251366120214E-2</v>
      </c>
      <c r="AU15" s="149">
        <f>[1]Step1_Inputs!$J$15*AG15</f>
        <v>11932.4706525</v>
      </c>
      <c r="AV15" s="149">
        <f>[1]Step1_Inputs!$C$5</f>
        <v>500</v>
      </c>
      <c r="AW15" s="149">
        <f t="shared" si="4"/>
        <v>11932.4706525</v>
      </c>
      <c r="AX15" s="153" t="e">
        <f>VLOOKUP(AD15,[1]Fact_Check!AZ2:EW33,32,FALSE)</f>
        <v>#N/A</v>
      </c>
      <c r="BE15" s="128">
        <v>14</v>
      </c>
      <c r="BF15" s="129" t="s">
        <v>262</v>
      </c>
      <c r="BG15" s="130">
        <v>112716598</v>
      </c>
      <c r="BH15" s="131">
        <v>1.5599999999999999E-2</v>
      </c>
      <c r="BI15" s="132">
        <v>1726495</v>
      </c>
      <c r="BJ15" s="133">
        <v>113</v>
      </c>
      <c r="BK15" s="132">
        <v>995450</v>
      </c>
      <c r="BL15" s="132">
        <v>-29998</v>
      </c>
      <c r="BM15" s="133">
        <v>2.8</v>
      </c>
      <c r="BN15" s="133">
        <v>24</v>
      </c>
      <c r="BO15" s="134">
        <v>0.41</v>
      </c>
      <c r="BP15" s="131">
        <v>1.4E-2</v>
      </c>
    </row>
    <row r="16" spans="1:68" ht="65" thickBot="1" x14ac:dyDescent="0.25">
      <c r="A16" s="91" t="s">
        <v>522</v>
      </c>
      <c r="B16" s="91" t="s">
        <v>752</v>
      </c>
      <c r="C16" s="91" t="s">
        <v>765</v>
      </c>
      <c r="D16" s="91" t="s">
        <v>755</v>
      </c>
      <c r="E16" s="91">
        <f>VLOOKUP(A16,[1]Fact_Check!$B$11:$AH$200,33,FALSE)</f>
        <v>31.6</v>
      </c>
      <c r="F16" s="91">
        <v>63.6</v>
      </c>
      <c r="G16" s="91" t="s">
        <v>774</v>
      </c>
      <c r="H16" s="91" t="s">
        <v>755</v>
      </c>
      <c r="I16" s="91" t="s">
        <v>756</v>
      </c>
      <c r="J16" s="92">
        <f t="shared" si="0"/>
        <v>223804632</v>
      </c>
      <c r="K16" s="93">
        <v>0.03</v>
      </c>
      <c r="L16" s="170">
        <v>190000</v>
      </c>
      <c r="M16" s="93">
        <f t="shared" si="1"/>
        <v>2.8298490861142379E-2</v>
      </c>
      <c r="N16" s="94">
        <f t="shared" si="2"/>
        <v>84.895472583427136</v>
      </c>
      <c r="O16" s="94"/>
      <c r="AD16" s="167" t="s">
        <v>408</v>
      </c>
      <c r="AE16" s="168" t="s">
        <v>728</v>
      </c>
      <c r="AF16" s="169">
        <v>2</v>
      </c>
      <c r="AG16" s="146">
        <f>AK16/(AH16*AI16)</f>
        <v>0.1719613509297486</v>
      </c>
      <c r="AH16" s="147">
        <v>2528374</v>
      </c>
      <c r="AI16" s="148">
        <v>2.3E-2</v>
      </c>
      <c r="AJ16" s="148">
        <v>0.05</v>
      </c>
      <c r="AK16" s="147">
        <v>10000</v>
      </c>
      <c r="AL16" s="149">
        <f>AK16/AH16*10000</f>
        <v>39.551110713842178</v>
      </c>
      <c r="AM16" s="149">
        <f>AK16*AJ16</f>
        <v>500</v>
      </c>
      <c r="AN16" s="149">
        <f>(AK16-AM16)/AM16</f>
        <v>19</v>
      </c>
      <c r="AO16" s="149">
        <v>266.86227889060092</v>
      </c>
      <c r="AP16" s="157">
        <f>VLOOKUP(AD16,[1]Fact_Check!$B$11:$AH$112,21,FALSE)</f>
        <v>7.0499999999999998E-3</v>
      </c>
      <c r="AQ16" s="151">
        <f>VLOOKUP(AD16,[1]Fact_Check!$B$11:$AH$112,24,FALSE)</f>
        <v>0.61645468396870173</v>
      </c>
      <c r="AR16" s="149">
        <f>AO16/0.17</f>
        <v>1569.7781111211818</v>
      </c>
      <c r="AS16" s="149">
        <f>AR16+AM16</f>
        <v>2069.7781111211816</v>
      </c>
      <c r="AT16" s="146">
        <f>AM16/AS16</f>
        <v>0.24157178845086644</v>
      </c>
      <c r="AU16" s="149">
        <f>[1]Step1_Inputs!$J$15*AG16</f>
        <v>41038.475466669574</v>
      </c>
      <c r="AV16" s="149">
        <f>[1]Step1_Inputs!$C$5</f>
        <v>500</v>
      </c>
      <c r="AW16" s="149">
        <f t="shared" si="4"/>
        <v>41038.475466669574</v>
      </c>
      <c r="AX16" s="153" t="e">
        <f>VLOOKUP(AD16,[1]Fact_Check!AZ2:EW33,32,FALSE)</f>
        <v>#N/A</v>
      </c>
      <c r="BE16" s="143">
        <v>15</v>
      </c>
      <c r="BF16" s="144" t="s">
        <v>239</v>
      </c>
      <c r="BG16" s="105">
        <v>102262808</v>
      </c>
      <c r="BH16" s="106">
        <v>3.2899999999999999E-2</v>
      </c>
      <c r="BI16" s="107">
        <v>3252596</v>
      </c>
      <c r="BJ16" s="108">
        <v>45</v>
      </c>
      <c r="BK16" s="107">
        <v>2267050</v>
      </c>
      <c r="BL16" s="107">
        <v>-14999</v>
      </c>
      <c r="BM16" s="108">
        <v>6.1</v>
      </c>
      <c r="BN16" s="108">
        <v>16</v>
      </c>
      <c r="BO16" s="109">
        <v>0.46</v>
      </c>
      <c r="BP16" s="106">
        <v>1.2699999999999999E-2</v>
      </c>
    </row>
    <row r="17" spans="1:68" ht="46" thickBot="1" x14ac:dyDescent="0.25">
      <c r="A17" s="90" t="s">
        <v>543</v>
      </c>
      <c r="B17" s="91" t="s">
        <v>726</v>
      </c>
      <c r="C17" s="91" t="s">
        <v>727</v>
      </c>
      <c r="D17" s="91" t="s">
        <v>755</v>
      </c>
      <c r="E17" s="91">
        <f>VLOOKUP(A17,[1]Fact_Check!$B$11:$AH$200,33,FALSE)</f>
        <v>32.4</v>
      </c>
      <c r="F17" s="91"/>
      <c r="G17" s="91" t="s">
        <v>774</v>
      </c>
      <c r="H17" s="91" t="s">
        <v>755</v>
      </c>
      <c r="I17" s="91" t="s">
        <v>774</v>
      </c>
      <c r="J17" s="92">
        <f t="shared" si="0"/>
        <v>240485658</v>
      </c>
      <c r="K17" s="111">
        <v>2.5999999999999999E-2</v>
      </c>
      <c r="L17" s="171">
        <v>90000</v>
      </c>
      <c r="M17" s="93">
        <f t="shared" si="1"/>
        <v>1.4393949686340387E-2</v>
      </c>
      <c r="N17" s="94">
        <f t="shared" si="2"/>
        <v>37.424269184485006</v>
      </c>
      <c r="O17" s="94"/>
      <c r="AD17" s="167" t="s">
        <v>498</v>
      </c>
      <c r="AE17" s="168" t="s">
        <v>728</v>
      </c>
      <c r="AF17" s="169">
        <v>2</v>
      </c>
      <c r="AG17" s="146">
        <f>AK17/(AH17*AI17)</f>
        <v>0.38666666666666666</v>
      </c>
      <c r="AH17" s="147">
        <v>2500000</v>
      </c>
      <c r="AI17" s="148">
        <v>0.03</v>
      </c>
      <c r="AJ17" s="148">
        <v>0.05</v>
      </c>
      <c r="AK17" s="147">
        <v>29000</v>
      </c>
      <c r="AL17" s="149">
        <f>AK17/AH17*10000</f>
        <v>115.99999999999999</v>
      </c>
      <c r="AM17" s="149">
        <f>AK17*AJ17</f>
        <v>1450</v>
      </c>
      <c r="AN17" s="149">
        <f>(AK17-AM17)/AM17</f>
        <v>19</v>
      </c>
      <c r="AO17" s="149">
        <v>20</v>
      </c>
      <c r="AP17" s="157">
        <f>VLOOKUP(AD17,[1]Fact_Check!$B$11:$AH$112,21,FALSE)</f>
        <v>7.0300000000000007E-3</v>
      </c>
      <c r="AQ17" s="151">
        <f>VLOOKUP(AD17,[1]Fact_Check!$B$11:$AH$112,24,FALSE)</f>
        <v>0.41380523371887129</v>
      </c>
      <c r="AR17" s="149">
        <f>AO17/0.17</f>
        <v>117.64705882352941</v>
      </c>
      <c r="AS17" s="149">
        <f>AR17+AM17</f>
        <v>1567.6470588235295</v>
      </c>
      <c r="AT17" s="146">
        <f>AM17/AS17</f>
        <v>0.924953095684803</v>
      </c>
      <c r="AU17" s="149">
        <f>[1]Step1_Inputs!$J$15*AG17</f>
        <v>92277.773046000002</v>
      </c>
      <c r="AV17" s="149">
        <f>[1]Step1_Inputs!$C$5</f>
        <v>500</v>
      </c>
      <c r="AW17" s="149">
        <f t="shared" si="4"/>
        <v>92277.773046000002</v>
      </c>
      <c r="AX17" s="153" t="e">
        <f>VLOOKUP(AD17,[1]Fact_Check!AZ2:EW33,32,FALSE)</f>
        <v>#N/A</v>
      </c>
      <c r="BE17" s="128">
        <v>16</v>
      </c>
      <c r="BF17" s="129" t="s">
        <v>683</v>
      </c>
      <c r="BG17" s="130">
        <v>98858950</v>
      </c>
      <c r="BH17" s="131">
        <v>6.7999999999999996E-3</v>
      </c>
      <c r="BI17" s="132">
        <v>672094</v>
      </c>
      <c r="BJ17" s="133">
        <v>319</v>
      </c>
      <c r="BK17" s="132">
        <v>310070</v>
      </c>
      <c r="BL17" s="132">
        <v>-82700</v>
      </c>
      <c r="BM17" s="133">
        <v>1.9</v>
      </c>
      <c r="BN17" s="133">
        <v>33</v>
      </c>
      <c r="BO17" s="134">
        <v>0.4</v>
      </c>
      <c r="BP17" s="131">
        <v>1.23E-2</v>
      </c>
    </row>
    <row r="18" spans="1:68" ht="46" thickBot="1" x14ac:dyDescent="0.25">
      <c r="A18" s="91" t="s">
        <v>113</v>
      </c>
      <c r="B18" s="91" t="s">
        <v>726</v>
      </c>
      <c r="C18" s="91" t="s">
        <v>727</v>
      </c>
      <c r="D18" s="91" t="s">
        <v>785</v>
      </c>
      <c r="E18" s="91">
        <f>VLOOKUP(A18,[1]Fact_Check!$B$11:$AH$200,33,FALSE)</f>
        <v>44.1</v>
      </c>
      <c r="F18" s="91">
        <v>42.2</v>
      </c>
      <c r="G18" s="91" t="s">
        <v>774</v>
      </c>
      <c r="H18" s="91" t="s">
        <v>728</v>
      </c>
      <c r="I18" s="91" t="s">
        <v>786</v>
      </c>
      <c r="J18" s="92">
        <f t="shared" si="0"/>
        <v>172954319</v>
      </c>
      <c r="K18" s="93">
        <v>6.28E-3</v>
      </c>
      <c r="L18" s="92">
        <v>584000</v>
      </c>
      <c r="M18" s="93">
        <f t="shared" si="1"/>
        <v>0.53767741164791849</v>
      </c>
      <c r="N18" s="94">
        <f t="shared" si="2"/>
        <v>337.66141451489278</v>
      </c>
      <c r="O18" s="94"/>
      <c r="AD18" s="167" t="s">
        <v>589</v>
      </c>
      <c r="AE18" s="168" t="s">
        <v>768</v>
      </c>
      <c r="AF18" s="169">
        <v>3</v>
      </c>
      <c r="AG18" s="146">
        <f>AK18/(AH18*AI18)</f>
        <v>0.28058361391694725</v>
      </c>
      <c r="AH18" s="147">
        <v>59400000</v>
      </c>
      <c r="AI18" s="148">
        <v>0.03</v>
      </c>
      <c r="AJ18" s="148">
        <v>0.01</v>
      </c>
      <c r="AK18" s="172">
        <v>500000</v>
      </c>
      <c r="AL18" s="149">
        <f>AK18/AH18*10000</f>
        <v>84.17508417508418</v>
      </c>
      <c r="AM18" s="149">
        <f>AK18*AJ18</f>
        <v>5000</v>
      </c>
      <c r="AN18" s="149">
        <f>(AK18-AM18)/AM18</f>
        <v>99</v>
      </c>
      <c r="AO18" s="149">
        <v>20</v>
      </c>
      <c r="AP18" s="157">
        <f>VLOOKUP(AD18,[1]Fact_Check!$B$11:$AH$112,21,FALSE)</f>
        <v>1.1200000000000001E-3</v>
      </c>
      <c r="AQ18" s="151">
        <f>VLOOKUP(AD18,[1]Fact_Check!$B$11:$AH$112,24,FALSE)</f>
        <v>0.14400216349852599</v>
      </c>
      <c r="AR18" s="149">
        <f>AO18/0.17</f>
        <v>117.64705882352941</v>
      </c>
      <c r="AS18" s="149">
        <f>AR18+AM18</f>
        <v>5117.6470588235297</v>
      </c>
      <c r="AT18" s="146">
        <f>AM18/AS18</f>
        <v>0.97701149425287348</v>
      </c>
      <c r="AU18" s="149">
        <f>[1]Step1_Inputs!$J$15*AG18</f>
        <v>66961.114772727276</v>
      </c>
      <c r="AV18" s="149">
        <f>[1]Step1_Inputs!$C$5</f>
        <v>500</v>
      </c>
      <c r="AW18" s="149">
        <f t="shared" si="4"/>
        <v>66961.114772727276</v>
      </c>
      <c r="AX18" s="153" t="e">
        <f>VLOOKUP(AD18,[1]Fact_Check!AZ2:EW33,32,FALSE)</f>
        <v>#N/A</v>
      </c>
      <c r="BE18" s="143">
        <v>17</v>
      </c>
      <c r="BF18" s="144" t="s">
        <v>371</v>
      </c>
      <c r="BG18" s="105">
        <v>89172767</v>
      </c>
      <c r="BH18" s="106">
        <v>7.0000000000000001E-3</v>
      </c>
      <c r="BI18" s="107">
        <v>622197</v>
      </c>
      <c r="BJ18" s="108">
        <v>55</v>
      </c>
      <c r="BK18" s="107">
        <v>1628550</v>
      </c>
      <c r="BL18" s="107">
        <v>-39998</v>
      </c>
      <c r="BM18" s="108">
        <v>1.7</v>
      </c>
      <c r="BN18" s="108">
        <v>33</v>
      </c>
      <c r="BO18" s="109">
        <v>0.74</v>
      </c>
      <c r="BP18" s="106">
        <v>1.11E-2</v>
      </c>
    </row>
    <row r="19" spans="1:68" ht="46" thickBot="1" x14ac:dyDescent="0.25">
      <c r="A19" s="90" t="s">
        <v>133</v>
      </c>
      <c r="B19" s="91" t="s">
        <v>726</v>
      </c>
      <c r="C19" s="91" t="s">
        <v>727</v>
      </c>
      <c r="D19" s="91" t="s">
        <v>785</v>
      </c>
      <c r="E19" s="91">
        <f>VLOOKUP(A19,[1]Fact_Check!$B$11:$AH$200,33,FALSE)</f>
        <v>42.1</v>
      </c>
      <c r="F19" s="91"/>
      <c r="G19" s="91" t="s">
        <v>774</v>
      </c>
      <c r="H19" s="91" t="s">
        <v>728</v>
      </c>
      <c r="I19" s="91" t="s">
        <v>774</v>
      </c>
      <c r="J19" s="92">
        <f t="shared" si="0"/>
        <v>787424</v>
      </c>
      <c r="K19" s="93">
        <v>0.02</v>
      </c>
      <c r="L19" s="92">
        <v>5000</v>
      </c>
      <c r="M19" s="93">
        <f t="shared" si="1"/>
        <v>0.31749095785752024</v>
      </c>
      <c r="N19" s="94">
        <f t="shared" si="2"/>
        <v>634.98191571504037</v>
      </c>
      <c r="O19" s="94"/>
      <c r="BE19" s="128">
        <v>18</v>
      </c>
      <c r="BF19" s="129" t="s">
        <v>645</v>
      </c>
      <c r="BG19" s="130">
        <v>85816199</v>
      </c>
      <c r="BH19" s="131">
        <v>5.5999999999999999E-3</v>
      </c>
      <c r="BI19" s="132">
        <v>474958</v>
      </c>
      <c r="BJ19" s="133">
        <v>112</v>
      </c>
      <c r="BK19" s="132">
        <v>769630</v>
      </c>
      <c r="BL19" s="132">
        <v>-318067</v>
      </c>
      <c r="BM19" s="133">
        <v>1.9</v>
      </c>
      <c r="BN19" s="133">
        <v>32</v>
      </c>
      <c r="BO19" s="134">
        <v>0.77</v>
      </c>
      <c r="BP19" s="131">
        <v>1.0699999999999999E-2</v>
      </c>
    </row>
    <row r="20" spans="1:68" ht="46" thickBot="1" x14ac:dyDescent="0.25">
      <c r="A20" s="90" t="s">
        <v>594</v>
      </c>
      <c r="B20" s="91" t="s">
        <v>726</v>
      </c>
      <c r="C20" s="91" t="s">
        <v>727</v>
      </c>
      <c r="D20" s="91" t="s">
        <v>785</v>
      </c>
      <c r="E20" s="91">
        <f>VLOOKUP(A20,[1]Fact_Check!$B$11:$AH$200,33,FALSE)</f>
        <v>60.5</v>
      </c>
      <c r="F20" s="91">
        <v>27.6</v>
      </c>
      <c r="G20" s="91" t="s">
        <v>774</v>
      </c>
      <c r="H20" s="91" t="s">
        <v>728</v>
      </c>
      <c r="I20" s="91" t="s">
        <v>774</v>
      </c>
      <c r="J20" s="92">
        <f t="shared" si="0"/>
        <v>21893579</v>
      </c>
      <c r="K20" s="93">
        <v>0.02</v>
      </c>
      <c r="L20" s="92">
        <v>100000</v>
      </c>
      <c r="M20" s="93">
        <f t="shared" si="1"/>
        <v>0.22837746172062592</v>
      </c>
      <c r="N20" s="94">
        <f t="shared" si="2"/>
        <v>456.75492344125189</v>
      </c>
      <c r="O20" s="94"/>
      <c r="BE20" s="143">
        <v>19</v>
      </c>
      <c r="BF20" s="144" t="s">
        <v>787</v>
      </c>
      <c r="BG20" s="105">
        <v>83294633</v>
      </c>
      <c r="BH20" s="106">
        <v>-8.9999999999999998E-4</v>
      </c>
      <c r="BI20" s="107">
        <v>-75210</v>
      </c>
      <c r="BJ20" s="108">
        <v>239</v>
      </c>
      <c r="BK20" s="107">
        <v>348560</v>
      </c>
      <c r="BL20" s="107">
        <v>155751</v>
      </c>
      <c r="BM20" s="108">
        <v>1.5</v>
      </c>
      <c r="BN20" s="108">
        <v>45</v>
      </c>
      <c r="BO20" s="109">
        <v>0.77</v>
      </c>
      <c r="BP20" s="106">
        <v>1.04E-2</v>
      </c>
    </row>
    <row r="21" spans="1:68" ht="46" thickBot="1" x14ac:dyDescent="0.25">
      <c r="A21" s="90" t="s">
        <v>554</v>
      </c>
      <c r="B21" s="91" t="s">
        <v>726</v>
      </c>
      <c r="C21" s="91" t="s">
        <v>727</v>
      </c>
      <c r="D21" s="91" t="s">
        <v>785</v>
      </c>
      <c r="E21" s="91">
        <f>VLOOKUP(A21,[1]Fact_Check!$B$11:$AH$200,33,FALSE)</f>
        <v>40.799999999999997</v>
      </c>
      <c r="F21" s="91"/>
      <c r="G21" s="91" t="s">
        <v>774</v>
      </c>
      <c r="H21" s="91" t="s">
        <v>728</v>
      </c>
      <c r="I21" s="91" t="s">
        <v>788</v>
      </c>
      <c r="J21" s="92">
        <f t="shared" si="0"/>
        <v>117337368</v>
      </c>
      <c r="K21" s="93">
        <v>0.03</v>
      </c>
      <c r="L21" s="92">
        <v>900000</v>
      </c>
      <c r="M21" s="93">
        <f t="shared" si="1"/>
        <v>0.25567302651615637</v>
      </c>
      <c r="N21" s="94">
        <f t="shared" si="2"/>
        <v>767.01907954846911</v>
      </c>
      <c r="O21" s="94"/>
      <c r="AH21">
        <f>AK5/AH5*100000</f>
        <v>1000</v>
      </c>
      <c r="BE21" s="128">
        <v>20</v>
      </c>
      <c r="BF21" s="129" t="s">
        <v>624</v>
      </c>
      <c r="BG21" s="130">
        <v>71801279</v>
      </c>
      <c r="BH21" s="131">
        <v>1.5E-3</v>
      </c>
      <c r="BI21" s="132">
        <v>104249</v>
      </c>
      <c r="BJ21" s="133">
        <v>141</v>
      </c>
      <c r="BK21" s="132">
        <v>510890</v>
      </c>
      <c r="BL21" s="132">
        <v>18999</v>
      </c>
      <c r="BM21" s="133">
        <v>1.3</v>
      </c>
      <c r="BN21" s="133">
        <v>40</v>
      </c>
      <c r="BO21" s="134">
        <v>0.52</v>
      </c>
      <c r="BP21" s="131">
        <v>8.8999999999999999E-3</v>
      </c>
    </row>
    <row r="22" spans="1:68" ht="33" thickBot="1" x14ac:dyDescent="0.25">
      <c r="A22" s="91" t="s">
        <v>472</v>
      </c>
      <c r="B22" s="91" t="s">
        <v>752</v>
      </c>
      <c r="C22" s="91" t="s">
        <v>765</v>
      </c>
      <c r="D22" s="91" t="s">
        <v>785</v>
      </c>
      <c r="E22" s="91">
        <f>VLOOKUP(A22,[1]Fact_Check!$B$11:$AH$200,33,FALSE)</f>
        <v>47.4</v>
      </c>
      <c r="F22" s="91"/>
      <c r="G22" s="91" t="s">
        <v>774</v>
      </c>
      <c r="H22" s="91" t="s">
        <v>755</v>
      </c>
      <c r="I22" s="91" t="s">
        <v>774</v>
      </c>
      <c r="J22" s="92">
        <f t="shared" si="0"/>
        <v>3447157</v>
      </c>
      <c r="K22" s="93">
        <v>0.01</v>
      </c>
      <c r="L22" s="92">
        <v>2500</v>
      </c>
      <c r="M22" s="93">
        <f t="shared" si="1"/>
        <v>7.2523531710334058E-2</v>
      </c>
      <c r="N22" s="94">
        <f t="shared" si="2"/>
        <v>72.523531710334055</v>
      </c>
      <c r="O22" s="94"/>
      <c r="BE22" s="143">
        <v>21</v>
      </c>
      <c r="BF22" s="144" t="s">
        <v>789</v>
      </c>
      <c r="BG22" s="105">
        <v>67736802</v>
      </c>
      <c r="BH22" s="106">
        <v>3.3999999999999998E-3</v>
      </c>
      <c r="BI22" s="107">
        <v>227866</v>
      </c>
      <c r="BJ22" s="108">
        <v>280</v>
      </c>
      <c r="BK22" s="107">
        <v>241930</v>
      </c>
      <c r="BL22" s="107">
        <v>165790</v>
      </c>
      <c r="BM22" s="108">
        <v>1.6</v>
      </c>
      <c r="BN22" s="108">
        <v>40</v>
      </c>
      <c r="BO22" s="109">
        <v>0.85</v>
      </c>
      <c r="BP22" s="106">
        <v>8.3999999999999995E-3</v>
      </c>
    </row>
    <row r="23" spans="1:68" ht="17" thickBot="1" x14ac:dyDescent="0.25">
      <c r="A23" s="90" t="s">
        <v>589</v>
      </c>
      <c r="B23" s="91" t="s">
        <v>752</v>
      </c>
      <c r="C23" s="91" t="s">
        <v>790</v>
      </c>
      <c r="D23" s="91" t="s">
        <v>785</v>
      </c>
      <c r="E23" s="91">
        <f>VLOOKUP(A23,[1]Fact_Check!$B$11:$AH$200,33,FALSE)</f>
        <v>44.6</v>
      </c>
      <c r="F23" s="91"/>
      <c r="G23" s="91" t="s">
        <v>774</v>
      </c>
      <c r="H23" s="91" t="s">
        <v>785</v>
      </c>
      <c r="I23" s="91" t="s">
        <v>774</v>
      </c>
      <c r="J23" s="92">
        <f t="shared" si="0"/>
        <v>60414495</v>
      </c>
      <c r="K23" s="93">
        <v>0.03</v>
      </c>
      <c r="L23" s="173">
        <v>250000</v>
      </c>
      <c r="M23" s="93">
        <f t="shared" si="1"/>
        <v>0.13793599256822942</v>
      </c>
      <c r="N23" s="94">
        <f t="shared" si="2"/>
        <v>413.80797770468826</v>
      </c>
      <c r="O23" s="94"/>
      <c r="BE23" s="128">
        <v>22</v>
      </c>
      <c r="BF23" s="129" t="s">
        <v>619</v>
      </c>
      <c r="BG23" s="130">
        <v>67438106</v>
      </c>
      <c r="BH23" s="131">
        <v>2.9600000000000001E-2</v>
      </c>
      <c r="BI23" s="132">
        <v>1940358</v>
      </c>
      <c r="BJ23" s="133">
        <v>76</v>
      </c>
      <c r="BK23" s="132">
        <v>885800</v>
      </c>
      <c r="BL23" s="132">
        <v>-39997</v>
      </c>
      <c r="BM23" s="133">
        <v>4.5999999999999996</v>
      </c>
      <c r="BN23" s="133">
        <v>17</v>
      </c>
      <c r="BO23" s="134">
        <v>0.38</v>
      </c>
      <c r="BP23" s="131">
        <v>8.3999999999999995E-3</v>
      </c>
    </row>
    <row r="24" spans="1:68" ht="17" thickBot="1" x14ac:dyDescent="0.25">
      <c r="A24" s="90" t="s">
        <v>206</v>
      </c>
      <c r="B24" s="91" t="s">
        <v>752</v>
      </c>
      <c r="C24" s="91" t="s">
        <v>753</v>
      </c>
      <c r="D24" s="91" t="s">
        <v>785</v>
      </c>
      <c r="E24" s="91">
        <f>VLOOKUP(A24,[1]Fact_Check!$B$11:$AH$200,33,FALSE)</f>
        <v>70.2</v>
      </c>
      <c r="F24" s="91"/>
      <c r="G24" s="90" t="s">
        <v>791</v>
      </c>
      <c r="H24" s="91" t="s">
        <v>785</v>
      </c>
      <c r="I24" s="91" t="s">
        <v>792</v>
      </c>
      <c r="J24" s="92">
        <f t="shared" si="0"/>
        <v>1425671352</v>
      </c>
      <c r="K24" s="93">
        <v>0.01</v>
      </c>
      <c r="L24" s="92">
        <v>2400000</v>
      </c>
      <c r="M24" s="93">
        <f t="shared" si="1"/>
        <v>0.16834174276092209</v>
      </c>
      <c r="N24" s="94">
        <f t="shared" si="2"/>
        <v>168.34174276092207</v>
      </c>
      <c r="O24" s="94"/>
      <c r="BE24" s="143">
        <v>23</v>
      </c>
      <c r="BF24" s="144" t="s">
        <v>793</v>
      </c>
      <c r="BG24" s="105">
        <v>64756584</v>
      </c>
      <c r="BH24" s="106">
        <v>2E-3</v>
      </c>
      <c r="BI24" s="107">
        <v>129956</v>
      </c>
      <c r="BJ24" s="108">
        <v>118</v>
      </c>
      <c r="BK24" s="107">
        <v>547557</v>
      </c>
      <c r="BL24" s="107">
        <v>67761</v>
      </c>
      <c r="BM24" s="108">
        <v>1.8</v>
      </c>
      <c r="BN24" s="108">
        <v>42</v>
      </c>
      <c r="BO24" s="109">
        <v>0.84</v>
      </c>
      <c r="BP24" s="106">
        <v>8.0000000000000002E-3</v>
      </c>
    </row>
    <row r="25" spans="1:68" ht="33" thickBot="1" x14ac:dyDescent="0.25">
      <c r="A25" s="174" t="s">
        <v>794</v>
      </c>
      <c r="B25" s="174"/>
      <c r="C25" s="174"/>
      <c r="D25" s="91" t="s">
        <v>785</v>
      </c>
      <c r="E25" s="161">
        <v>80</v>
      </c>
      <c r="F25" s="91"/>
      <c r="G25" s="174"/>
      <c r="H25" s="174"/>
      <c r="I25" s="174"/>
      <c r="J25" s="175">
        <v>1570000</v>
      </c>
      <c r="K25" s="93">
        <v>0.01</v>
      </c>
      <c r="L25" s="135">
        <v>15000</v>
      </c>
      <c r="M25" s="93">
        <f t="shared" si="1"/>
        <v>0.95541401273885351</v>
      </c>
      <c r="N25" s="94">
        <f t="shared" si="2"/>
        <v>955.41401273885344</v>
      </c>
      <c r="O25" s="94"/>
      <c r="BE25" s="128">
        <v>24</v>
      </c>
      <c r="BF25" s="129" t="s">
        <v>589</v>
      </c>
      <c r="BG25" s="130">
        <v>60414495</v>
      </c>
      <c r="BH25" s="131">
        <v>8.6999999999999994E-3</v>
      </c>
      <c r="BI25" s="132">
        <v>520610</v>
      </c>
      <c r="BJ25" s="133">
        <v>50</v>
      </c>
      <c r="BK25" s="132">
        <v>1213090</v>
      </c>
      <c r="BL25" s="132">
        <v>58496</v>
      </c>
      <c r="BM25" s="133">
        <v>2.2999999999999998</v>
      </c>
      <c r="BN25" s="133">
        <v>28</v>
      </c>
      <c r="BO25" s="134">
        <v>0.69</v>
      </c>
      <c r="BP25" s="131">
        <v>7.4999999999999997E-3</v>
      </c>
    </row>
    <row r="26" spans="1:68" ht="17" thickBot="1" x14ac:dyDescent="0.25">
      <c r="A26" s="174" t="s">
        <v>624</v>
      </c>
      <c r="B26" s="174"/>
      <c r="C26" s="174"/>
      <c r="D26" s="91" t="s">
        <v>785</v>
      </c>
      <c r="E26" s="91">
        <f>VLOOKUP(A26,[1]Fact_Check!$B$11:$AH$200,33,FALSE)</f>
        <v>62.5</v>
      </c>
      <c r="F26" s="91">
        <v>26.6</v>
      </c>
      <c r="G26" s="174"/>
      <c r="H26" s="174"/>
      <c r="I26" s="174"/>
      <c r="J26" s="92">
        <f>VLOOKUP(A26,$BF$2:$BG$235,2,FALSE)</f>
        <v>71801279</v>
      </c>
      <c r="K26" s="93">
        <v>0.01</v>
      </c>
      <c r="L26" s="92">
        <v>600000</v>
      </c>
      <c r="M26" s="93">
        <f t="shared" si="1"/>
        <v>0.83563971054053221</v>
      </c>
      <c r="N26" s="94">
        <f t="shared" si="2"/>
        <v>835.63971054053229</v>
      </c>
      <c r="O26" s="94"/>
      <c r="BE26" s="143">
        <v>25</v>
      </c>
      <c r="BF26" s="144" t="s">
        <v>795</v>
      </c>
      <c r="BG26" s="105">
        <v>58870762</v>
      </c>
      <c r="BH26" s="106">
        <v>-2.8E-3</v>
      </c>
      <c r="BI26" s="107">
        <v>-166712</v>
      </c>
      <c r="BJ26" s="108">
        <v>200</v>
      </c>
      <c r="BK26" s="107">
        <v>294140</v>
      </c>
      <c r="BL26" s="107">
        <v>58496</v>
      </c>
      <c r="BM26" s="108">
        <v>1.3</v>
      </c>
      <c r="BN26" s="108">
        <v>48</v>
      </c>
      <c r="BO26" s="109">
        <v>0.72</v>
      </c>
      <c r="BP26" s="106">
        <v>7.3000000000000001E-3</v>
      </c>
    </row>
    <row r="27" spans="1:68" ht="17" thickBot="1" x14ac:dyDescent="0.25">
      <c r="N27" s="94"/>
      <c r="O27" s="94"/>
      <c r="BE27" s="128">
        <v>26</v>
      </c>
      <c r="BF27" s="129" t="s">
        <v>408</v>
      </c>
      <c r="BG27" s="130">
        <v>55100586</v>
      </c>
      <c r="BH27" s="131">
        <v>1.9900000000000001E-2</v>
      </c>
      <c r="BI27" s="132">
        <v>1073099</v>
      </c>
      <c r="BJ27" s="133">
        <v>97</v>
      </c>
      <c r="BK27" s="132">
        <v>569140</v>
      </c>
      <c r="BL27" s="132">
        <v>-10000</v>
      </c>
      <c r="BM27" s="133">
        <v>3.2</v>
      </c>
      <c r="BN27" s="133">
        <v>20</v>
      </c>
      <c r="BO27" s="134">
        <v>0.31</v>
      </c>
      <c r="BP27" s="131">
        <v>6.7999999999999996E-3</v>
      </c>
    </row>
    <row r="28" spans="1:68" ht="17" thickBot="1" x14ac:dyDescent="0.25">
      <c r="N28" s="94"/>
      <c r="O28" s="94"/>
      <c r="BE28" s="143">
        <v>27</v>
      </c>
      <c r="BF28" s="144" t="s">
        <v>495</v>
      </c>
      <c r="BG28" s="105">
        <v>54577997</v>
      </c>
      <c r="BH28" s="106">
        <v>7.4000000000000003E-3</v>
      </c>
      <c r="BI28" s="107">
        <v>398691</v>
      </c>
      <c r="BJ28" s="108">
        <v>84</v>
      </c>
      <c r="BK28" s="107">
        <v>653290</v>
      </c>
      <c r="BL28" s="107">
        <v>-34998</v>
      </c>
      <c r="BM28" s="108">
        <v>2.1</v>
      </c>
      <c r="BN28" s="108">
        <v>30</v>
      </c>
      <c r="BO28" s="109">
        <v>0.33</v>
      </c>
      <c r="BP28" s="106">
        <v>6.7999999999999996E-3</v>
      </c>
    </row>
    <row r="29" spans="1:68" ht="17" thickBot="1" x14ac:dyDescent="0.25">
      <c r="N29" s="94"/>
      <c r="O29" s="94"/>
      <c r="BE29" s="128">
        <v>28</v>
      </c>
      <c r="BF29" s="129" t="s">
        <v>214</v>
      </c>
      <c r="BG29" s="130">
        <v>52085168</v>
      </c>
      <c r="BH29" s="131">
        <v>4.1000000000000003E-3</v>
      </c>
      <c r="BI29" s="132">
        <v>211144</v>
      </c>
      <c r="BJ29" s="133">
        <v>47</v>
      </c>
      <c r="BK29" s="132">
        <v>1109500</v>
      </c>
      <c r="BL29" s="132">
        <v>-175051</v>
      </c>
      <c r="BM29" s="133">
        <v>1.7</v>
      </c>
      <c r="BN29" s="133">
        <v>32</v>
      </c>
      <c r="BO29" s="134">
        <v>0.81</v>
      </c>
      <c r="BP29" s="131">
        <v>6.4999999999999997E-3</v>
      </c>
    </row>
    <row r="30" spans="1:68" ht="33" thickBot="1" x14ac:dyDescent="0.25">
      <c r="N30" s="94"/>
      <c r="O30" s="94"/>
      <c r="BE30" s="143">
        <v>29</v>
      </c>
      <c r="BF30" s="144" t="s">
        <v>796</v>
      </c>
      <c r="BG30" s="105">
        <v>51784059</v>
      </c>
      <c r="BH30" s="106">
        <v>-5.9999999999999995E-4</v>
      </c>
      <c r="BI30" s="107">
        <v>-31751</v>
      </c>
      <c r="BJ30" s="108">
        <v>533</v>
      </c>
      <c r="BK30" s="107">
        <v>97230</v>
      </c>
      <c r="BL30" s="107">
        <v>29998</v>
      </c>
      <c r="BM30" s="108">
        <v>0.9</v>
      </c>
      <c r="BN30" s="108">
        <v>44</v>
      </c>
      <c r="BO30" s="109">
        <v>0.82</v>
      </c>
      <c r="BP30" s="106">
        <v>6.4000000000000003E-3</v>
      </c>
    </row>
    <row r="31" spans="1:68" ht="17" thickBot="1" x14ac:dyDescent="0.25">
      <c r="N31" s="94"/>
      <c r="O31" s="94"/>
      <c r="BE31" s="128">
        <v>30</v>
      </c>
      <c r="BF31" s="129" t="s">
        <v>655</v>
      </c>
      <c r="BG31" s="130">
        <v>48582334</v>
      </c>
      <c r="BH31" s="131">
        <v>2.8199999999999999E-2</v>
      </c>
      <c r="BI31" s="132">
        <v>1332749</v>
      </c>
      <c r="BJ31" s="133">
        <v>243</v>
      </c>
      <c r="BK31" s="132">
        <v>199810</v>
      </c>
      <c r="BL31" s="132">
        <v>-126181</v>
      </c>
      <c r="BM31" s="133">
        <v>4.4000000000000004</v>
      </c>
      <c r="BN31" s="133">
        <v>16</v>
      </c>
      <c r="BO31" s="134">
        <v>0.28999999999999998</v>
      </c>
      <c r="BP31" s="131">
        <v>6.0000000000000001E-3</v>
      </c>
    </row>
    <row r="32" spans="1:68" ht="17" thickBot="1" x14ac:dyDescent="0.25">
      <c r="N32" s="94"/>
      <c r="O32" s="94"/>
      <c r="BE32" s="143">
        <v>31</v>
      </c>
      <c r="BF32" s="144" t="s">
        <v>602</v>
      </c>
      <c r="BG32" s="105">
        <v>48109006</v>
      </c>
      <c r="BH32" s="106">
        <v>2.63E-2</v>
      </c>
      <c r="BI32" s="107">
        <v>1234802</v>
      </c>
      <c r="BJ32" s="108">
        <v>27</v>
      </c>
      <c r="BK32" s="107">
        <v>1765048</v>
      </c>
      <c r="BL32" s="107">
        <v>-9999</v>
      </c>
      <c r="BM32" s="108">
        <v>4.3</v>
      </c>
      <c r="BN32" s="108">
        <v>19</v>
      </c>
      <c r="BO32" s="109">
        <v>0.35</v>
      </c>
      <c r="BP32" s="106">
        <v>6.0000000000000001E-3</v>
      </c>
    </row>
    <row r="33" spans="14:68" ht="17" thickBot="1" x14ac:dyDescent="0.25">
      <c r="N33" s="94"/>
      <c r="O33" s="94"/>
      <c r="BE33" s="128">
        <v>32</v>
      </c>
      <c r="BF33" s="129" t="s">
        <v>797</v>
      </c>
      <c r="BG33" s="130">
        <v>47519628</v>
      </c>
      <c r="BH33" s="131">
        <v>-8.0000000000000004E-4</v>
      </c>
      <c r="BI33" s="132">
        <v>-39002</v>
      </c>
      <c r="BJ33" s="133">
        <v>95</v>
      </c>
      <c r="BK33" s="132">
        <v>498800</v>
      </c>
      <c r="BL33" s="132">
        <v>39998</v>
      </c>
      <c r="BM33" s="133">
        <v>1.3</v>
      </c>
      <c r="BN33" s="133">
        <v>45</v>
      </c>
      <c r="BO33" s="134">
        <v>0.8</v>
      </c>
      <c r="BP33" s="131">
        <v>5.8999999999999999E-3</v>
      </c>
    </row>
    <row r="34" spans="14:68" ht="17" thickBot="1" x14ac:dyDescent="0.25">
      <c r="N34" s="94"/>
      <c r="O34" s="94"/>
      <c r="BE34" s="143">
        <v>33</v>
      </c>
      <c r="BF34" s="144" t="s">
        <v>798</v>
      </c>
      <c r="BG34" s="105">
        <v>45773884</v>
      </c>
      <c r="BH34" s="106">
        <v>5.7999999999999996E-3</v>
      </c>
      <c r="BI34" s="107">
        <v>263566</v>
      </c>
      <c r="BJ34" s="108">
        <v>17</v>
      </c>
      <c r="BK34" s="107">
        <v>2736690</v>
      </c>
      <c r="BL34" s="107">
        <v>3718</v>
      </c>
      <c r="BM34" s="108">
        <v>1.9</v>
      </c>
      <c r="BN34" s="108">
        <v>32</v>
      </c>
      <c r="BO34" s="109">
        <v>0.94</v>
      </c>
      <c r="BP34" s="106">
        <v>5.7000000000000002E-3</v>
      </c>
    </row>
    <row r="35" spans="14:68" ht="17" thickBot="1" x14ac:dyDescent="0.25">
      <c r="N35" s="94"/>
      <c r="O35" s="94"/>
      <c r="BE35" s="128">
        <v>34</v>
      </c>
      <c r="BF35" s="129" t="s">
        <v>47</v>
      </c>
      <c r="BG35" s="130">
        <v>45606480</v>
      </c>
      <c r="BH35" s="131">
        <v>1.5699999999999999E-2</v>
      </c>
      <c r="BI35" s="132">
        <v>703255</v>
      </c>
      <c r="BJ35" s="133">
        <v>19</v>
      </c>
      <c r="BK35" s="132">
        <v>2381740</v>
      </c>
      <c r="BL35" s="132">
        <v>-9999</v>
      </c>
      <c r="BM35" s="133">
        <v>2.8</v>
      </c>
      <c r="BN35" s="133">
        <v>28</v>
      </c>
      <c r="BO35" s="134">
        <v>0.75</v>
      </c>
      <c r="BP35" s="131">
        <v>5.7000000000000002E-3</v>
      </c>
    </row>
    <row r="36" spans="14:68" ht="17" thickBot="1" x14ac:dyDescent="0.25">
      <c r="N36" s="94"/>
      <c r="O36" s="94"/>
      <c r="BE36" s="143">
        <v>35</v>
      </c>
      <c r="BF36" s="144" t="s">
        <v>378</v>
      </c>
      <c r="BG36" s="105">
        <v>45504560</v>
      </c>
      <c r="BH36" s="106">
        <v>2.2700000000000001E-2</v>
      </c>
      <c r="BI36" s="107">
        <v>1008438</v>
      </c>
      <c r="BJ36" s="108">
        <v>105</v>
      </c>
      <c r="BK36" s="107">
        <v>434320</v>
      </c>
      <c r="BL36" s="107">
        <v>-6000</v>
      </c>
      <c r="BM36" s="108">
        <v>3.4</v>
      </c>
      <c r="BN36" s="108">
        <v>20</v>
      </c>
      <c r="BO36" s="109">
        <v>0.71</v>
      </c>
      <c r="BP36" s="106">
        <v>5.7000000000000002E-3</v>
      </c>
    </row>
    <row r="37" spans="14:68" ht="33" thickBot="1" x14ac:dyDescent="0.25">
      <c r="N37" s="94"/>
      <c r="O37" s="94"/>
      <c r="BE37" s="128">
        <v>36</v>
      </c>
      <c r="BF37" s="129" t="s">
        <v>57</v>
      </c>
      <c r="BG37" s="130">
        <v>42239854</v>
      </c>
      <c r="BH37" s="131">
        <v>2.7E-2</v>
      </c>
      <c r="BI37" s="132">
        <v>1111083</v>
      </c>
      <c r="BJ37" s="133">
        <v>65</v>
      </c>
      <c r="BK37" s="132">
        <v>652860</v>
      </c>
      <c r="BL37" s="132">
        <v>-65846</v>
      </c>
      <c r="BM37" s="133">
        <v>4.4000000000000004</v>
      </c>
      <c r="BN37" s="133">
        <v>17</v>
      </c>
      <c r="BO37" s="134">
        <v>0.26</v>
      </c>
      <c r="BP37" s="131">
        <v>5.3E-3</v>
      </c>
    </row>
    <row r="38" spans="14:68" ht="17" thickBot="1" x14ac:dyDescent="0.25">
      <c r="N38" s="94"/>
      <c r="O38" s="94"/>
      <c r="BE38" s="143">
        <v>37</v>
      </c>
      <c r="BF38" s="144" t="s">
        <v>799</v>
      </c>
      <c r="BG38" s="105">
        <v>41026067</v>
      </c>
      <c r="BH38" s="106">
        <v>2.93E-2</v>
      </c>
      <c r="BI38" s="107">
        <v>1168922</v>
      </c>
      <c r="BJ38" s="108">
        <v>134</v>
      </c>
      <c r="BK38" s="107">
        <v>306230</v>
      </c>
      <c r="BL38" s="107">
        <v>-910475</v>
      </c>
      <c r="BM38" s="108">
        <v>1.5</v>
      </c>
      <c r="BN38" s="108">
        <v>40</v>
      </c>
      <c r="BO38" s="109">
        <v>0.55000000000000004</v>
      </c>
      <c r="BP38" s="106">
        <v>5.1000000000000004E-3</v>
      </c>
    </row>
    <row r="39" spans="14:68" ht="17" thickBot="1" x14ac:dyDescent="0.25">
      <c r="N39" s="94"/>
      <c r="O39" s="94"/>
      <c r="BE39" s="128">
        <v>38</v>
      </c>
      <c r="BF39" s="129" t="s">
        <v>800</v>
      </c>
      <c r="BG39" s="130">
        <v>38781291</v>
      </c>
      <c r="BH39" s="131">
        <v>8.5000000000000006E-3</v>
      </c>
      <c r="BI39" s="132">
        <v>326964</v>
      </c>
      <c r="BJ39" s="133">
        <v>4</v>
      </c>
      <c r="BK39" s="132">
        <v>9093510</v>
      </c>
      <c r="BL39" s="132">
        <v>249746</v>
      </c>
      <c r="BM39" s="133">
        <v>1.5</v>
      </c>
      <c r="BN39" s="133">
        <v>41</v>
      </c>
      <c r="BO39" s="134">
        <v>0.81</v>
      </c>
      <c r="BP39" s="131">
        <v>4.7999999999999996E-3</v>
      </c>
    </row>
    <row r="40" spans="14:68" ht="17" thickBot="1" x14ac:dyDescent="0.25">
      <c r="N40" s="94"/>
      <c r="O40" s="94"/>
      <c r="BE40" s="143">
        <v>39</v>
      </c>
      <c r="BF40" s="144" t="s">
        <v>479</v>
      </c>
      <c r="BG40" s="105">
        <v>37840044</v>
      </c>
      <c r="BH40" s="106">
        <v>1.0200000000000001E-2</v>
      </c>
      <c r="BI40" s="107">
        <v>382073</v>
      </c>
      <c r="BJ40" s="108">
        <v>85</v>
      </c>
      <c r="BK40" s="107">
        <v>446300</v>
      </c>
      <c r="BL40" s="107">
        <v>-39998</v>
      </c>
      <c r="BM40" s="108">
        <v>2.2999999999999998</v>
      </c>
      <c r="BN40" s="108">
        <v>29</v>
      </c>
      <c r="BO40" s="109">
        <v>0.66</v>
      </c>
      <c r="BP40" s="106">
        <v>4.7000000000000002E-3</v>
      </c>
    </row>
    <row r="41" spans="14:68" ht="33" thickBot="1" x14ac:dyDescent="0.25">
      <c r="N41" s="94"/>
      <c r="O41" s="94"/>
      <c r="BE41" s="128">
        <v>40</v>
      </c>
      <c r="BF41" s="129" t="s">
        <v>574</v>
      </c>
      <c r="BG41" s="130">
        <v>36947025</v>
      </c>
      <c r="BH41" s="131">
        <v>1.4800000000000001E-2</v>
      </c>
      <c r="BI41" s="132">
        <v>538205</v>
      </c>
      <c r="BJ41" s="133">
        <v>17</v>
      </c>
      <c r="BK41" s="132">
        <v>2149690</v>
      </c>
      <c r="BL41" s="132">
        <v>28998</v>
      </c>
      <c r="BM41" s="133">
        <v>2.4</v>
      </c>
      <c r="BN41" s="133">
        <v>31</v>
      </c>
      <c r="BO41" s="134">
        <v>0.83</v>
      </c>
      <c r="BP41" s="131">
        <v>4.5999999999999999E-3</v>
      </c>
    </row>
    <row r="42" spans="14:68" ht="17" thickBot="1" x14ac:dyDescent="0.25">
      <c r="N42" s="94"/>
      <c r="O42" s="94"/>
      <c r="BE42" s="143">
        <v>41</v>
      </c>
      <c r="BF42" s="144" t="s">
        <v>801</v>
      </c>
      <c r="BG42" s="105">
        <v>36744634</v>
      </c>
      <c r="BH42" s="106">
        <v>-7.4499999999999997E-2</v>
      </c>
      <c r="BI42" s="107">
        <v>-2957105</v>
      </c>
      <c r="BJ42" s="108">
        <v>63</v>
      </c>
      <c r="BK42" s="107">
        <v>579320</v>
      </c>
      <c r="BL42" s="107">
        <v>1784718</v>
      </c>
      <c r="BM42" s="108">
        <v>1.3</v>
      </c>
      <c r="BN42" s="108">
        <v>45</v>
      </c>
      <c r="BO42" s="109">
        <v>0.82</v>
      </c>
      <c r="BP42" s="106">
        <v>4.5999999999999999E-3</v>
      </c>
    </row>
    <row r="43" spans="14:68" ht="17" thickBot="1" x14ac:dyDescent="0.25">
      <c r="N43" s="94"/>
      <c r="O43" s="94"/>
      <c r="BE43" s="128">
        <v>42</v>
      </c>
      <c r="BF43" s="129" t="s">
        <v>67</v>
      </c>
      <c r="BG43" s="130">
        <v>36684202</v>
      </c>
      <c r="BH43" s="131">
        <v>3.0800000000000001E-2</v>
      </c>
      <c r="BI43" s="132">
        <v>1095215</v>
      </c>
      <c r="BJ43" s="133">
        <v>29</v>
      </c>
      <c r="BK43" s="132">
        <v>1246700</v>
      </c>
      <c r="BL43" s="132">
        <v>-1000</v>
      </c>
      <c r="BM43" s="133">
        <v>5.0999999999999996</v>
      </c>
      <c r="BN43" s="133">
        <v>16</v>
      </c>
      <c r="BO43" s="134">
        <v>0.68</v>
      </c>
      <c r="BP43" s="131">
        <v>4.5999999999999999E-3</v>
      </c>
    </row>
    <row r="44" spans="14:68" ht="33" thickBot="1" x14ac:dyDescent="0.25">
      <c r="N44" s="94"/>
      <c r="O44" s="94"/>
      <c r="BE44" s="143">
        <v>43</v>
      </c>
      <c r="BF44" s="144" t="s">
        <v>667</v>
      </c>
      <c r="BG44" s="105">
        <v>35163944</v>
      </c>
      <c r="BH44" s="106">
        <v>1.55E-2</v>
      </c>
      <c r="BI44" s="107">
        <v>536292</v>
      </c>
      <c r="BJ44" s="108">
        <v>83</v>
      </c>
      <c r="BK44" s="107">
        <v>425400</v>
      </c>
      <c r="BL44" s="107">
        <v>-19999</v>
      </c>
      <c r="BM44" s="108">
        <v>2.8</v>
      </c>
      <c r="BN44" s="108">
        <v>27</v>
      </c>
      <c r="BO44" s="109">
        <v>0.49</v>
      </c>
      <c r="BP44" s="106">
        <v>4.4000000000000003E-3</v>
      </c>
    </row>
    <row r="45" spans="14:68" ht="17" thickBot="1" x14ac:dyDescent="0.25">
      <c r="N45" s="94"/>
      <c r="O45" s="94"/>
      <c r="BE45" s="128">
        <v>44</v>
      </c>
      <c r="BF45" s="129" t="s">
        <v>691</v>
      </c>
      <c r="BG45" s="130">
        <v>34449825</v>
      </c>
      <c r="BH45" s="131">
        <v>2.24E-2</v>
      </c>
      <c r="BI45" s="132">
        <v>753211</v>
      </c>
      <c r="BJ45" s="133">
        <v>65</v>
      </c>
      <c r="BK45" s="132">
        <v>527970</v>
      </c>
      <c r="BL45" s="132">
        <v>-29914</v>
      </c>
      <c r="BM45" s="133">
        <v>3.6</v>
      </c>
      <c r="BN45" s="133">
        <v>19</v>
      </c>
      <c r="BO45" s="134">
        <v>0.37</v>
      </c>
      <c r="BP45" s="131">
        <v>4.3E-3</v>
      </c>
    </row>
    <row r="46" spans="14:68" ht="17" thickBot="1" x14ac:dyDescent="0.25">
      <c r="N46" s="94"/>
      <c r="O46" s="94"/>
      <c r="BE46" s="143">
        <v>45</v>
      </c>
      <c r="BF46" s="144" t="s">
        <v>548</v>
      </c>
      <c r="BG46" s="105">
        <v>34352719</v>
      </c>
      <c r="BH46" s="106">
        <v>8.8999999999999999E-3</v>
      </c>
      <c r="BI46" s="107">
        <v>303131</v>
      </c>
      <c r="BJ46" s="108">
        <v>27</v>
      </c>
      <c r="BK46" s="107">
        <v>1280000</v>
      </c>
      <c r="BL46" s="107">
        <v>-61442</v>
      </c>
      <c r="BM46" s="108">
        <v>2.1</v>
      </c>
      <c r="BN46" s="108">
        <v>29</v>
      </c>
      <c r="BO46" s="109">
        <v>0.79</v>
      </c>
      <c r="BP46" s="106">
        <v>4.3E-3</v>
      </c>
    </row>
    <row r="47" spans="14:68" ht="17" thickBot="1" x14ac:dyDescent="0.25">
      <c r="N47" s="94"/>
      <c r="O47" s="94"/>
      <c r="BE47" s="128">
        <v>46</v>
      </c>
      <c r="BF47" s="129" t="s">
        <v>458</v>
      </c>
      <c r="BG47" s="130">
        <v>34308525</v>
      </c>
      <c r="BH47" s="131">
        <v>1.09E-2</v>
      </c>
      <c r="BI47" s="132">
        <v>370304</v>
      </c>
      <c r="BJ47" s="133">
        <v>104</v>
      </c>
      <c r="BK47" s="132">
        <v>328550</v>
      </c>
      <c r="BL47" s="132">
        <v>48997</v>
      </c>
      <c r="BM47" s="133">
        <v>1.8</v>
      </c>
      <c r="BN47" s="133">
        <v>31</v>
      </c>
      <c r="BO47" s="134">
        <v>0.78</v>
      </c>
      <c r="BP47" s="131">
        <v>4.3E-3</v>
      </c>
    </row>
    <row r="48" spans="14:68" ht="17" thickBot="1" x14ac:dyDescent="0.25">
      <c r="N48" s="94"/>
      <c r="O48" s="94"/>
      <c r="BE48" s="143">
        <v>47</v>
      </c>
      <c r="BF48" s="144" t="s">
        <v>316</v>
      </c>
      <c r="BG48" s="105">
        <v>34121985</v>
      </c>
      <c r="BH48" s="106">
        <v>1.9300000000000001E-2</v>
      </c>
      <c r="BI48" s="107">
        <v>646115</v>
      </c>
      <c r="BJ48" s="108">
        <v>150</v>
      </c>
      <c r="BK48" s="107">
        <v>227540</v>
      </c>
      <c r="BL48" s="107">
        <v>-9999</v>
      </c>
      <c r="BM48" s="108">
        <v>3.5</v>
      </c>
      <c r="BN48" s="108">
        <v>21</v>
      </c>
      <c r="BO48" s="109">
        <v>0.56999999999999995</v>
      </c>
      <c r="BP48" s="106">
        <v>4.1999999999999997E-3</v>
      </c>
    </row>
    <row r="49" spans="14:68" ht="33" thickBot="1" x14ac:dyDescent="0.25">
      <c r="N49" s="94"/>
      <c r="O49" s="94"/>
      <c r="BE49" s="128">
        <v>48</v>
      </c>
      <c r="BF49" s="129" t="s">
        <v>488</v>
      </c>
      <c r="BG49" s="130">
        <v>33897354</v>
      </c>
      <c r="BH49" s="131">
        <v>2.81E-2</v>
      </c>
      <c r="BI49" s="132">
        <v>927836</v>
      </c>
      <c r="BJ49" s="133">
        <v>43</v>
      </c>
      <c r="BK49" s="132">
        <v>786380</v>
      </c>
      <c r="BL49" s="132">
        <v>-5000</v>
      </c>
      <c r="BM49" s="133">
        <v>4.5</v>
      </c>
      <c r="BN49" s="133">
        <v>17</v>
      </c>
      <c r="BO49" s="134">
        <v>0.4</v>
      </c>
      <c r="BP49" s="131">
        <v>4.1999999999999997E-3</v>
      </c>
    </row>
    <row r="50" spans="14:68" ht="17" thickBot="1" x14ac:dyDescent="0.25">
      <c r="N50" s="94"/>
      <c r="O50" s="94"/>
      <c r="BE50" s="143">
        <v>49</v>
      </c>
      <c r="BF50" s="144" t="s">
        <v>504</v>
      </c>
      <c r="BG50" s="105">
        <v>30896590</v>
      </c>
      <c r="BH50" s="106">
        <v>1.14E-2</v>
      </c>
      <c r="BI50" s="107">
        <v>349010</v>
      </c>
      <c r="BJ50" s="108">
        <v>216</v>
      </c>
      <c r="BK50" s="107">
        <v>143350</v>
      </c>
      <c r="BL50" s="107">
        <v>-62012</v>
      </c>
      <c r="BM50" s="108">
        <v>2</v>
      </c>
      <c r="BN50" s="108">
        <v>24</v>
      </c>
      <c r="BO50" s="109">
        <v>0.22</v>
      </c>
      <c r="BP50" s="106">
        <v>3.8E-3</v>
      </c>
    </row>
    <row r="51" spans="14:68" ht="33" thickBot="1" x14ac:dyDescent="0.25">
      <c r="N51" s="94"/>
      <c r="O51" s="94"/>
      <c r="BE51" s="128">
        <v>50</v>
      </c>
      <c r="BF51" s="129" t="s">
        <v>448</v>
      </c>
      <c r="BG51" s="130">
        <v>30325732</v>
      </c>
      <c r="BH51" s="131">
        <v>2.41E-2</v>
      </c>
      <c r="BI51" s="132">
        <v>714018</v>
      </c>
      <c r="BJ51" s="133">
        <v>52</v>
      </c>
      <c r="BK51" s="132">
        <v>581795</v>
      </c>
      <c r="BL51" s="132">
        <v>-1500</v>
      </c>
      <c r="BM51" s="133">
        <v>3.7</v>
      </c>
      <c r="BN51" s="133">
        <v>19</v>
      </c>
      <c r="BO51" s="134">
        <v>0.4</v>
      </c>
      <c r="BP51" s="131">
        <v>3.8E-3</v>
      </c>
    </row>
    <row r="52" spans="14:68" ht="33" thickBot="1" x14ac:dyDescent="0.25">
      <c r="N52" s="94"/>
      <c r="O52" s="94"/>
      <c r="BE52" s="143">
        <v>51</v>
      </c>
      <c r="BF52" s="144" t="s">
        <v>392</v>
      </c>
      <c r="BG52" s="105">
        <v>28873034</v>
      </c>
      <c r="BH52" s="106">
        <v>2.53E-2</v>
      </c>
      <c r="BI52" s="107">
        <v>712492</v>
      </c>
      <c r="BJ52" s="108">
        <v>91</v>
      </c>
      <c r="BK52" s="107">
        <v>318000</v>
      </c>
      <c r="BL52" s="107">
        <v>6000</v>
      </c>
      <c r="BM52" s="108">
        <v>4.3</v>
      </c>
      <c r="BN52" s="108">
        <v>18</v>
      </c>
      <c r="BO52" s="109">
        <v>0.52</v>
      </c>
      <c r="BP52" s="106">
        <v>3.5999999999999999E-3</v>
      </c>
    </row>
    <row r="53" spans="14:68" ht="17" thickBot="1" x14ac:dyDescent="0.25">
      <c r="N53" s="94"/>
      <c r="O53" s="94"/>
      <c r="BE53" s="128">
        <v>52</v>
      </c>
      <c r="BF53" s="129" t="s">
        <v>675</v>
      </c>
      <c r="BG53" s="130">
        <v>28838499</v>
      </c>
      <c r="BH53" s="131">
        <v>1.9E-2</v>
      </c>
      <c r="BI53" s="132">
        <v>536803</v>
      </c>
      <c r="BJ53" s="133">
        <v>33</v>
      </c>
      <c r="BK53" s="132">
        <v>882050</v>
      </c>
      <c r="BL53" s="132">
        <v>321106</v>
      </c>
      <c r="BM53" s="133">
        <v>2.2000000000000002</v>
      </c>
      <c r="BN53" s="133">
        <v>28</v>
      </c>
      <c r="BO53" s="133" t="s">
        <v>802</v>
      </c>
      <c r="BP53" s="131">
        <v>3.5999999999999999E-3</v>
      </c>
    </row>
    <row r="54" spans="14:68" ht="33" thickBot="1" x14ac:dyDescent="0.25">
      <c r="N54" s="94"/>
      <c r="O54" s="94"/>
      <c r="BE54" s="143">
        <v>53</v>
      </c>
      <c r="BF54" s="144" t="s">
        <v>190</v>
      </c>
      <c r="BG54" s="105">
        <v>28647293</v>
      </c>
      <c r="BH54" s="106">
        <v>2.63E-2</v>
      </c>
      <c r="BI54" s="107">
        <v>732757</v>
      </c>
      <c r="BJ54" s="108">
        <v>61</v>
      </c>
      <c r="BK54" s="107">
        <v>472710</v>
      </c>
      <c r="BL54" s="107">
        <v>-4800</v>
      </c>
      <c r="BM54" s="108">
        <v>4.3</v>
      </c>
      <c r="BN54" s="108">
        <v>18</v>
      </c>
      <c r="BO54" s="109">
        <v>0.57999999999999996</v>
      </c>
      <c r="BP54" s="106">
        <v>3.5999999999999999E-3</v>
      </c>
    </row>
    <row r="55" spans="14:68" ht="17" thickBot="1" x14ac:dyDescent="0.25">
      <c r="N55" s="94"/>
      <c r="O55" s="94"/>
      <c r="BE55" s="128">
        <v>54</v>
      </c>
      <c r="BF55" s="129" t="s">
        <v>518</v>
      </c>
      <c r="BG55" s="130">
        <v>27202843</v>
      </c>
      <c r="BH55" s="131">
        <v>3.7999999999999999E-2</v>
      </c>
      <c r="BI55" s="132">
        <v>994866</v>
      </c>
      <c r="BJ55" s="133">
        <v>21</v>
      </c>
      <c r="BK55" s="132">
        <v>1266700</v>
      </c>
      <c r="BL55" s="132">
        <v>1000</v>
      </c>
      <c r="BM55" s="133">
        <v>6.7</v>
      </c>
      <c r="BN55" s="133">
        <v>15</v>
      </c>
      <c r="BO55" s="134">
        <v>0.17</v>
      </c>
      <c r="BP55" s="131">
        <v>3.3999999999999998E-3</v>
      </c>
    </row>
    <row r="56" spans="14:68" ht="17" thickBot="1" x14ac:dyDescent="0.25">
      <c r="N56" s="94"/>
      <c r="O56" s="94"/>
      <c r="BE56" s="143">
        <v>55</v>
      </c>
      <c r="BF56" s="144" t="s">
        <v>803</v>
      </c>
      <c r="BG56" s="105">
        <v>26439111</v>
      </c>
      <c r="BH56" s="106">
        <v>0.01</v>
      </c>
      <c r="BI56" s="107">
        <v>261698</v>
      </c>
      <c r="BJ56" s="108">
        <v>3</v>
      </c>
      <c r="BK56" s="107">
        <v>7682300</v>
      </c>
      <c r="BL56" s="107">
        <v>139991</v>
      </c>
      <c r="BM56" s="108">
        <v>1.6</v>
      </c>
      <c r="BN56" s="108">
        <v>38</v>
      </c>
      <c r="BO56" s="109">
        <v>0.86</v>
      </c>
      <c r="BP56" s="106">
        <v>3.3E-3</v>
      </c>
    </row>
    <row r="57" spans="14:68" ht="33" thickBot="1" x14ac:dyDescent="0.25">
      <c r="N57" s="94"/>
      <c r="O57" s="94"/>
      <c r="BE57" s="128">
        <v>56</v>
      </c>
      <c r="BF57" s="129" t="s">
        <v>531</v>
      </c>
      <c r="BG57" s="130">
        <v>26160821</v>
      </c>
      <c r="BH57" s="131">
        <v>3.5000000000000001E-3</v>
      </c>
      <c r="BI57" s="132">
        <v>91405</v>
      </c>
      <c r="BJ57" s="133">
        <v>217</v>
      </c>
      <c r="BK57" s="132">
        <v>120410</v>
      </c>
      <c r="BL57" s="132">
        <v>-2000</v>
      </c>
      <c r="BM57" s="133">
        <v>1.8</v>
      </c>
      <c r="BN57" s="133">
        <v>36</v>
      </c>
      <c r="BO57" s="134">
        <v>0.63</v>
      </c>
      <c r="BP57" s="131">
        <v>3.3E-3</v>
      </c>
    </row>
    <row r="58" spans="14:68" ht="17" thickBot="1" x14ac:dyDescent="0.25">
      <c r="N58" s="94"/>
      <c r="O58" s="94"/>
      <c r="BE58" s="143">
        <v>57</v>
      </c>
      <c r="BF58" s="144" t="s">
        <v>804</v>
      </c>
      <c r="BG58" s="105">
        <v>23923276</v>
      </c>
      <c r="BH58" s="106">
        <v>1.2999999999999999E-3</v>
      </c>
      <c r="BI58" s="107">
        <v>29882</v>
      </c>
      <c r="BJ58" s="108">
        <v>676</v>
      </c>
      <c r="BK58" s="107">
        <v>35410</v>
      </c>
      <c r="BL58" s="107">
        <v>23999</v>
      </c>
      <c r="BM58" s="108">
        <v>1.2</v>
      </c>
      <c r="BN58" s="108">
        <v>42</v>
      </c>
      <c r="BO58" s="109">
        <v>0.8</v>
      </c>
      <c r="BP58" s="106">
        <v>3.0000000000000001E-3</v>
      </c>
    </row>
    <row r="59" spans="14:68" ht="17" thickBot="1" x14ac:dyDescent="0.25">
      <c r="N59" s="94"/>
      <c r="O59" s="94"/>
      <c r="BE59" s="128">
        <v>58</v>
      </c>
      <c r="BF59" s="129" t="s">
        <v>468</v>
      </c>
      <c r="BG59" s="130">
        <v>23293698</v>
      </c>
      <c r="BH59" s="131">
        <v>3.1E-2</v>
      </c>
      <c r="BI59" s="132">
        <v>700108</v>
      </c>
      <c r="BJ59" s="133">
        <v>19</v>
      </c>
      <c r="BK59" s="132">
        <v>1220190</v>
      </c>
      <c r="BL59" s="132">
        <v>-39998</v>
      </c>
      <c r="BM59" s="133">
        <v>5.8</v>
      </c>
      <c r="BN59" s="133">
        <v>15</v>
      </c>
      <c r="BO59" s="134">
        <v>0.44</v>
      </c>
      <c r="BP59" s="131">
        <v>2.8999999999999998E-3</v>
      </c>
    </row>
    <row r="60" spans="14:68" ht="33" thickBot="1" x14ac:dyDescent="0.25">
      <c r="N60" s="94"/>
      <c r="O60" s="94"/>
      <c r="BE60" s="143">
        <v>59</v>
      </c>
      <c r="BF60" s="144" t="s">
        <v>169</v>
      </c>
      <c r="BG60" s="105">
        <v>23251485</v>
      </c>
      <c r="BH60" s="106">
        <v>2.5499999999999998E-2</v>
      </c>
      <c r="BI60" s="107">
        <v>577723</v>
      </c>
      <c r="BJ60" s="108">
        <v>85</v>
      </c>
      <c r="BK60" s="107">
        <v>273600</v>
      </c>
      <c r="BL60" s="107">
        <v>-24998</v>
      </c>
      <c r="BM60" s="108">
        <v>4.5999999999999996</v>
      </c>
      <c r="BN60" s="108">
        <v>17</v>
      </c>
      <c r="BO60" s="109">
        <v>0.32</v>
      </c>
      <c r="BP60" s="106">
        <v>2.8999999999999998E-3</v>
      </c>
    </row>
    <row r="61" spans="14:68" ht="17" thickBot="1" x14ac:dyDescent="0.25">
      <c r="N61" s="94"/>
      <c r="O61" s="94"/>
      <c r="BE61" s="128">
        <v>60</v>
      </c>
      <c r="BF61" s="129" t="s">
        <v>606</v>
      </c>
      <c r="BG61" s="130">
        <v>23227014</v>
      </c>
      <c r="BH61" s="131">
        <v>4.9799999999999997E-2</v>
      </c>
      <c r="BI61" s="132">
        <v>1101765</v>
      </c>
      <c r="BJ61" s="133">
        <v>126</v>
      </c>
      <c r="BK61" s="132">
        <v>183630</v>
      </c>
      <c r="BL61" s="132">
        <v>757103</v>
      </c>
      <c r="BM61" s="133">
        <v>2.7</v>
      </c>
      <c r="BN61" s="133">
        <v>22</v>
      </c>
      <c r="BO61" s="134">
        <v>0.53</v>
      </c>
      <c r="BP61" s="131">
        <v>2.8999999999999998E-3</v>
      </c>
    </row>
    <row r="62" spans="14:68" ht="17" thickBot="1" x14ac:dyDescent="0.25">
      <c r="N62" s="94"/>
      <c r="O62" s="94"/>
      <c r="BE62" s="143">
        <v>61</v>
      </c>
      <c r="BF62" s="144" t="s">
        <v>594</v>
      </c>
      <c r="BG62" s="105">
        <v>21893579</v>
      </c>
      <c r="BH62" s="106">
        <v>2.8E-3</v>
      </c>
      <c r="BI62" s="107">
        <v>61436</v>
      </c>
      <c r="BJ62" s="108">
        <v>349</v>
      </c>
      <c r="BK62" s="107">
        <v>62710</v>
      </c>
      <c r="BL62" s="107">
        <v>-77495</v>
      </c>
      <c r="BM62" s="108">
        <v>2</v>
      </c>
      <c r="BN62" s="108">
        <v>33</v>
      </c>
      <c r="BO62" s="109">
        <v>0.19</v>
      </c>
      <c r="BP62" s="106">
        <v>2.7000000000000001E-3</v>
      </c>
    </row>
    <row r="63" spans="14:68" ht="17" thickBot="1" x14ac:dyDescent="0.25">
      <c r="N63" s="94"/>
      <c r="O63" s="94"/>
      <c r="BE63" s="128">
        <v>62</v>
      </c>
      <c r="BF63" s="129" t="s">
        <v>453</v>
      </c>
      <c r="BG63" s="130">
        <v>20931751</v>
      </c>
      <c r="BH63" s="131">
        <v>2.58E-2</v>
      </c>
      <c r="BI63" s="132">
        <v>526434</v>
      </c>
      <c r="BJ63" s="133">
        <v>222</v>
      </c>
      <c r="BK63" s="132">
        <v>94280</v>
      </c>
      <c r="BL63" s="132">
        <v>-6000</v>
      </c>
      <c r="BM63" s="133">
        <v>3.8</v>
      </c>
      <c r="BN63" s="133">
        <v>17</v>
      </c>
      <c r="BO63" s="134">
        <v>0.19</v>
      </c>
      <c r="BP63" s="131">
        <v>2.5999999999999999E-3</v>
      </c>
    </row>
    <row r="64" spans="14:68" ht="17" thickBot="1" x14ac:dyDescent="0.25">
      <c r="N64" s="94"/>
      <c r="O64" s="94"/>
      <c r="BE64" s="143">
        <v>63</v>
      </c>
      <c r="BF64" s="144" t="s">
        <v>694</v>
      </c>
      <c r="BG64" s="105">
        <v>20569737</v>
      </c>
      <c r="BH64" s="106">
        <v>2.76E-2</v>
      </c>
      <c r="BI64" s="107">
        <v>552062</v>
      </c>
      <c r="BJ64" s="108">
        <v>28</v>
      </c>
      <c r="BK64" s="107">
        <v>743390</v>
      </c>
      <c r="BL64" s="107">
        <v>-5000</v>
      </c>
      <c r="BM64" s="108">
        <v>4.2</v>
      </c>
      <c r="BN64" s="108">
        <v>17</v>
      </c>
      <c r="BO64" s="109">
        <v>0.46</v>
      </c>
      <c r="BP64" s="106">
        <v>2.5999999999999999E-3</v>
      </c>
    </row>
    <row r="65" spans="14:68" ht="17" thickBot="1" x14ac:dyDescent="0.25">
      <c r="N65" s="94"/>
      <c r="O65" s="94"/>
      <c r="BE65" s="128">
        <v>64</v>
      </c>
      <c r="BF65" s="129" t="s">
        <v>805</v>
      </c>
      <c r="BG65" s="130">
        <v>19892812</v>
      </c>
      <c r="BH65" s="131">
        <v>1.1900000000000001E-2</v>
      </c>
      <c r="BI65" s="132">
        <v>233545</v>
      </c>
      <c r="BJ65" s="133">
        <v>86</v>
      </c>
      <c r="BK65" s="132">
        <v>230170</v>
      </c>
      <c r="BL65" s="132">
        <v>-254616</v>
      </c>
      <c r="BM65" s="133">
        <v>1.7</v>
      </c>
      <c r="BN65" s="133">
        <v>41</v>
      </c>
      <c r="BO65" s="134">
        <v>0.53</v>
      </c>
      <c r="BP65" s="131">
        <v>2.5000000000000001E-3</v>
      </c>
    </row>
    <row r="66" spans="14:68" ht="17" thickBot="1" x14ac:dyDescent="0.25">
      <c r="N66" s="94"/>
      <c r="O66" s="94"/>
      <c r="BE66" s="143">
        <v>65</v>
      </c>
      <c r="BF66" s="144" t="s">
        <v>806</v>
      </c>
      <c r="BG66" s="105">
        <v>19629590</v>
      </c>
      <c r="BH66" s="106">
        <v>1.2999999999999999E-3</v>
      </c>
      <c r="BI66" s="107">
        <v>25857</v>
      </c>
      <c r="BJ66" s="108">
        <v>26</v>
      </c>
      <c r="BK66" s="107">
        <v>743532</v>
      </c>
      <c r="BL66" s="107">
        <v>-71205</v>
      </c>
      <c r="BM66" s="108">
        <v>1.5</v>
      </c>
      <c r="BN66" s="108">
        <v>36</v>
      </c>
      <c r="BO66" s="109">
        <v>0.85</v>
      </c>
      <c r="BP66" s="106">
        <v>2.3999999999999998E-3</v>
      </c>
    </row>
    <row r="67" spans="14:68" ht="33" thickBot="1" x14ac:dyDescent="0.25">
      <c r="N67" s="94"/>
      <c r="O67" s="94"/>
      <c r="BE67" s="128">
        <v>66</v>
      </c>
      <c r="BF67" s="129" t="s">
        <v>402</v>
      </c>
      <c r="BG67" s="130">
        <v>19606633</v>
      </c>
      <c r="BH67" s="131">
        <v>1.0800000000000001E-2</v>
      </c>
      <c r="BI67" s="132">
        <v>208635</v>
      </c>
      <c r="BJ67" s="133">
        <v>7</v>
      </c>
      <c r="BK67" s="132">
        <v>2699700</v>
      </c>
      <c r="BL67" s="133">
        <v>0</v>
      </c>
      <c r="BM67" s="133">
        <v>3</v>
      </c>
      <c r="BN67" s="133">
        <v>30</v>
      </c>
      <c r="BO67" s="134">
        <v>0.56999999999999995</v>
      </c>
      <c r="BP67" s="131">
        <v>2.3999999999999998E-3</v>
      </c>
    </row>
    <row r="68" spans="14:68" ht="17" thickBot="1" x14ac:dyDescent="0.25">
      <c r="N68" s="94"/>
      <c r="O68" s="94"/>
      <c r="BE68" s="143">
        <v>67</v>
      </c>
      <c r="BF68" s="144" t="s">
        <v>201</v>
      </c>
      <c r="BG68" s="105">
        <v>18278568</v>
      </c>
      <c r="BH68" s="106">
        <v>3.1300000000000001E-2</v>
      </c>
      <c r="BI68" s="107">
        <v>555253</v>
      </c>
      <c r="BJ68" s="108">
        <v>15</v>
      </c>
      <c r="BK68" s="107">
        <v>1259200</v>
      </c>
      <c r="BL68" s="107">
        <v>-2000</v>
      </c>
      <c r="BM68" s="108">
        <v>6.1</v>
      </c>
      <c r="BN68" s="108">
        <v>15</v>
      </c>
      <c r="BO68" s="109">
        <v>0.24</v>
      </c>
      <c r="BP68" s="106">
        <v>2.3E-3</v>
      </c>
    </row>
    <row r="69" spans="14:68" ht="17" thickBot="1" x14ac:dyDescent="0.25">
      <c r="N69" s="94"/>
      <c r="O69" s="94"/>
      <c r="BE69" s="128">
        <v>68</v>
      </c>
      <c r="BF69" s="129" t="s">
        <v>254</v>
      </c>
      <c r="BG69" s="130">
        <v>18190484</v>
      </c>
      <c r="BH69" s="131">
        <v>1.0500000000000001E-2</v>
      </c>
      <c r="BI69" s="132">
        <v>189484</v>
      </c>
      <c r="BJ69" s="133">
        <v>73</v>
      </c>
      <c r="BK69" s="132">
        <v>248360</v>
      </c>
      <c r="BL69" s="132">
        <v>-21525</v>
      </c>
      <c r="BM69" s="133">
        <v>2</v>
      </c>
      <c r="BN69" s="133">
        <v>28</v>
      </c>
      <c r="BO69" s="134">
        <v>0.64</v>
      </c>
      <c r="BP69" s="131">
        <v>2.3E-3</v>
      </c>
    </row>
    <row r="70" spans="14:68" ht="17" thickBot="1" x14ac:dyDescent="0.25">
      <c r="N70" s="94"/>
      <c r="O70" s="94"/>
      <c r="BE70" s="143">
        <v>69</v>
      </c>
      <c r="BF70" s="144" t="s">
        <v>585</v>
      </c>
      <c r="BG70" s="105">
        <v>18143378</v>
      </c>
      <c r="BH70" s="106">
        <v>3.1E-2</v>
      </c>
      <c r="BI70" s="107">
        <v>545867</v>
      </c>
      <c r="BJ70" s="108">
        <v>29</v>
      </c>
      <c r="BK70" s="107">
        <v>627340</v>
      </c>
      <c r="BL70" s="107">
        <v>-30000</v>
      </c>
      <c r="BM70" s="108">
        <v>6.1</v>
      </c>
      <c r="BN70" s="108">
        <v>15</v>
      </c>
      <c r="BO70" s="109">
        <v>0.46</v>
      </c>
      <c r="BP70" s="106">
        <v>2.3E-3</v>
      </c>
    </row>
    <row r="71" spans="14:68" ht="33" thickBot="1" x14ac:dyDescent="0.25">
      <c r="N71" s="94"/>
      <c r="O71" s="94"/>
      <c r="BE71" s="128">
        <v>70</v>
      </c>
      <c r="BF71" s="129" t="s">
        <v>320</v>
      </c>
      <c r="BG71" s="130">
        <v>18092026</v>
      </c>
      <c r="BH71" s="131">
        <v>1.3899999999999999E-2</v>
      </c>
      <c r="BI71" s="132">
        <v>248118</v>
      </c>
      <c r="BJ71" s="133">
        <v>169</v>
      </c>
      <c r="BK71" s="132">
        <v>107160</v>
      </c>
      <c r="BL71" s="132">
        <v>-9110</v>
      </c>
      <c r="BM71" s="133">
        <v>2.2999999999999998</v>
      </c>
      <c r="BN71" s="133">
        <v>23</v>
      </c>
      <c r="BO71" s="134">
        <v>0.55000000000000004</v>
      </c>
      <c r="BP71" s="131">
        <v>2.2000000000000001E-3</v>
      </c>
    </row>
    <row r="72" spans="14:68" ht="17" thickBot="1" x14ac:dyDescent="0.25">
      <c r="N72" s="94"/>
      <c r="O72" s="94"/>
      <c r="BE72" s="143">
        <v>71</v>
      </c>
      <c r="BF72" s="144" t="s">
        <v>578</v>
      </c>
      <c r="BG72" s="105">
        <v>17763163</v>
      </c>
      <c r="BH72" s="106">
        <v>2.58E-2</v>
      </c>
      <c r="BI72" s="107">
        <v>446714</v>
      </c>
      <c r="BJ72" s="108">
        <v>92</v>
      </c>
      <c r="BK72" s="107">
        <v>192530</v>
      </c>
      <c r="BL72" s="107">
        <v>-19999</v>
      </c>
      <c r="BM72" s="108">
        <v>4.3</v>
      </c>
      <c r="BN72" s="108">
        <v>18</v>
      </c>
      <c r="BO72" s="109">
        <v>0.52</v>
      </c>
      <c r="BP72" s="106">
        <v>2.2000000000000001E-3</v>
      </c>
    </row>
    <row r="73" spans="14:68" ht="33" thickBot="1" x14ac:dyDescent="0.25">
      <c r="N73" s="94"/>
      <c r="O73" s="94"/>
      <c r="BE73" s="128">
        <v>72</v>
      </c>
      <c r="BF73" s="129" t="s">
        <v>807</v>
      </c>
      <c r="BG73" s="130">
        <v>17618299</v>
      </c>
      <c r="BH73" s="131">
        <v>3.0999999999999999E-3</v>
      </c>
      <c r="BI73" s="132">
        <v>54285</v>
      </c>
      <c r="BJ73" s="133">
        <v>522</v>
      </c>
      <c r="BK73" s="132">
        <v>33720</v>
      </c>
      <c r="BL73" s="132">
        <v>29998</v>
      </c>
      <c r="BM73" s="133">
        <v>1.6</v>
      </c>
      <c r="BN73" s="133">
        <v>42</v>
      </c>
      <c r="BO73" s="134">
        <v>0.92</v>
      </c>
      <c r="BP73" s="131">
        <v>2.2000000000000001E-3</v>
      </c>
    </row>
    <row r="74" spans="14:68" ht="17" thickBot="1" x14ac:dyDescent="0.25">
      <c r="N74" s="94"/>
      <c r="O74" s="94"/>
      <c r="BE74" s="143">
        <v>73</v>
      </c>
      <c r="BF74" s="144" t="s">
        <v>181</v>
      </c>
      <c r="BG74" s="105">
        <v>16944826</v>
      </c>
      <c r="BH74" s="106">
        <v>1.06E-2</v>
      </c>
      <c r="BI74" s="107">
        <v>176984</v>
      </c>
      <c r="BJ74" s="108">
        <v>96</v>
      </c>
      <c r="BK74" s="107">
        <v>176520</v>
      </c>
      <c r="BL74" s="107">
        <v>-29998</v>
      </c>
      <c r="BM74" s="108">
        <v>2.2999999999999998</v>
      </c>
      <c r="BN74" s="108">
        <v>27</v>
      </c>
      <c r="BO74" s="109">
        <v>0.26</v>
      </c>
      <c r="BP74" s="106">
        <v>2.0999999999999999E-3</v>
      </c>
    </row>
    <row r="75" spans="14:68" ht="33" thickBot="1" x14ac:dyDescent="0.25">
      <c r="N75" s="94"/>
      <c r="O75" s="94"/>
      <c r="BE75" s="128">
        <v>74</v>
      </c>
      <c r="BF75" s="129" t="s">
        <v>702</v>
      </c>
      <c r="BG75" s="130">
        <v>16665409</v>
      </c>
      <c r="BH75" s="131">
        <v>2.1100000000000001E-2</v>
      </c>
      <c r="BI75" s="132">
        <v>344872</v>
      </c>
      <c r="BJ75" s="133">
        <v>43</v>
      </c>
      <c r="BK75" s="132">
        <v>386850</v>
      </c>
      <c r="BL75" s="132">
        <v>-9999</v>
      </c>
      <c r="BM75" s="133">
        <v>3.4</v>
      </c>
      <c r="BN75" s="133">
        <v>18</v>
      </c>
      <c r="BO75" s="134">
        <v>0.37</v>
      </c>
      <c r="BP75" s="131">
        <v>2.0999999999999999E-3</v>
      </c>
    </row>
    <row r="76" spans="14:68" ht="17" thickBot="1" x14ac:dyDescent="0.25">
      <c r="N76" s="94"/>
      <c r="O76" s="94"/>
      <c r="BE76" s="143">
        <v>75</v>
      </c>
      <c r="BF76" s="144" t="s">
        <v>329</v>
      </c>
      <c r="BG76" s="105">
        <v>14190612</v>
      </c>
      <c r="BH76" s="106">
        <v>2.3900000000000001E-2</v>
      </c>
      <c r="BI76" s="107">
        <v>331271</v>
      </c>
      <c r="BJ76" s="108">
        <v>58</v>
      </c>
      <c r="BK76" s="107">
        <v>245720</v>
      </c>
      <c r="BL76" s="107">
        <v>-4000</v>
      </c>
      <c r="BM76" s="108">
        <v>4.2</v>
      </c>
      <c r="BN76" s="108">
        <v>18</v>
      </c>
      <c r="BO76" s="109">
        <v>0.4</v>
      </c>
      <c r="BP76" s="106">
        <v>1.8E-3</v>
      </c>
    </row>
    <row r="77" spans="14:68" ht="17" thickBot="1" x14ac:dyDescent="0.25">
      <c r="N77" s="94"/>
      <c r="O77" s="94"/>
      <c r="BE77" s="128">
        <v>76</v>
      </c>
      <c r="BF77" s="129" t="s">
        <v>566</v>
      </c>
      <c r="BG77" s="130">
        <v>14094683</v>
      </c>
      <c r="BH77" s="131">
        <v>2.3099999999999999E-2</v>
      </c>
      <c r="BI77" s="132">
        <v>317985</v>
      </c>
      <c r="BJ77" s="133">
        <v>571</v>
      </c>
      <c r="BK77" s="132">
        <v>24670</v>
      </c>
      <c r="BL77" s="132">
        <v>-8999</v>
      </c>
      <c r="BM77" s="133">
        <v>3.7</v>
      </c>
      <c r="BN77" s="133">
        <v>19</v>
      </c>
      <c r="BO77" s="134">
        <v>0.18</v>
      </c>
      <c r="BP77" s="131">
        <v>1.8E-3</v>
      </c>
    </row>
    <row r="78" spans="14:68" ht="17" thickBot="1" x14ac:dyDescent="0.25">
      <c r="N78" s="94"/>
      <c r="O78" s="94"/>
      <c r="BE78" s="143">
        <v>77</v>
      </c>
      <c r="BF78" s="144" t="s">
        <v>123</v>
      </c>
      <c r="BG78" s="105">
        <v>13712828</v>
      </c>
      <c r="BH78" s="106">
        <v>2.7E-2</v>
      </c>
      <c r="BI78" s="107">
        <v>359964</v>
      </c>
      <c r="BJ78" s="108">
        <v>122</v>
      </c>
      <c r="BK78" s="107">
        <v>112760</v>
      </c>
      <c r="BL78" s="108">
        <v>-200</v>
      </c>
      <c r="BM78" s="108">
        <v>4.8</v>
      </c>
      <c r="BN78" s="108">
        <v>18</v>
      </c>
      <c r="BO78" s="109">
        <v>0.48</v>
      </c>
      <c r="BP78" s="106">
        <v>1.6999999999999999E-3</v>
      </c>
    </row>
    <row r="79" spans="14:68" ht="17" thickBot="1" x14ac:dyDescent="0.25">
      <c r="N79" s="94"/>
      <c r="O79" s="94"/>
      <c r="BE79" s="128">
        <v>78</v>
      </c>
      <c r="BF79" s="129" t="s">
        <v>175</v>
      </c>
      <c r="BG79" s="130">
        <v>13238559</v>
      </c>
      <c r="BH79" s="131">
        <v>2.7099999999999999E-2</v>
      </c>
      <c r="BI79" s="132">
        <v>348983</v>
      </c>
      <c r="BJ79" s="133">
        <v>516</v>
      </c>
      <c r="BK79" s="132">
        <v>25680</v>
      </c>
      <c r="BL79" s="132">
        <v>2000</v>
      </c>
      <c r="BM79" s="133">
        <v>4.9000000000000004</v>
      </c>
      <c r="BN79" s="133">
        <v>16</v>
      </c>
      <c r="BO79" s="134">
        <v>0.15</v>
      </c>
      <c r="BP79" s="131">
        <v>1.6000000000000001E-3</v>
      </c>
    </row>
    <row r="80" spans="14:68" ht="17" thickBot="1" x14ac:dyDescent="0.25">
      <c r="N80" s="94"/>
      <c r="O80" s="94"/>
      <c r="BE80" s="143">
        <v>79</v>
      </c>
      <c r="BF80" s="144" t="s">
        <v>637</v>
      </c>
      <c r="BG80" s="105">
        <v>12458223</v>
      </c>
      <c r="BH80" s="106">
        <v>8.3000000000000001E-3</v>
      </c>
      <c r="BI80" s="107">
        <v>102106</v>
      </c>
      <c r="BJ80" s="108">
        <v>80</v>
      </c>
      <c r="BK80" s="107">
        <v>155360</v>
      </c>
      <c r="BL80" s="107">
        <v>-4000</v>
      </c>
      <c r="BM80" s="108">
        <v>2</v>
      </c>
      <c r="BN80" s="108">
        <v>32</v>
      </c>
      <c r="BO80" s="109">
        <v>0.69</v>
      </c>
      <c r="BP80" s="106">
        <v>1.5E-3</v>
      </c>
    </row>
    <row r="81" spans="14:68" ht="17" thickBot="1" x14ac:dyDescent="0.25">
      <c r="N81" s="94"/>
      <c r="O81" s="94"/>
      <c r="BE81" s="128">
        <v>80</v>
      </c>
      <c r="BF81" s="129" t="s">
        <v>142</v>
      </c>
      <c r="BG81" s="130">
        <v>12388571</v>
      </c>
      <c r="BH81" s="131">
        <v>1.35E-2</v>
      </c>
      <c r="BI81" s="132">
        <v>164461</v>
      </c>
      <c r="BJ81" s="133">
        <v>11</v>
      </c>
      <c r="BK81" s="132">
        <v>1083300</v>
      </c>
      <c r="BL81" s="132">
        <v>-3000</v>
      </c>
      <c r="BM81" s="133">
        <v>2.5</v>
      </c>
      <c r="BN81" s="133">
        <v>24</v>
      </c>
      <c r="BO81" s="134">
        <v>0.69</v>
      </c>
      <c r="BP81" s="131">
        <v>1.5E-3</v>
      </c>
    </row>
    <row r="82" spans="14:68" ht="17" thickBot="1" x14ac:dyDescent="0.25">
      <c r="N82" s="94"/>
      <c r="O82" s="94"/>
      <c r="BE82" s="143">
        <v>81</v>
      </c>
      <c r="BF82" s="144" t="s">
        <v>339</v>
      </c>
      <c r="BG82" s="105">
        <v>11724763</v>
      </c>
      <c r="BH82" s="106">
        <v>1.21E-2</v>
      </c>
      <c r="BI82" s="107">
        <v>139767</v>
      </c>
      <c r="BJ82" s="108">
        <v>425</v>
      </c>
      <c r="BK82" s="107">
        <v>27560</v>
      </c>
      <c r="BL82" s="107">
        <v>-31811</v>
      </c>
      <c r="BM82" s="108">
        <v>2.7</v>
      </c>
      <c r="BN82" s="108">
        <v>23</v>
      </c>
      <c r="BO82" s="109">
        <v>0.6</v>
      </c>
      <c r="BP82" s="106">
        <v>1.5E-3</v>
      </c>
    </row>
    <row r="83" spans="14:68" ht="17" thickBot="1" x14ac:dyDescent="0.25">
      <c r="N83" s="94"/>
      <c r="O83" s="94"/>
      <c r="BE83" s="128">
        <v>82</v>
      </c>
      <c r="BF83" s="129" t="s">
        <v>808</v>
      </c>
      <c r="BG83" s="130">
        <v>11686140</v>
      </c>
      <c r="BH83" s="131">
        <v>2.5999999999999999E-3</v>
      </c>
      <c r="BI83" s="132">
        <v>30210</v>
      </c>
      <c r="BJ83" s="133">
        <v>386</v>
      </c>
      <c r="BK83" s="132">
        <v>30280</v>
      </c>
      <c r="BL83" s="132">
        <v>23999</v>
      </c>
      <c r="BM83" s="133">
        <v>1.6</v>
      </c>
      <c r="BN83" s="133">
        <v>41</v>
      </c>
      <c r="BO83" s="134">
        <v>0.99</v>
      </c>
      <c r="BP83" s="131">
        <v>1.5E-3</v>
      </c>
    </row>
    <row r="84" spans="14:68" ht="17" thickBot="1" x14ac:dyDescent="0.25">
      <c r="N84" s="94"/>
      <c r="O84" s="94"/>
      <c r="BE84" s="143">
        <v>83</v>
      </c>
      <c r="BF84" s="144" t="s">
        <v>397</v>
      </c>
      <c r="BG84" s="105">
        <v>11337052</v>
      </c>
      <c r="BH84" s="106">
        <v>4.4999999999999997E-3</v>
      </c>
      <c r="BI84" s="107">
        <v>51183</v>
      </c>
      <c r="BJ84" s="108">
        <v>128</v>
      </c>
      <c r="BK84" s="107">
        <v>88780</v>
      </c>
      <c r="BL84" s="107">
        <v>-157392</v>
      </c>
      <c r="BM84" s="108">
        <v>2.7</v>
      </c>
      <c r="BN84" s="108">
        <v>24</v>
      </c>
      <c r="BO84" s="109">
        <v>0.85</v>
      </c>
      <c r="BP84" s="106">
        <v>1.4E-3</v>
      </c>
    </row>
    <row r="85" spans="14:68" ht="49" thickBot="1" x14ac:dyDescent="0.25">
      <c r="N85" s="94"/>
      <c r="O85" s="94"/>
      <c r="BE85" s="128">
        <v>84</v>
      </c>
      <c r="BF85" s="129" t="s">
        <v>247</v>
      </c>
      <c r="BG85" s="130">
        <v>11332972</v>
      </c>
      <c r="BH85" s="131">
        <v>9.2999999999999992E-3</v>
      </c>
      <c r="BI85" s="132">
        <v>104151</v>
      </c>
      <c r="BJ85" s="133">
        <v>235</v>
      </c>
      <c r="BK85" s="132">
        <v>48320</v>
      </c>
      <c r="BL85" s="132">
        <v>-29099</v>
      </c>
      <c r="BM85" s="133">
        <v>2.2000000000000002</v>
      </c>
      <c r="BN85" s="133">
        <v>28</v>
      </c>
      <c r="BO85" s="134">
        <v>0.85</v>
      </c>
      <c r="BP85" s="131">
        <v>1.4E-3</v>
      </c>
    </row>
    <row r="86" spans="14:68" ht="17" thickBot="1" x14ac:dyDescent="0.25">
      <c r="N86" s="94"/>
      <c r="O86" s="94"/>
      <c r="BE86" s="143">
        <v>85</v>
      </c>
      <c r="BF86" s="144" t="s">
        <v>231</v>
      </c>
      <c r="BG86" s="105">
        <v>11194449</v>
      </c>
      <c r="BH86" s="106">
        <v>-1.6000000000000001E-3</v>
      </c>
      <c r="BI86" s="107">
        <v>-17742</v>
      </c>
      <c r="BJ86" s="108">
        <v>105</v>
      </c>
      <c r="BK86" s="107">
        <v>106440</v>
      </c>
      <c r="BL86" s="107">
        <v>-6000</v>
      </c>
      <c r="BM86" s="108">
        <v>1.5</v>
      </c>
      <c r="BN86" s="108">
        <v>41</v>
      </c>
      <c r="BO86" s="109">
        <v>0.8</v>
      </c>
      <c r="BP86" s="106">
        <v>1.4E-3</v>
      </c>
    </row>
    <row r="87" spans="14:68" ht="33" thickBot="1" x14ac:dyDescent="0.25">
      <c r="N87" s="94"/>
      <c r="O87" s="94"/>
      <c r="BE87" s="128">
        <v>86</v>
      </c>
      <c r="BF87" s="129" t="s">
        <v>809</v>
      </c>
      <c r="BG87" s="130">
        <v>11088796</v>
      </c>
      <c r="BH87" s="131">
        <v>1.61E-2</v>
      </c>
      <c r="BI87" s="132">
        <v>175632</v>
      </c>
      <c r="BJ87" s="133">
        <v>18</v>
      </c>
      <c r="BK87" s="132">
        <v>610952</v>
      </c>
      <c r="BL87" s="132">
        <v>-23291</v>
      </c>
      <c r="BM87" s="133">
        <v>4.3</v>
      </c>
      <c r="BN87" s="133">
        <v>17</v>
      </c>
      <c r="BO87" s="134">
        <v>0.28000000000000003</v>
      </c>
      <c r="BP87" s="131">
        <v>1.4E-3</v>
      </c>
    </row>
    <row r="88" spans="14:68" ht="17" thickBot="1" x14ac:dyDescent="0.25">
      <c r="N88" s="94"/>
      <c r="O88" s="94"/>
      <c r="BE88" s="143">
        <v>87</v>
      </c>
      <c r="BF88" s="144" t="s">
        <v>810</v>
      </c>
      <c r="BG88" s="105">
        <v>10612086</v>
      </c>
      <c r="BH88" s="106">
        <v>5.8999999999999999E-3</v>
      </c>
      <c r="BI88" s="107">
        <v>62739</v>
      </c>
      <c r="BJ88" s="108">
        <v>26</v>
      </c>
      <c r="BK88" s="107">
        <v>410340</v>
      </c>
      <c r="BL88" s="107">
        <v>39998</v>
      </c>
      <c r="BM88" s="108">
        <v>1.7</v>
      </c>
      <c r="BN88" s="108">
        <v>40</v>
      </c>
      <c r="BO88" s="109">
        <v>0.86</v>
      </c>
      <c r="BP88" s="106">
        <v>1.2999999999999999E-3</v>
      </c>
    </row>
    <row r="89" spans="14:68" ht="17" thickBot="1" x14ac:dyDescent="0.25">
      <c r="N89" s="94"/>
      <c r="O89" s="94"/>
      <c r="BE89" s="128">
        <v>88</v>
      </c>
      <c r="BF89" s="129" t="s">
        <v>347</v>
      </c>
      <c r="BG89" s="130">
        <v>10593798</v>
      </c>
      <c r="BH89" s="131">
        <v>1.54E-2</v>
      </c>
      <c r="BI89" s="132">
        <v>160938</v>
      </c>
      <c r="BJ89" s="133">
        <v>95</v>
      </c>
      <c r="BK89" s="132">
        <v>111890</v>
      </c>
      <c r="BL89" s="132">
        <v>-5034</v>
      </c>
      <c r="BM89" s="133">
        <v>2.2999999999999998</v>
      </c>
      <c r="BN89" s="133">
        <v>24</v>
      </c>
      <c r="BO89" s="134">
        <v>0.57999999999999996</v>
      </c>
      <c r="BP89" s="131">
        <v>1.2999999999999999E-3</v>
      </c>
    </row>
    <row r="90" spans="14:68" ht="49" thickBot="1" x14ac:dyDescent="0.25">
      <c r="N90" s="94"/>
      <c r="O90" s="94"/>
      <c r="BE90" s="143">
        <v>89</v>
      </c>
      <c r="BF90" s="144" t="s">
        <v>811</v>
      </c>
      <c r="BG90" s="105">
        <v>10495295</v>
      </c>
      <c r="BH90" s="106">
        <v>1E-4</v>
      </c>
      <c r="BI90" s="107">
        <v>1309</v>
      </c>
      <c r="BJ90" s="108">
        <v>136</v>
      </c>
      <c r="BK90" s="107">
        <v>77240</v>
      </c>
      <c r="BL90" s="107">
        <v>22011</v>
      </c>
      <c r="BM90" s="108">
        <v>1.7</v>
      </c>
      <c r="BN90" s="108">
        <v>43</v>
      </c>
      <c r="BO90" s="109">
        <v>0.75</v>
      </c>
      <c r="BP90" s="106">
        <v>1.2999999999999999E-3</v>
      </c>
    </row>
    <row r="91" spans="14:68" ht="33" thickBot="1" x14ac:dyDescent="0.25">
      <c r="N91" s="94"/>
      <c r="O91" s="94"/>
      <c r="BE91" s="128">
        <v>90</v>
      </c>
      <c r="BF91" s="129" t="s">
        <v>96</v>
      </c>
      <c r="BG91" s="130">
        <v>10412651</v>
      </c>
      <c r="BH91" s="131">
        <v>5.3E-3</v>
      </c>
      <c r="BI91" s="132">
        <v>54577</v>
      </c>
      <c r="BJ91" s="133">
        <v>126</v>
      </c>
      <c r="BK91" s="132">
        <v>82658</v>
      </c>
      <c r="BL91" s="133">
        <v>0</v>
      </c>
      <c r="BM91" s="133">
        <v>1.7</v>
      </c>
      <c r="BN91" s="133">
        <v>32</v>
      </c>
      <c r="BO91" s="134">
        <v>0.56999999999999995</v>
      </c>
      <c r="BP91" s="131">
        <v>1.2999999999999999E-3</v>
      </c>
    </row>
    <row r="92" spans="14:68" ht="17" thickBot="1" x14ac:dyDescent="0.25">
      <c r="N92" s="94"/>
      <c r="O92" s="94"/>
      <c r="BE92" s="143">
        <v>91</v>
      </c>
      <c r="BF92" s="144" t="s">
        <v>812</v>
      </c>
      <c r="BG92" s="105">
        <v>10341277</v>
      </c>
      <c r="BH92" s="106">
        <v>-4.1999999999999997E-3</v>
      </c>
      <c r="BI92" s="107">
        <v>-43694</v>
      </c>
      <c r="BJ92" s="108">
        <v>80</v>
      </c>
      <c r="BK92" s="107">
        <v>128900</v>
      </c>
      <c r="BL92" s="107">
        <v>5000</v>
      </c>
      <c r="BM92" s="108">
        <v>1.4</v>
      </c>
      <c r="BN92" s="108">
        <v>45</v>
      </c>
      <c r="BO92" s="109">
        <v>0.86</v>
      </c>
      <c r="BP92" s="106">
        <v>1.2999999999999999E-3</v>
      </c>
    </row>
    <row r="93" spans="14:68" ht="49" thickBot="1" x14ac:dyDescent="0.25">
      <c r="N93" s="94"/>
      <c r="O93" s="94"/>
      <c r="BE93" s="128">
        <v>92</v>
      </c>
      <c r="BF93" s="129" t="s">
        <v>813</v>
      </c>
      <c r="BG93" s="130">
        <v>10329931</v>
      </c>
      <c r="BH93" s="131">
        <v>1.8499999999999999E-2</v>
      </c>
      <c r="BI93" s="132">
        <v>187312</v>
      </c>
      <c r="BJ93" s="133">
        <v>23</v>
      </c>
      <c r="BK93" s="132">
        <v>452860</v>
      </c>
      <c r="BL93" s="133">
        <v>-800</v>
      </c>
      <c r="BM93" s="133">
        <v>3.1</v>
      </c>
      <c r="BN93" s="133">
        <v>22</v>
      </c>
      <c r="BO93" s="134">
        <v>0.12</v>
      </c>
      <c r="BP93" s="131">
        <v>1.2999999999999999E-3</v>
      </c>
    </row>
    <row r="94" spans="14:68" ht="17" thickBot="1" x14ac:dyDescent="0.25">
      <c r="N94" s="94"/>
      <c r="O94" s="94"/>
      <c r="BE94" s="143">
        <v>93</v>
      </c>
      <c r="BF94" s="144" t="s">
        <v>814</v>
      </c>
      <c r="BG94" s="105">
        <v>10247605</v>
      </c>
      <c r="BH94" s="106">
        <v>-2.3E-3</v>
      </c>
      <c r="BI94" s="107">
        <v>-23260</v>
      </c>
      <c r="BJ94" s="108">
        <v>112</v>
      </c>
      <c r="BK94" s="107">
        <v>91590</v>
      </c>
      <c r="BL94" s="107">
        <v>9999</v>
      </c>
      <c r="BM94" s="108">
        <v>1.4</v>
      </c>
      <c r="BN94" s="108">
        <v>46</v>
      </c>
      <c r="BO94" s="109">
        <v>0.67</v>
      </c>
      <c r="BP94" s="106">
        <v>1.2999999999999999E-3</v>
      </c>
    </row>
    <row r="95" spans="14:68" ht="17" thickBot="1" x14ac:dyDescent="0.25">
      <c r="N95" s="94"/>
      <c r="O95" s="94"/>
      <c r="BE95" s="128">
        <v>94</v>
      </c>
      <c r="BF95" s="129" t="s">
        <v>815</v>
      </c>
      <c r="BG95" s="130">
        <v>10156239</v>
      </c>
      <c r="BH95" s="131">
        <v>1.9E-2</v>
      </c>
      <c r="BI95" s="132">
        <v>188931</v>
      </c>
      <c r="BJ95" s="133">
        <v>112</v>
      </c>
      <c r="BK95" s="132">
        <v>90530</v>
      </c>
      <c r="BL95" s="132">
        <v>-156677</v>
      </c>
      <c r="BM95" s="133">
        <v>1.6</v>
      </c>
      <c r="BN95" s="133">
        <v>42</v>
      </c>
      <c r="BO95" s="134">
        <v>0.68</v>
      </c>
      <c r="BP95" s="131">
        <v>1.2999999999999999E-3</v>
      </c>
    </row>
    <row r="96" spans="14:68" ht="17" thickBot="1" x14ac:dyDescent="0.25">
      <c r="N96" s="94"/>
      <c r="O96" s="94"/>
      <c r="BE96" s="143">
        <v>95</v>
      </c>
      <c r="BF96" s="144" t="s">
        <v>610</v>
      </c>
      <c r="BG96" s="105">
        <v>10143543</v>
      </c>
      <c r="BH96" s="106">
        <v>1.9199999999999998E-2</v>
      </c>
      <c r="BI96" s="107">
        <v>190756</v>
      </c>
      <c r="BJ96" s="108">
        <v>72</v>
      </c>
      <c r="BK96" s="107">
        <v>139960</v>
      </c>
      <c r="BL96" s="107">
        <v>-19999</v>
      </c>
      <c r="BM96" s="108">
        <v>3.1</v>
      </c>
      <c r="BN96" s="108">
        <v>22</v>
      </c>
      <c r="BO96" s="109">
        <v>0.28000000000000003</v>
      </c>
      <c r="BP96" s="106">
        <v>1.2999999999999999E-3</v>
      </c>
    </row>
    <row r="97" spans="14:68" ht="49" thickBot="1" x14ac:dyDescent="0.25">
      <c r="N97" s="94"/>
      <c r="O97" s="94"/>
      <c r="BE97" s="128">
        <v>96</v>
      </c>
      <c r="BF97" s="129" t="s">
        <v>661</v>
      </c>
      <c r="BG97" s="130">
        <v>9516871</v>
      </c>
      <c r="BH97" s="131">
        <v>8.0000000000000002E-3</v>
      </c>
      <c r="BI97" s="132">
        <v>75742</v>
      </c>
      <c r="BJ97" s="133">
        <v>114</v>
      </c>
      <c r="BK97" s="132">
        <v>83600</v>
      </c>
      <c r="BL97" s="133">
        <v>0</v>
      </c>
      <c r="BM97" s="133">
        <v>1.4</v>
      </c>
      <c r="BN97" s="133">
        <v>34</v>
      </c>
      <c r="BO97" s="134">
        <v>0.94</v>
      </c>
      <c r="BP97" s="131">
        <v>1.1999999999999999E-3</v>
      </c>
    </row>
    <row r="98" spans="14:68" ht="17" thickBot="1" x14ac:dyDescent="0.25">
      <c r="N98" s="94"/>
      <c r="O98" s="94"/>
      <c r="BE98" s="143">
        <v>97</v>
      </c>
      <c r="BF98" s="144" t="s">
        <v>816</v>
      </c>
      <c r="BG98" s="105">
        <v>9498238</v>
      </c>
      <c r="BH98" s="106">
        <v>-3.8999999999999998E-3</v>
      </c>
      <c r="BI98" s="107">
        <v>-36716</v>
      </c>
      <c r="BJ98" s="108">
        <v>47</v>
      </c>
      <c r="BK98" s="107">
        <v>202910</v>
      </c>
      <c r="BL98" s="107">
        <v>-4282</v>
      </c>
      <c r="BM98" s="108">
        <v>1.5</v>
      </c>
      <c r="BN98" s="108">
        <v>41</v>
      </c>
      <c r="BO98" s="109">
        <v>0.8</v>
      </c>
      <c r="BP98" s="106">
        <v>1.1999999999999999E-3</v>
      </c>
    </row>
    <row r="99" spans="14:68" ht="17" thickBot="1" x14ac:dyDescent="0.25">
      <c r="N99" s="94"/>
      <c r="O99" s="94"/>
      <c r="BE99" s="128">
        <v>98</v>
      </c>
      <c r="BF99" s="129" t="s">
        <v>383</v>
      </c>
      <c r="BG99" s="130">
        <v>9174520</v>
      </c>
      <c r="BH99" s="131">
        <v>1.5100000000000001E-2</v>
      </c>
      <c r="BI99" s="132">
        <v>136211</v>
      </c>
      <c r="BJ99" s="133">
        <v>424</v>
      </c>
      <c r="BK99" s="132">
        <v>21640</v>
      </c>
      <c r="BL99" s="132">
        <v>9999</v>
      </c>
      <c r="BM99" s="133">
        <v>2.9</v>
      </c>
      <c r="BN99" s="133">
        <v>29</v>
      </c>
      <c r="BO99" s="134">
        <v>0.92</v>
      </c>
      <c r="BP99" s="131">
        <v>1.1000000000000001E-3</v>
      </c>
    </row>
    <row r="100" spans="14:68" ht="17" thickBot="1" x14ac:dyDescent="0.25">
      <c r="N100" s="94"/>
      <c r="O100" s="94"/>
      <c r="BE100" s="143">
        <v>99</v>
      </c>
      <c r="BF100" s="144" t="s">
        <v>631</v>
      </c>
      <c r="BG100" s="105">
        <v>9053799</v>
      </c>
      <c r="BH100" s="106">
        <v>2.3199999999999998E-2</v>
      </c>
      <c r="BI100" s="107">
        <v>205100</v>
      </c>
      <c r="BJ100" s="108">
        <v>166</v>
      </c>
      <c r="BK100" s="107">
        <v>54390</v>
      </c>
      <c r="BL100" s="107">
        <v>-2000</v>
      </c>
      <c r="BM100" s="108">
        <v>4.0999999999999996</v>
      </c>
      <c r="BN100" s="108">
        <v>19</v>
      </c>
      <c r="BO100" s="109">
        <v>0.44</v>
      </c>
      <c r="BP100" s="106">
        <v>1.1000000000000001E-3</v>
      </c>
    </row>
    <row r="101" spans="14:68" ht="17" thickBot="1" x14ac:dyDescent="0.25">
      <c r="N101" s="94"/>
      <c r="O101" s="94"/>
      <c r="BE101" s="128">
        <v>100</v>
      </c>
      <c r="BF101" s="129" t="s">
        <v>817</v>
      </c>
      <c r="BG101" s="130">
        <v>8958960</v>
      </c>
      <c r="BH101" s="131">
        <v>2.2000000000000001E-3</v>
      </c>
      <c r="BI101" s="132">
        <v>19343</v>
      </c>
      <c r="BJ101" s="133">
        <v>109</v>
      </c>
      <c r="BK101" s="132">
        <v>82409</v>
      </c>
      <c r="BL101" s="132">
        <v>19999</v>
      </c>
      <c r="BM101" s="133">
        <v>1.5</v>
      </c>
      <c r="BN101" s="133">
        <v>43</v>
      </c>
      <c r="BO101" s="134">
        <v>0.59</v>
      </c>
      <c r="BP101" s="131">
        <v>1.1000000000000001E-3</v>
      </c>
    </row>
    <row r="102" spans="14:68" ht="33" thickBot="1" x14ac:dyDescent="0.25">
      <c r="N102" s="94"/>
      <c r="O102" s="94"/>
      <c r="BE102" s="143">
        <v>101</v>
      </c>
      <c r="BF102" s="144" t="s">
        <v>818</v>
      </c>
      <c r="BG102" s="105">
        <v>8796669</v>
      </c>
      <c r="BH102" s="106">
        <v>6.4000000000000003E-3</v>
      </c>
      <c r="BI102" s="107">
        <v>56197</v>
      </c>
      <c r="BJ102" s="108">
        <v>223</v>
      </c>
      <c r="BK102" s="107">
        <v>39516</v>
      </c>
      <c r="BL102" s="107">
        <v>39998</v>
      </c>
      <c r="BM102" s="108">
        <v>1.5</v>
      </c>
      <c r="BN102" s="108">
        <v>42</v>
      </c>
      <c r="BO102" s="109">
        <v>0.75</v>
      </c>
      <c r="BP102" s="106">
        <v>1.1000000000000001E-3</v>
      </c>
    </row>
    <row r="103" spans="14:68" ht="33" thickBot="1" x14ac:dyDescent="0.25">
      <c r="N103" s="94"/>
      <c r="O103" s="94"/>
      <c r="BE103" s="128">
        <v>102</v>
      </c>
      <c r="BF103" s="129" t="s">
        <v>582</v>
      </c>
      <c r="BG103" s="130">
        <v>8791092</v>
      </c>
      <c r="BH103" s="131">
        <v>2.1499999999999998E-2</v>
      </c>
      <c r="BI103" s="132">
        <v>185374</v>
      </c>
      <c r="BJ103" s="133">
        <v>122</v>
      </c>
      <c r="BK103" s="132">
        <v>72180</v>
      </c>
      <c r="BL103" s="132">
        <v>-4000</v>
      </c>
      <c r="BM103" s="133">
        <v>3.8</v>
      </c>
      <c r="BN103" s="133">
        <v>19</v>
      </c>
      <c r="BO103" s="134">
        <v>0.43</v>
      </c>
      <c r="BP103" s="131">
        <v>1.1000000000000001E-3</v>
      </c>
    </row>
    <row r="104" spans="14:68" ht="17" thickBot="1" x14ac:dyDescent="0.25">
      <c r="N104" s="94"/>
      <c r="O104" s="94"/>
      <c r="BE104" s="143">
        <v>103</v>
      </c>
      <c r="BF104" s="144" t="s">
        <v>422</v>
      </c>
      <c r="BG104" s="105">
        <v>7633779</v>
      </c>
      <c r="BH104" s="106">
        <v>1.3899999999999999E-2</v>
      </c>
      <c r="BI104" s="107">
        <v>104304</v>
      </c>
      <c r="BJ104" s="108">
        <v>33</v>
      </c>
      <c r="BK104" s="107">
        <v>230800</v>
      </c>
      <c r="BL104" s="107">
        <v>-9999</v>
      </c>
      <c r="BM104" s="108">
        <v>2.4</v>
      </c>
      <c r="BN104" s="108">
        <v>24</v>
      </c>
      <c r="BO104" s="109">
        <v>0.37</v>
      </c>
      <c r="BP104" s="106">
        <v>8.9999999999999998E-4</v>
      </c>
    </row>
    <row r="105" spans="14:68" ht="33" thickBot="1" x14ac:dyDescent="0.25">
      <c r="N105" s="94"/>
      <c r="O105" s="94"/>
      <c r="BE105" s="128">
        <v>104</v>
      </c>
      <c r="BF105" s="129" t="s">
        <v>819</v>
      </c>
      <c r="BG105" s="130">
        <v>7491609</v>
      </c>
      <c r="BH105" s="131">
        <v>4.0000000000000002E-4</v>
      </c>
      <c r="BI105" s="132">
        <v>2744</v>
      </c>
      <c r="BJ105" s="132">
        <v>7135</v>
      </c>
      <c r="BK105" s="132">
        <v>1050</v>
      </c>
      <c r="BL105" s="132">
        <v>19999</v>
      </c>
      <c r="BM105" s="133">
        <v>0.8</v>
      </c>
      <c r="BN105" s="133">
        <v>46</v>
      </c>
      <c r="BO105" s="133" t="s">
        <v>802</v>
      </c>
      <c r="BP105" s="131">
        <v>8.9999999999999998E-4</v>
      </c>
    </row>
    <row r="106" spans="14:68" ht="17" thickBot="1" x14ac:dyDescent="0.25">
      <c r="N106" s="94"/>
      <c r="O106" s="94"/>
      <c r="BE106" s="143">
        <v>105</v>
      </c>
      <c r="BF106" s="144" t="s">
        <v>820</v>
      </c>
      <c r="BG106" s="105">
        <v>7149077</v>
      </c>
      <c r="BH106" s="106">
        <v>-0.01</v>
      </c>
      <c r="BI106" s="107">
        <v>-72288</v>
      </c>
      <c r="BJ106" s="108">
        <v>82</v>
      </c>
      <c r="BK106" s="107">
        <v>87460</v>
      </c>
      <c r="BL106" s="107">
        <v>-9999</v>
      </c>
      <c r="BM106" s="108">
        <v>1.5</v>
      </c>
      <c r="BN106" s="108">
        <v>43</v>
      </c>
      <c r="BO106" s="109">
        <v>0.69</v>
      </c>
      <c r="BP106" s="106">
        <v>8.9999999999999998E-4</v>
      </c>
    </row>
    <row r="107" spans="14:68" ht="17" thickBot="1" x14ac:dyDescent="0.25">
      <c r="N107" s="94"/>
      <c r="O107" s="94"/>
      <c r="BE107" s="128">
        <v>106</v>
      </c>
      <c r="BF107" s="129" t="s">
        <v>509</v>
      </c>
      <c r="BG107" s="130">
        <v>7046310</v>
      </c>
      <c r="BH107" s="131">
        <v>1.41E-2</v>
      </c>
      <c r="BI107" s="132">
        <v>97918</v>
      </c>
      <c r="BJ107" s="133">
        <v>59</v>
      </c>
      <c r="BK107" s="132">
        <v>120340</v>
      </c>
      <c r="BL107" s="132">
        <v>-8000</v>
      </c>
      <c r="BM107" s="133">
        <v>2.2999999999999998</v>
      </c>
      <c r="BN107" s="133">
        <v>25</v>
      </c>
      <c r="BO107" s="134">
        <v>0.56000000000000005</v>
      </c>
      <c r="BP107" s="131">
        <v>8.9999999999999998E-4</v>
      </c>
    </row>
    <row r="108" spans="14:68" ht="17" thickBot="1" x14ac:dyDescent="0.25">
      <c r="N108" s="94"/>
      <c r="O108" s="94"/>
      <c r="BE108" s="143">
        <v>107</v>
      </c>
      <c r="BF108" s="144" t="s">
        <v>443</v>
      </c>
      <c r="BG108" s="105">
        <v>6888388</v>
      </c>
      <c r="BH108" s="106">
        <v>1.12E-2</v>
      </c>
      <c r="BI108" s="107">
        <v>76047</v>
      </c>
      <c r="BJ108" s="108">
        <v>4</v>
      </c>
      <c r="BK108" s="107">
        <v>1759540</v>
      </c>
      <c r="BL108" s="107">
        <v>-2000</v>
      </c>
      <c r="BM108" s="108">
        <v>2.4</v>
      </c>
      <c r="BN108" s="108">
        <v>27</v>
      </c>
      <c r="BO108" s="109">
        <v>0.82</v>
      </c>
      <c r="BP108" s="106">
        <v>8.9999999999999998E-4</v>
      </c>
    </row>
    <row r="109" spans="14:68" ht="17" thickBot="1" x14ac:dyDescent="0.25">
      <c r="N109" s="94"/>
      <c r="O109" s="94"/>
      <c r="BE109" s="128">
        <v>108</v>
      </c>
      <c r="BF109" s="129" t="s">
        <v>821</v>
      </c>
      <c r="BG109" s="130">
        <v>6861524</v>
      </c>
      <c r="BH109" s="131">
        <v>1.1900000000000001E-2</v>
      </c>
      <c r="BI109" s="132">
        <v>80780</v>
      </c>
      <c r="BJ109" s="133">
        <v>17</v>
      </c>
      <c r="BK109" s="132">
        <v>397300</v>
      </c>
      <c r="BL109" s="132">
        <v>-12499</v>
      </c>
      <c r="BM109" s="133">
        <v>2.4</v>
      </c>
      <c r="BN109" s="133">
        <v>26</v>
      </c>
      <c r="BO109" s="134">
        <v>0.67</v>
      </c>
      <c r="BP109" s="131">
        <v>8.9999999999999998E-4</v>
      </c>
    </row>
    <row r="110" spans="14:68" ht="33" thickBot="1" x14ac:dyDescent="0.25">
      <c r="N110" s="94"/>
      <c r="O110" s="94"/>
      <c r="BE110" s="143">
        <v>109</v>
      </c>
      <c r="BF110" s="144" t="s">
        <v>418</v>
      </c>
      <c r="BG110" s="105">
        <v>6735347</v>
      </c>
      <c r="BH110" s="106">
        <v>1.5800000000000002E-2</v>
      </c>
      <c r="BI110" s="107">
        <v>104724</v>
      </c>
      <c r="BJ110" s="108">
        <v>35</v>
      </c>
      <c r="BK110" s="107">
        <v>191800</v>
      </c>
      <c r="BL110" s="107">
        <v>-9999</v>
      </c>
      <c r="BM110" s="108">
        <v>2.9</v>
      </c>
      <c r="BN110" s="108">
        <v>24</v>
      </c>
      <c r="BO110" s="109">
        <v>0.37</v>
      </c>
      <c r="BP110" s="106">
        <v>8.0000000000000004E-4</v>
      </c>
    </row>
    <row r="111" spans="14:68" ht="17" thickBot="1" x14ac:dyDescent="0.25">
      <c r="N111" s="94"/>
      <c r="O111" s="94"/>
      <c r="BE111" s="128">
        <v>110</v>
      </c>
      <c r="BF111" s="129" t="s">
        <v>822</v>
      </c>
      <c r="BG111" s="130">
        <v>6687717</v>
      </c>
      <c r="BH111" s="131">
        <v>-1.3899999999999999E-2</v>
      </c>
      <c r="BI111" s="132">
        <v>-94236</v>
      </c>
      <c r="BJ111" s="133">
        <v>62</v>
      </c>
      <c r="BK111" s="132">
        <v>108560</v>
      </c>
      <c r="BL111" s="132">
        <v>-4800</v>
      </c>
      <c r="BM111" s="133">
        <v>1.6</v>
      </c>
      <c r="BN111" s="133">
        <v>45</v>
      </c>
      <c r="BO111" s="134">
        <v>0.78</v>
      </c>
      <c r="BP111" s="131">
        <v>8.0000000000000004E-4</v>
      </c>
    </row>
    <row r="112" spans="14:68" ht="33" thickBot="1" x14ac:dyDescent="0.25">
      <c r="N112" s="94"/>
      <c r="O112" s="94"/>
      <c r="BE112" s="143">
        <v>111</v>
      </c>
      <c r="BF112" s="144" t="s">
        <v>650</v>
      </c>
      <c r="BG112" s="105">
        <v>6516100</v>
      </c>
      <c r="BH112" s="106">
        <v>1.3299999999999999E-2</v>
      </c>
      <c r="BI112" s="107">
        <v>85330</v>
      </c>
      <c r="BJ112" s="108">
        <v>14</v>
      </c>
      <c r="BK112" s="107">
        <v>469930</v>
      </c>
      <c r="BL112" s="107">
        <v>-4000</v>
      </c>
      <c r="BM112" s="108">
        <v>2.6</v>
      </c>
      <c r="BN112" s="108">
        <v>26</v>
      </c>
      <c r="BO112" s="109">
        <v>0.52</v>
      </c>
      <c r="BP112" s="106">
        <v>8.0000000000000004E-4</v>
      </c>
    </row>
    <row r="113" spans="14:68" ht="33" thickBot="1" x14ac:dyDescent="0.25">
      <c r="N113" s="94"/>
      <c r="O113" s="94"/>
      <c r="BE113" s="128">
        <v>112</v>
      </c>
      <c r="BF113" s="129" t="s">
        <v>268</v>
      </c>
      <c r="BG113" s="130">
        <v>6364943</v>
      </c>
      <c r="BH113" s="131">
        <v>4.4999999999999997E-3</v>
      </c>
      <c r="BI113" s="132">
        <v>28551</v>
      </c>
      <c r="BJ113" s="133">
        <v>307</v>
      </c>
      <c r="BK113" s="132">
        <v>20720</v>
      </c>
      <c r="BL113" s="132">
        <v>-23249</v>
      </c>
      <c r="BM113" s="133">
        <v>1.8</v>
      </c>
      <c r="BN113" s="133">
        <v>27</v>
      </c>
      <c r="BO113" s="134">
        <v>0.78</v>
      </c>
      <c r="BP113" s="131">
        <v>8.0000000000000004E-4</v>
      </c>
    </row>
    <row r="114" spans="14:68" ht="17" thickBot="1" x14ac:dyDescent="0.25">
      <c r="N114" s="94"/>
      <c r="O114" s="94"/>
      <c r="BE114" s="143">
        <v>113</v>
      </c>
      <c r="BF114" s="144" t="s">
        <v>223</v>
      </c>
      <c r="BG114" s="105">
        <v>6106869</v>
      </c>
      <c r="BH114" s="106">
        <v>2.29E-2</v>
      </c>
      <c r="BI114" s="107">
        <v>136445</v>
      </c>
      <c r="BJ114" s="108">
        <v>18</v>
      </c>
      <c r="BK114" s="107">
        <v>341500</v>
      </c>
      <c r="BL114" s="107">
        <v>-1000</v>
      </c>
      <c r="BM114" s="108">
        <v>4</v>
      </c>
      <c r="BN114" s="108">
        <v>18</v>
      </c>
      <c r="BO114" s="109">
        <v>0.7</v>
      </c>
      <c r="BP114" s="106">
        <v>8.0000000000000004E-4</v>
      </c>
    </row>
    <row r="115" spans="14:68" ht="17" thickBot="1" x14ac:dyDescent="0.25">
      <c r="N115" s="94"/>
      <c r="O115" s="94"/>
      <c r="BE115" s="128">
        <v>114</v>
      </c>
      <c r="BF115" s="129" t="s">
        <v>823</v>
      </c>
      <c r="BG115" s="130">
        <v>6014723</v>
      </c>
      <c r="BH115" s="131">
        <v>6.4999999999999997E-3</v>
      </c>
      <c r="BI115" s="132">
        <v>39034</v>
      </c>
      <c r="BJ115" s="132">
        <v>8592</v>
      </c>
      <c r="BK115" s="133">
        <v>700</v>
      </c>
      <c r="BL115" s="132">
        <v>26998</v>
      </c>
      <c r="BM115" s="133">
        <v>1</v>
      </c>
      <c r="BN115" s="133">
        <v>43</v>
      </c>
      <c r="BO115" s="133" t="s">
        <v>802</v>
      </c>
      <c r="BP115" s="131">
        <v>6.9999999999999999E-4</v>
      </c>
    </row>
    <row r="116" spans="14:68" ht="17" thickBot="1" x14ac:dyDescent="0.25">
      <c r="N116" s="94"/>
      <c r="O116" s="94"/>
      <c r="BE116" s="143">
        <v>115</v>
      </c>
      <c r="BF116" s="144" t="s">
        <v>824</v>
      </c>
      <c r="BG116" s="105">
        <v>5910913</v>
      </c>
      <c r="BH116" s="106">
        <v>4.8999999999999998E-3</v>
      </c>
      <c r="BI116" s="107">
        <v>28652</v>
      </c>
      <c r="BJ116" s="108">
        <v>139</v>
      </c>
      <c r="BK116" s="107">
        <v>42430</v>
      </c>
      <c r="BL116" s="107">
        <v>19999</v>
      </c>
      <c r="BM116" s="108">
        <v>1.7</v>
      </c>
      <c r="BN116" s="108">
        <v>41</v>
      </c>
      <c r="BO116" s="109">
        <v>0.88</v>
      </c>
      <c r="BP116" s="106">
        <v>6.9999999999999999E-4</v>
      </c>
    </row>
    <row r="117" spans="14:68" ht="17" thickBot="1" x14ac:dyDescent="0.25">
      <c r="N117" s="94"/>
      <c r="O117" s="94"/>
      <c r="BE117" s="128">
        <v>116</v>
      </c>
      <c r="BF117" s="129" t="s">
        <v>825</v>
      </c>
      <c r="BG117" s="130">
        <v>5795199</v>
      </c>
      <c r="BH117" s="131">
        <v>2.69E-2</v>
      </c>
      <c r="BI117" s="132">
        <v>151746</v>
      </c>
      <c r="BJ117" s="133">
        <v>121</v>
      </c>
      <c r="BK117" s="132">
        <v>48088</v>
      </c>
      <c r="BL117" s="132">
        <v>-112067</v>
      </c>
      <c r="BM117" s="133">
        <v>1.6</v>
      </c>
      <c r="BN117" s="133">
        <v>40</v>
      </c>
      <c r="BO117" s="134">
        <v>0.51</v>
      </c>
      <c r="BP117" s="131">
        <v>6.9999999999999999E-4</v>
      </c>
    </row>
    <row r="118" spans="14:68" ht="49" thickBot="1" x14ac:dyDescent="0.25">
      <c r="N118" s="94"/>
      <c r="O118" s="94"/>
      <c r="BE118" s="143">
        <v>117</v>
      </c>
      <c r="BF118" s="144" t="s">
        <v>196</v>
      </c>
      <c r="BG118" s="105">
        <v>5742315</v>
      </c>
      <c r="BH118" s="106">
        <v>2.92E-2</v>
      </c>
      <c r="BI118" s="107">
        <v>163171</v>
      </c>
      <c r="BJ118" s="108">
        <v>9</v>
      </c>
      <c r="BK118" s="107">
        <v>622980</v>
      </c>
      <c r="BL118" s="107">
        <v>-14716</v>
      </c>
      <c r="BM118" s="108">
        <v>5.8</v>
      </c>
      <c r="BN118" s="108">
        <v>15</v>
      </c>
      <c r="BO118" s="109">
        <v>0.4</v>
      </c>
      <c r="BP118" s="106">
        <v>6.9999999999999999E-4</v>
      </c>
    </row>
    <row r="119" spans="14:68" ht="17" thickBot="1" x14ac:dyDescent="0.25">
      <c r="N119" s="94"/>
      <c r="O119" s="94"/>
      <c r="BE119" s="128">
        <v>118</v>
      </c>
      <c r="BF119" s="129" t="s">
        <v>826</v>
      </c>
      <c r="BG119" s="130">
        <v>5545475</v>
      </c>
      <c r="BH119" s="131">
        <v>8.9999999999999998E-4</v>
      </c>
      <c r="BI119" s="132">
        <v>4730</v>
      </c>
      <c r="BJ119" s="133">
        <v>18</v>
      </c>
      <c r="BK119" s="132">
        <v>303890</v>
      </c>
      <c r="BL119" s="132">
        <v>13999</v>
      </c>
      <c r="BM119" s="133">
        <v>1.4</v>
      </c>
      <c r="BN119" s="133">
        <v>43</v>
      </c>
      <c r="BO119" s="134">
        <v>0.87</v>
      </c>
      <c r="BP119" s="131">
        <v>6.9999999999999999E-4</v>
      </c>
    </row>
    <row r="120" spans="14:68" ht="17" thickBot="1" x14ac:dyDescent="0.25">
      <c r="N120" s="94"/>
      <c r="O120" s="94"/>
      <c r="BE120" s="143">
        <v>119</v>
      </c>
      <c r="BF120" s="144" t="s">
        <v>827</v>
      </c>
      <c r="BG120" s="105">
        <v>5474360</v>
      </c>
      <c r="BH120" s="106">
        <v>7.4000000000000003E-3</v>
      </c>
      <c r="BI120" s="107">
        <v>40041</v>
      </c>
      <c r="BJ120" s="108">
        <v>15</v>
      </c>
      <c r="BK120" s="107">
        <v>365268</v>
      </c>
      <c r="BL120" s="107">
        <v>27998</v>
      </c>
      <c r="BM120" s="108">
        <v>1.5</v>
      </c>
      <c r="BN120" s="108">
        <v>40</v>
      </c>
      <c r="BO120" s="109">
        <v>0.86</v>
      </c>
      <c r="BP120" s="106">
        <v>6.9999999999999999E-4</v>
      </c>
    </row>
    <row r="121" spans="14:68" ht="17" thickBot="1" x14ac:dyDescent="0.25">
      <c r="N121" s="94"/>
      <c r="O121" s="94"/>
      <c r="BE121" s="128">
        <v>120</v>
      </c>
      <c r="BF121" s="129" t="s">
        <v>437</v>
      </c>
      <c r="BG121" s="130">
        <v>5418377</v>
      </c>
      <c r="BH121" s="131">
        <v>2.18E-2</v>
      </c>
      <c r="BI121" s="132">
        <v>115696</v>
      </c>
      <c r="BJ121" s="133">
        <v>56</v>
      </c>
      <c r="BK121" s="132">
        <v>96320</v>
      </c>
      <c r="BL121" s="132">
        <v>-5000</v>
      </c>
      <c r="BM121" s="133">
        <v>4</v>
      </c>
      <c r="BN121" s="133">
        <v>18</v>
      </c>
      <c r="BO121" s="134">
        <v>0.54</v>
      </c>
      <c r="BP121" s="131">
        <v>6.9999999999999999E-4</v>
      </c>
    </row>
    <row r="122" spans="14:68" ht="33" thickBot="1" x14ac:dyDescent="0.25">
      <c r="N122" s="94"/>
      <c r="O122" s="94"/>
      <c r="BE122" s="143">
        <v>121</v>
      </c>
      <c r="BF122" s="144" t="s">
        <v>828</v>
      </c>
      <c r="BG122" s="105">
        <v>5371230</v>
      </c>
      <c r="BH122" s="106">
        <v>2.3099999999999999E-2</v>
      </c>
      <c r="BI122" s="107">
        <v>121158</v>
      </c>
      <c r="BJ122" s="108">
        <v>892</v>
      </c>
      <c r="BK122" s="107">
        <v>6020</v>
      </c>
      <c r="BL122" s="107">
        <v>-5000</v>
      </c>
      <c r="BM122" s="108">
        <v>3.4</v>
      </c>
      <c r="BN122" s="108">
        <v>20</v>
      </c>
      <c r="BO122" s="109">
        <v>0.83</v>
      </c>
      <c r="BP122" s="106">
        <v>6.9999999999999999E-4</v>
      </c>
    </row>
    <row r="123" spans="14:68" ht="17" thickBot="1" x14ac:dyDescent="0.25">
      <c r="N123" s="94"/>
      <c r="O123" s="94"/>
      <c r="BE123" s="128">
        <v>122</v>
      </c>
      <c r="BF123" s="129" t="s">
        <v>427</v>
      </c>
      <c r="BG123" s="130">
        <v>5353930</v>
      </c>
      <c r="BH123" s="131">
        <v>-2.47E-2</v>
      </c>
      <c r="BI123" s="132">
        <v>-135809</v>
      </c>
      <c r="BJ123" s="133">
        <v>523</v>
      </c>
      <c r="BK123" s="132">
        <v>10230</v>
      </c>
      <c r="BL123" s="132">
        <v>-177331</v>
      </c>
      <c r="BM123" s="133">
        <v>2.1</v>
      </c>
      <c r="BN123" s="133">
        <v>29</v>
      </c>
      <c r="BO123" s="134">
        <v>0.97</v>
      </c>
      <c r="BP123" s="131">
        <v>6.9999999999999999E-4</v>
      </c>
    </row>
    <row r="124" spans="14:68" ht="33" thickBot="1" x14ac:dyDescent="0.25">
      <c r="N124" s="94"/>
      <c r="O124" s="94"/>
      <c r="BE124" s="143">
        <v>123</v>
      </c>
      <c r="BF124" s="144" t="s">
        <v>829</v>
      </c>
      <c r="BG124" s="105">
        <v>5228100</v>
      </c>
      <c r="BH124" s="106">
        <v>8.3000000000000001E-3</v>
      </c>
      <c r="BI124" s="107">
        <v>42812</v>
      </c>
      <c r="BJ124" s="108">
        <v>20</v>
      </c>
      <c r="BK124" s="107">
        <v>263310</v>
      </c>
      <c r="BL124" s="107">
        <v>12999</v>
      </c>
      <c r="BM124" s="108">
        <v>1.8</v>
      </c>
      <c r="BN124" s="108">
        <v>37</v>
      </c>
      <c r="BO124" s="109">
        <v>0.82</v>
      </c>
      <c r="BP124" s="106">
        <v>5.9999999999999995E-4</v>
      </c>
    </row>
    <row r="125" spans="14:68" ht="17" thickBot="1" x14ac:dyDescent="0.25">
      <c r="N125" s="94"/>
      <c r="O125" s="94"/>
      <c r="BE125" s="128">
        <v>124</v>
      </c>
      <c r="BF125" s="129" t="s">
        <v>830</v>
      </c>
      <c r="BG125" s="130">
        <v>5212173</v>
      </c>
      <c r="BH125" s="131">
        <v>6.0000000000000001E-3</v>
      </c>
      <c r="BI125" s="132">
        <v>31344</v>
      </c>
      <c r="BJ125" s="133">
        <v>102</v>
      </c>
      <c r="BK125" s="132">
        <v>51060</v>
      </c>
      <c r="BL125" s="132">
        <v>3750</v>
      </c>
      <c r="BM125" s="133">
        <v>1.5</v>
      </c>
      <c r="BN125" s="133">
        <v>34</v>
      </c>
      <c r="BO125" s="134">
        <v>0.82</v>
      </c>
      <c r="BP125" s="131">
        <v>5.9999999999999995E-4</v>
      </c>
    </row>
    <row r="126" spans="14:68" ht="17" thickBot="1" x14ac:dyDescent="0.25">
      <c r="N126" s="94"/>
      <c r="O126" s="94"/>
      <c r="BE126" s="143">
        <v>125</v>
      </c>
      <c r="BF126" s="144" t="s">
        <v>831</v>
      </c>
      <c r="BG126" s="105">
        <v>5056935</v>
      </c>
      <c r="BH126" s="106">
        <v>6.7000000000000002E-3</v>
      </c>
      <c r="BI126" s="107">
        <v>33826</v>
      </c>
      <c r="BJ126" s="108">
        <v>73</v>
      </c>
      <c r="BK126" s="107">
        <v>68890</v>
      </c>
      <c r="BL126" s="107">
        <v>9999</v>
      </c>
      <c r="BM126" s="108">
        <v>1.8</v>
      </c>
      <c r="BN126" s="108">
        <v>38</v>
      </c>
      <c r="BO126" s="109">
        <v>0.64</v>
      </c>
      <c r="BP126" s="106">
        <v>5.9999999999999995E-4</v>
      </c>
    </row>
    <row r="127" spans="14:68" ht="33" thickBot="1" x14ac:dyDescent="0.25">
      <c r="N127" s="94"/>
      <c r="O127" s="94"/>
      <c r="BE127" s="128">
        <v>126</v>
      </c>
      <c r="BF127" s="129" t="s">
        <v>470</v>
      </c>
      <c r="BG127" s="130">
        <v>4862989</v>
      </c>
      <c r="BH127" s="131">
        <v>2.6800000000000001E-2</v>
      </c>
      <c r="BI127" s="132">
        <v>126850</v>
      </c>
      <c r="BJ127" s="133">
        <v>5</v>
      </c>
      <c r="BK127" s="132">
        <v>1030700</v>
      </c>
      <c r="BL127" s="132">
        <v>3000</v>
      </c>
      <c r="BM127" s="133">
        <v>4.3</v>
      </c>
      <c r="BN127" s="133">
        <v>18</v>
      </c>
      <c r="BO127" s="134">
        <v>0.61</v>
      </c>
      <c r="BP127" s="131">
        <v>5.9999999999999995E-4</v>
      </c>
    </row>
    <row r="128" spans="14:68" ht="17" thickBot="1" x14ac:dyDescent="0.25">
      <c r="N128" s="94"/>
      <c r="O128" s="94"/>
      <c r="BE128" s="143">
        <v>127</v>
      </c>
      <c r="BF128" s="144" t="s">
        <v>536</v>
      </c>
      <c r="BG128" s="105">
        <v>4644384</v>
      </c>
      <c r="BH128" s="106">
        <v>1.49E-2</v>
      </c>
      <c r="BI128" s="107">
        <v>68086</v>
      </c>
      <c r="BJ128" s="108">
        <v>15</v>
      </c>
      <c r="BK128" s="107">
        <v>309500</v>
      </c>
      <c r="BL128" s="108">
        <v>0</v>
      </c>
      <c r="BM128" s="108">
        <v>2.5</v>
      </c>
      <c r="BN128" s="108">
        <v>29</v>
      </c>
      <c r="BO128" s="108" t="s">
        <v>802</v>
      </c>
      <c r="BP128" s="106">
        <v>5.9999999999999995E-4</v>
      </c>
    </row>
    <row r="129" spans="14:68" ht="17" thickBot="1" x14ac:dyDescent="0.25">
      <c r="N129" s="94"/>
      <c r="O129" s="94"/>
      <c r="BE129" s="128">
        <v>128</v>
      </c>
      <c r="BF129" s="129" t="s">
        <v>832</v>
      </c>
      <c r="BG129" s="130">
        <v>4468087</v>
      </c>
      <c r="BH129" s="131">
        <v>1.35E-2</v>
      </c>
      <c r="BI129" s="132">
        <v>59506</v>
      </c>
      <c r="BJ129" s="133">
        <v>60</v>
      </c>
      <c r="BK129" s="132">
        <v>74340</v>
      </c>
      <c r="BL129" s="132">
        <v>7262</v>
      </c>
      <c r="BM129" s="133">
        <v>2.2999999999999998</v>
      </c>
      <c r="BN129" s="133">
        <v>29</v>
      </c>
      <c r="BO129" s="134">
        <v>0.7</v>
      </c>
      <c r="BP129" s="131">
        <v>5.9999999999999995E-4</v>
      </c>
    </row>
    <row r="130" spans="14:68" ht="17" thickBot="1" x14ac:dyDescent="0.25">
      <c r="N130" s="94"/>
      <c r="O130" s="94"/>
      <c r="BE130" s="143">
        <v>129</v>
      </c>
      <c r="BF130" s="144" t="s">
        <v>413</v>
      </c>
      <c r="BG130" s="105">
        <v>4310108</v>
      </c>
      <c r="BH130" s="106">
        <v>9.7000000000000003E-3</v>
      </c>
      <c r="BI130" s="107">
        <v>41235</v>
      </c>
      <c r="BJ130" s="108">
        <v>242</v>
      </c>
      <c r="BK130" s="107">
        <v>17820</v>
      </c>
      <c r="BL130" s="107">
        <v>11999</v>
      </c>
      <c r="BM130" s="108">
        <v>2.1</v>
      </c>
      <c r="BN130" s="108">
        <v>40</v>
      </c>
      <c r="BO130" s="108" t="s">
        <v>802</v>
      </c>
      <c r="BP130" s="106">
        <v>5.0000000000000001E-4</v>
      </c>
    </row>
    <row r="131" spans="14:68" ht="17" thickBot="1" x14ac:dyDescent="0.25">
      <c r="N131" s="94"/>
      <c r="O131" s="94"/>
      <c r="BE131" s="128">
        <v>130</v>
      </c>
      <c r="BF131" s="129" t="s">
        <v>833</v>
      </c>
      <c r="BG131" s="130">
        <v>4008617</v>
      </c>
      <c r="BH131" s="131">
        <v>-5.4000000000000003E-3</v>
      </c>
      <c r="BI131" s="132">
        <v>-21741</v>
      </c>
      <c r="BJ131" s="133">
        <v>72</v>
      </c>
      <c r="BK131" s="132">
        <v>55960</v>
      </c>
      <c r="BL131" s="132">
        <v>-2000</v>
      </c>
      <c r="BM131" s="133">
        <v>1.4</v>
      </c>
      <c r="BN131" s="133">
        <v>44</v>
      </c>
      <c r="BO131" s="134">
        <v>0.59</v>
      </c>
      <c r="BP131" s="131">
        <v>5.0000000000000001E-4</v>
      </c>
    </row>
    <row r="132" spans="14:68" ht="17" thickBot="1" x14ac:dyDescent="0.25">
      <c r="N132" s="94"/>
      <c r="O132" s="94"/>
      <c r="BE132" s="143">
        <v>131</v>
      </c>
      <c r="BF132" s="144" t="s">
        <v>285</v>
      </c>
      <c r="BG132" s="105">
        <v>3748901</v>
      </c>
      <c r="BH132" s="106">
        <v>1.7600000000000001E-2</v>
      </c>
      <c r="BI132" s="107">
        <v>64869</v>
      </c>
      <c r="BJ132" s="108">
        <v>37</v>
      </c>
      <c r="BK132" s="107">
        <v>101000</v>
      </c>
      <c r="BL132" s="107">
        <v>-15297</v>
      </c>
      <c r="BM132" s="108">
        <v>3.7</v>
      </c>
      <c r="BN132" s="108">
        <v>19</v>
      </c>
      <c r="BO132" s="109">
        <v>0.67</v>
      </c>
      <c r="BP132" s="106">
        <v>5.0000000000000001E-4</v>
      </c>
    </row>
    <row r="133" spans="14:68" ht="17" thickBot="1" x14ac:dyDescent="0.25">
      <c r="N133" s="94"/>
      <c r="O133" s="94"/>
      <c r="BE133" s="128">
        <v>132</v>
      </c>
      <c r="BF133" s="129" t="s">
        <v>311</v>
      </c>
      <c r="BG133" s="130">
        <v>3728282</v>
      </c>
      <c r="BH133" s="131">
        <v>-4.3E-3</v>
      </c>
      <c r="BI133" s="132">
        <v>-16103</v>
      </c>
      <c r="BJ133" s="133">
        <v>54</v>
      </c>
      <c r="BK133" s="132">
        <v>69490</v>
      </c>
      <c r="BL133" s="132">
        <v>-9999</v>
      </c>
      <c r="BM133" s="133">
        <v>2.1</v>
      </c>
      <c r="BN133" s="133">
        <v>37</v>
      </c>
      <c r="BO133" s="134">
        <v>0.63</v>
      </c>
      <c r="BP133" s="131">
        <v>5.0000000000000001E-4</v>
      </c>
    </row>
    <row r="134" spans="14:68" ht="17" thickBot="1" x14ac:dyDescent="0.25">
      <c r="N134" s="94"/>
      <c r="O134" s="94"/>
      <c r="BE134" s="143">
        <v>133</v>
      </c>
      <c r="BF134" s="144" t="s">
        <v>472</v>
      </c>
      <c r="BG134" s="105">
        <v>3447157</v>
      </c>
      <c r="BH134" s="106">
        <v>1.44E-2</v>
      </c>
      <c r="BI134" s="107">
        <v>48791</v>
      </c>
      <c r="BJ134" s="108">
        <v>2</v>
      </c>
      <c r="BK134" s="107">
        <v>1553560</v>
      </c>
      <c r="BL134" s="108">
        <v>-850</v>
      </c>
      <c r="BM134" s="108">
        <v>2.7</v>
      </c>
      <c r="BN134" s="108">
        <v>27</v>
      </c>
      <c r="BO134" s="109">
        <v>0.67</v>
      </c>
      <c r="BP134" s="106">
        <v>4.0000000000000002E-4</v>
      </c>
    </row>
    <row r="135" spans="14:68" ht="17" thickBot="1" x14ac:dyDescent="0.25">
      <c r="N135" s="94"/>
      <c r="O135" s="94"/>
      <c r="BE135" s="128">
        <v>134</v>
      </c>
      <c r="BF135" s="129" t="s">
        <v>834</v>
      </c>
      <c r="BG135" s="130">
        <v>3435931</v>
      </c>
      <c r="BH135" s="131">
        <v>4.9799999999999997E-2</v>
      </c>
      <c r="BI135" s="132">
        <v>162935</v>
      </c>
      <c r="BJ135" s="133">
        <v>105</v>
      </c>
      <c r="BK135" s="132">
        <v>32850</v>
      </c>
      <c r="BL135" s="132">
        <v>-125204</v>
      </c>
      <c r="BM135" s="133">
        <v>1.8</v>
      </c>
      <c r="BN135" s="133">
        <v>35</v>
      </c>
      <c r="BO135" s="134">
        <v>0.5</v>
      </c>
      <c r="BP135" s="131">
        <v>4.0000000000000002E-4</v>
      </c>
    </row>
    <row r="136" spans="14:68" ht="17" thickBot="1" x14ac:dyDescent="0.25">
      <c r="N136" s="94"/>
      <c r="O136" s="94"/>
      <c r="BE136" s="143">
        <v>135</v>
      </c>
      <c r="BF136" s="144" t="s">
        <v>835</v>
      </c>
      <c r="BG136" s="105">
        <v>3423108</v>
      </c>
      <c r="BH136" s="106">
        <v>1E-4</v>
      </c>
      <c r="BI136" s="108">
        <v>314</v>
      </c>
      <c r="BJ136" s="108">
        <v>20</v>
      </c>
      <c r="BK136" s="107">
        <v>175020</v>
      </c>
      <c r="BL136" s="107">
        <v>-1500</v>
      </c>
      <c r="BM136" s="108">
        <v>1.5</v>
      </c>
      <c r="BN136" s="108">
        <v>36</v>
      </c>
      <c r="BO136" s="109">
        <v>0.99</v>
      </c>
      <c r="BP136" s="106">
        <v>4.0000000000000002E-4</v>
      </c>
    </row>
    <row r="137" spans="14:68" ht="33" thickBot="1" x14ac:dyDescent="0.25">
      <c r="N137" s="94"/>
      <c r="O137" s="94"/>
      <c r="BE137" s="128">
        <v>136</v>
      </c>
      <c r="BF137" s="129" t="s">
        <v>836</v>
      </c>
      <c r="BG137" s="130">
        <v>3260314</v>
      </c>
      <c r="BH137" s="131">
        <v>2.3999999999999998E-3</v>
      </c>
      <c r="BI137" s="132">
        <v>7907</v>
      </c>
      <c r="BJ137" s="133">
        <v>368</v>
      </c>
      <c r="BK137" s="132">
        <v>8870</v>
      </c>
      <c r="BL137" s="132">
        <v>19835</v>
      </c>
      <c r="BM137" s="133">
        <v>1.3</v>
      </c>
      <c r="BN137" s="133">
        <v>44</v>
      </c>
      <c r="BO137" s="133" t="s">
        <v>802</v>
      </c>
      <c r="BP137" s="131">
        <v>4.0000000000000002E-4</v>
      </c>
    </row>
    <row r="138" spans="14:68" ht="65" thickBot="1" x14ac:dyDescent="0.25">
      <c r="N138" s="94"/>
      <c r="O138" s="94"/>
      <c r="BE138" s="143">
        <v>137</v>
      </c>
      <c r="BF138" s="144" t="s">
        <v>837</v>
      </c>
      <c r="BG138" s="105">
        <v>3210847</v>
      </c>
      <c r="BH138" s="106">
        <v>-7.0000000000000001E-3</v>
      </c>
      <c r="BI138" s="107">
        <v>-22679</v>
      </c>
      <c r="BJ138" s="108">
        <v>63</v>
      </c>
      <c r="BK138" s="107">
        <v>51000</v>
      </c>
      <c r="BL138" s="108">
        <v>-500</v>
      </c>
      <c r="BM138" s="108">
        <v>1.3</v>
      </c>
      <c r="BN138" s="108">
        <v>42</v>
      </c>
      <c r="BO138" s="109">
        <v>0.54</v>
      </c>
      <c r="BP138" s="106">
        <v>4.0000000000000002E-4</v>
      </c>
    </row>
    <row r="139" spans="14:68" ht="17" thickBot="1" x14ac:dyDescent="0.25">
      <c r="N139" s="94"/>
      <c r="O139" s="94"/>
      <c r="BE139" s="128">
        <v>138</v>
      </c>
      <c r="BF139" s="129" t="s">
        <v>838</v>
      </c>
      <c r="BG139" s="130">
        <v>2832439</v>
      </c>
      <c r="BH139" s="131">
        <v>-3.5000000000000001E-3</v>
      </c>
      <c r="BI139" s="132">
        <v>-9882</v>
      </c>
      <c r="BJ139" s="133">
        <v>103</v>
      </c>
      <c r="BK139" s="132">
        <v>27400</v>
      </c>
      <c r="BL139" s="132">
        <v>-8000</v>
      </c>
      <c r="BM139" s="133">
        <v>1.4</v>
      </c>
      <c r="BN139" s="133">
        <v>38</v>
      </c>
      <c r="BO139" s="134">
        <v>0.67</v>
      </c>
      <c r="BP139" s="131">
        <v>4.0000000000000002E-4</v>
      </c>
    </row>
    <row r="140" spans="14:68" ht="17" thickBot="1" x14ac:dyDescent="0.25">
      <c r="N140" s="94"/>
      <c r="O140" s="94"/>
      <c r="BE140" s="143">
        <v>139</v>
      </c>
      <c r="BF140" s="144" t="s">
        <v>839</v>
      </c>
      <c r="BG140" s="105">
        <v>2825544</v>
      </c>
      <c r="BH140" s="106">
        <v>-5.9999999999999995E-4</v>
      </c>
      <c r="BI140" s="107">
        <v>-1833</v>
      </c>
      <c r="BJ140" s="108">
        <v>261</v>
      </c>
      <c r="BK140" s="107">
        <v>10830</v>
      </c>
      <c r="BL140" s="107">
        <v>-10999</v>
      </c>
      <c r="BM140" s="108">
        <v>1.3</v>
      </c>
      <c r="BN140" s="108">
        <v>32</v>
      </c>
      <c r="BO140" s="109">
        <v>0.59</v>
      </c>
      <c r="BP140" s="106">
        <v>4.0000000000000002E-4</v>
      </c>
    </row>
    <row r="141" spans="14:68" ht="17" thickBot="1" x14ac:dyDescent="0.25">
      <c r="N141" s="94"/>
      <c r="O141" s="94"/>
      <c r="BE141" s="128">
        <v>140</v>
      </c>
      <c r="BF141" s="129" t="s">
        <v>87</v>
      </c>
      <c r="BG141" s="130">
        <v>2777970</v>
      </c>
      <c r="BH141" s="131">
        <v>-8.9999999999999998E-4</v>
      </c>
      <c r="BI141" s="132">
        <v>-2499</v>
      </c>
      <c r="BJ141" s="133">
        <v>98</v>
      </c>
      <c r="BK141" s="132">
        <v>28470</v>
      </c>
      <c r="BL141" s="132">
        <v>-5000</v>
      </c>
      <c r="BM141" s="133">
        <v>1.6</v>
      </c>
      <c r="BN141" s="133">
        <v>35</v>
      </c>
      <c r="BO141" s="134">
        <v>0.67</v>
      </c>
      <c r="BP141" s="131">
        <v>2.9999999999999997E-4</v>
      </c>
    </row>
    <row r="142" spans="14:68" ht="17" thickBot="1" x14ac:dyDescent="0.25">
      <c r="N142" s="94"/>
      <c r="O142" s="94"/>
      <c r="BE142" s="143">
        <v>141</v>
      </c>
      <c r="BF142" s="144" t="s">
        <v>306</v>
      </c>
      <c r="BG142" s="105">
        <v>2773168</v>
      </c>
      <c r="BH142" s="106">
        <v>2.4799999999999999E-2</v>
      </c>
      <c r="BI142" s="107">
        <v>67176</v>
      </c>
      <c r="BJ142" s="108">
        <v>274</v>
      </c>
      <c r="BK142" s="107">
        <v>10120</v>
      </c>
      <c r="BL142" s="107">
        <v>-3000</v>
      </c>
      <c r="BM142" s="108">
        <v>4.5</v>
      </c>
      <c r="BN142" s="108">
        <v>17</v>
      </c>
      <c r="BO142" s="109">
        <v>0.57999999999999996</v>
      </c>
      <c r="BP142" s="106">
        <v>2.9999999999999997E-4</v>
      </c>
    </row>
    <row r="143" spans="14:68" ht="17" thickBot="1" x14ac:dyDescent="0.25">
      <c r="N143" s="94"/>
      <c r="O143" s="94"/>
      <c r="BE143" s="128">
        <v>142</v>
      </c>
      <c r="BF143" s="129" t="s">
        <v>840</v>
      </c>
      <c r="BG143" s="130">
        <v>2718352</v>
      </c>
      <c r="BH143" s="131">
        <v>-1.15E-2</v>
      </c>
      <c r="BI143" s="132">
        <v>-31703</v>
      </c>
      <c r="BJ143" s="133">
        <v>43</v>
      </c>
      <c r="BK143" s="132">
        <v>62674</v>
      </c>
      <c r="BL143" s="132">
        <v>-13128</v>
      </c>
      <c r="BM143" s="133">
        <v>1.6</v>
      </c>
      <c r="BN143" s="133">
        <v>44</v>
      </c>
      <c r="BO143" s="134">
        <v>0.71</v>
      </c>
      <c r="BP143" s="131">
        <v>2.9999999999999997E-4</v>
      </c>
    </row>
    <row r="144" spans="14:68" ht="17" thickBot="1" x14ac:dyDescent="0.25">
      <c r="N144" s="94"/>
      <c r="O144" s="94"/>
      <c r="BE144" s="143">
        <v>143</v>
      </c>
      <c r="BF144" s="144" t="s">
        <v>561</v>
      </c>
      <c r="BG144" s="105">
        <v>2716391</v>
      </c>
      <c r="BH144" s="106">
        <v>7.9000000000000008E-3</v>
      </c>
      <c r="BI144" s="107">
        <v>21269</v>
      </c>
      <c r="BJ144" s="108">
        <v>234</v>
      </c>
      <c r="BK144" s="107">
        <v>11610</v>
      </c>
      <c r="BL144" s="108">
        <v>0</v>
      </c>
      <c r="BM144" s="108">
        <v>1.8</v>
      </c>
      <c r="BN144" s="108">
        <v>34</v>
      </c>
      <c r="BO144" s="108" t="s">
        <v>802</v>
      </c>
      <c r="BP144" s="106">
        <v>2.9999999999999997E-4</v>
      </c>
    </row>
    <row r="145" spans="14:68" ht="17" thickBot="1" x14ac:dyDescent="0.25">
      <c r="N145" s="94"/>
      <c r="O145" s="94"/>
      <c r="BE145" s="128">
        <v>144</v>
      </c>
      <c r="BF145" s="129" t="s">
        <v>152</v>
      </c>
      <c r="BG145" s="130">
        <v>2675352</v>
      </c>
      <c r="BH145" s="131">
        <v>1.7100000000000001E-2</v>
      </c>
      <c r="BI145" s="132">
        <v>45056</v>
      </c>
      <c r="BJ145" s="133">
        <v>5</v>
      </c>
      <c r="BK145" s="132">
        <v>566730</v>
      </c>
      <c r="BL145" s="132">
        <v>3000</v>
      </c>
      <c r="BM145" s="133">
        <v>2.7</v>
      </c>
      <c r="BN145" s="133">
        <v>24</v>
      </c>
      <c r="BO145" s="134">
        <v>0.69</v>
      </c>
      <c r="BP145" s="131">
        <v>2.9999999999999997E-4</v>
      </c>
    </row>
    <row r="146" spans="14:68" ht="17" thickBot="1" x14ac:dyDescent="0.25">
      <c r="N146" s="94"/>
      <c r="O146" s="94"/>
      <c r="BE146" s="143">
        <v>145</v>
      </c>
      <c r="BF146" s="144" t="s">
        <v>498</v>
      </c>
      <c r="BG146" s="105">
        <v>2604172</v>
      </c>
      <c r="BH146" s="106">
        <v>1.4500000000000001E-2</v>
      </c>
      <c r="BI146" s="107">
        <v>37160</v>
      </c>
      <c r="BJ146" s="108">
        <v>3</v>
      </c>
      <c r="BK146" s="107">
        <v>823290</v>
      </c>
      <c r="BL146" s="107">
        <v>-3916</v>
      </c>
      <c r="BM146" s="108">
        <v>3.2</v>
      </c>
      <c r="BN146" s="108">
        <v>21</v>
      </c>
      <c r="BO146" s="109">
        <v>0.6</v>
      </c>
      <c r="BP146" s="106">
        <v>2.9999999999999997E-4</v>
      </c>
    </row>
    <row r="147" spans="14:68" ht="17" thickBot="1" x14ac:dyDescent="0.25">
      <c r="N147" s="94"/>
      <c r="O147" s="94"/>
      <c r="BE147" s="128">
        <v>146</v>
      </c>
      <c r="BF147" s="129" t="s">
        <v>301</v>
      </c>
      <c r="BG147" s="130">
        <v>2436566</v>
      </c>
      <c r="BH147" s="131">
        <v>1.9900000000000001E-2</v>
      </c>
      <c r="BI147" s="132">
        <v>47574</v>
      </c>
      <c r="BJ147" s="133">
        <v>9</v>
      </c>
      <c r="BK147" s="132">
        <v>257670</v>
      </c>
      <c r="BL147" s="132">
        <v>1000</v>
      </c>
      <c r="BM147" s="133">
        <v>3.4</v>
      </c>
      <c r="BN147" s="133">
        <v>22</v>
      </c>
      <c r="BO147" s="134">
        <v>0.85</v>
      </c>
      <c r="BP147" s="131">
        <v>2.9999999999999997E-4</v>
      </c>
    </row>
    <row r="148" spans="14:68" ht="17" thickBot="1" x14ac:dyDescent="0.25">
      <c r="N148" s="94"/>
      <c r="O148" s="94"/>
      <c r="BE148" s="143">
        <v>147</v>
      </c>
      <c r="BF148" s="144" t="s">
        <v>432</v>
      </c>
      <c r="BG148" s="105">
        <v>2330318</v>
      </c>
      <c r="BH148" s="106">
        <v>1.06E-2</v>
      </c>
      <c r="BI148" s="107">
        <v>24493</v>
      </c>
      <c r="BJ148" s="108">
        <v>77</v>
      </c>
      <c r="BK148" s="107">
        <v>30360</v>
      </c>
      <c r="BL148" s="107">
        <v>-4000</v>
      </c>
      <c r="BM148" s="108">
        <v>2.9</v>
      </c>
      <c r="BN148" s="108">
        <v>22</v>
      </c>
      <c r="BO148" s="109">
        <v>0.31</v>
      </c>
      <c r="BP148" s="106">
        <v>2.9999999999999997E-4</v>
      </c>
    </row>
    <row r="149" spans="14:68" ht="33" thickBot="1" x14ac:dyDescent="0.25">
      <c r="N149" s="94"/>
      <c r="O149" s="94"/>
      <c r="BE149" s="128">
        <v>148</v>
      </c>
      <c r="BF149" s="129" t="s">
        <v>333</v>
      </c>
      <c r="BG149" s="130">
        <v>2150842</v>
      </c>
      <c r="BH149" s="131">
        <v>2.1499999999999998E-2</v>
      </c>
      <c r="BI149" s="132">
        <v>45276</v>
      </c>
      <c r="BJ149" s="133">
        <v>76</v>
      </c>
      <c r="BK149" s="132">
        <v>28120</v>
      </c>
      <c r="BL149" s="132">
        <v>-1400</v>
      </c>
      <c r="BM149" s="133">
        <v>3.8</v>
      </c>
      <c r="BN149" s="133">
        <v>19</v>
      </c>
      <c r="BO149" s="134">
        <v>0.45</v>
      </c>
      <c r="BP149" s="131">
        <v>2.9999999999999997E-4</v>
      </c>
    </row>
    <row r="150" spans="14:68" ht="17" thickBot="1" x14ac:dyDescent="0.25">
      <c r="N150" s="94"/>
      <c r="O150" s="94"/>
      <c r="BE150" s="143">
        <v>149</v>
      </c>
      <c r="BF150" s="144" t="s">
        <v>841</v>
      </c>
      <c r="BG150" s="105">
        <v>2119675</v>
      </c>
      <c r="BH150" s="106">
        <v>-1E-4</v>
      </c>
      <c r="BI150" s="108">
        <v>-169</v>
      </c>
      <c r="BJ150" s="108">
        <v>105</v>
      </c>
      <c r="BK150" s="107">
        <v>20140</v>
      </c>
      <c r="BL150" s="107">
        <v>2000</v>
      </c>
      <c r="BM150" s="108">
        <v>1.6</v>
      </c>
      <c r="BN150" s="108">
        <v>44</v>
      </c>
      <c r="BO150" s="109">
        <v>0.55000000000000004</v>
      </c>
      <c r="BP150" s="106">
        <v>2.9999999999999997E-4</v>
      </c>
    </row>
    <row r="151" spans="14:68" ht="49" thickBot="1" x14ac:dyDescent="0.25">
      <c r="N151" s="94"/>
      <c r="O151" s="94"/>
      <c r="BE151" s="128">
        <v>150</v>
      </c>
      <c r="BF151" s="129" t="s">
        <v>842</v>
      </c>
      <c r="BG151" s="130">
        <v>2085679</v>
      </c>
      <c r="BH151" s="131">
        <v>-3.8E-3</v>
      </c>
      <c r="BI151" s="132">
        <v>-7920</v>
      </c>
      <c r="BJ151" s="133">
        <v>83</v>
      </c>
      <c r="BK151" s="132">
        <v>25220</v>
      </c>
      <c r="BL151" s="132">
        <v>-1000</v>
      </c>
      <c r="BM151" s="133">
        <v>1.4</v>
      </c>
      <c r="BN151" s="133">
        <v>39</v>
      </c>
      <c r="BO151" s="134">
        <v>0.6</v>
      </c>
      <c r="BP151" s="131">
        <v>2.9999999999999997E-4</v>
      </c>
    </row>
    <row r="152" spans="14:68" ht="17" thickBot="1" x14ac:dyDescent="0.25">
      <c r="N152" s="94"/>
      <c r="O152" s="94"/>
      <c r="BE152" s="143">
        <v>151</v>
      </c>
      <c r="BF152" s="144" t="s">
        <v>843</v>
      </c>
      <c r="BG152" s="105">
        <v>1830211</v>
      </c>
      <c r="BH152" s="106">
        <v>-1.0999999999999999E-2</v>
      </c>
      <c r="BI152" s="107">
        <v>-20440</v>
      </c>
      <c r="BJ152" s="108">
        <v>29</v>
      </c>
      <c r="BK152" s="107">
        <v>62200</v>
      </c>
      <c r="BL152" s="107">
        <v>-7630</v>
      </c>
      <c r="BM152" s="108">
        <v>1.6</v>
      </c>
      <c r="BN152" s="108">
        <v>44</v>
      </c>
      <c r="BO152" s="109">
        <v>0.69</v>
      </c>
      <c r="BP152" s="106">
        <v>2.0000000000000001E-4</v>
      </c>
    </row>
    <row r="153" spans="14:68" ht="33" thickBot="1" x14ac:dyDescent="0.25">
      <c r="N153" s="94"/>
      <c r="O153" s="94"/>
      <c r="BE153" s="128">
        <v>152</v>
      </c>
      <c r="BF153" s="129" t="s">
        <v>278</v>
      </c>
      <c r="BG153" s="130">
        <v>1714671</v>
      </c>
      <c r="BH153" s="131">
        <v>2.3699999999999999E-2</v>
      </c>
      <c r="BI153" s="132">
        <v>39763</v>
      </c>
      <c r="BJ153" s="133">
        <v>61</v>
      </c>
      <c r="BK153" s="132">
        <v>28050</v>
      </c>
      <c r="BL153" s="132">
        <v>4000</v>
      </c>
      <c r="BM153" s="133">
        <v>4.0999999999999996</v>
      </c>
      <c r="BN153" s="133">
        <v>21</v>
      </c>
      <c r="BO153" s="134">
        <v>0.67</v>
      </c>
      <c r="BP153" s="131">
        <v>2.0000000000000001E-4</v>
      </c>
    </row>
    <row r="154" spans="14:68" ht="49" thickBot="1" x14ac:dyDescent="0.25">
      <c r="N154" s="94"/>
      <c r="O154" s="94"/>
      <c r="BE154" s="143">
        <v>153</v>
      </c>
      <c r="BF154" s="144" t="s">
        <v>844</v>
      </c>
      <c r="BG154" s="105">
        <v>1534937</v>
      </c>
      <c r="BH154" s="106">
        <v>2.5000000000000001E-3</v>
      </c>
      <c r="BI154" s="107">
        <v>3893</v>
      </c>
      <c r="BJ154" s="108">
        <v>299</v>
      </c>
      <c r="BK154" s="107">
        <v>5130</v>
      </c>
      <c r="BL154" s="108">
        <v>-800</v>
      </c>
      <c r="BM154" s="108">
        <v>1.6</v>
      </c>
      <c r="BN154" s="108">
        <v>36</v>
      </c>
      <c r="BO154" s="109">
        <v>0.48</v>
      </c>
      <c r="BP154" s="106">
        <v>2.0000000000000001E-4</v>
      </c>
    </row>
    <row r="155" spans="14:68" ht="17" thickBot="1" x14ac:dyDescent="0.25">
      <c r="N155" s="94"/>
      <c r="O155" s="94"/>
      <c r="BE155" s="128">
        <v>154</v>
      </c>
      <c r="BF155" s="129" t="s">
        <v>103</v>
      </c>
      <c r="BG155" s="130">
        <v>1485509</v>
      </c>
      <c r="BH155" s="131">
        <v>8.9999999999999993E-3</v>
      </c>
      <c r="BI155" s="132">
        <v>13276</v>
      </c>
      <c r="BJ155" s="132">
        <v>1955</v>
      </c>
      <c r="BK155" s="133">
        <v>760</v>
      </c>
      <c r="BL155" s="133">
        <v>0</v>
      </c>
      <c r="BM155" s="133">
        <v>1.8</v>
      </c>
      <c r="BN155" s="133">
        <v>34</v>
      </c>
      <c r="BO155" s="133" t="s">
        <v>802</v>
      </c>
      <c r="BP155" s="131">
        <v>2.0000000000000001E-4</v>
      </c>
    </row>
    <row r="156" spans="14:68" ht="33" thickBot="1" x14ac:dyDescent="0.25">
      <c r="N156" s="94"/>
      <c r="O156" s="94"/>
      <c r="BE156" s="143">
        <v>155</v>
      </c>
      <c r="BF156" s="144" t="s">
        <v>845</v>
      </c>
      <c r="BG156" s="105">
        <v>1360596</v>
      </c>
      <c r="BH156" s="106">
        <v>1.44E-2</v>
      </c>
      <c r="BI156" s="107">
        <v>19300</v>
      </c>
      <c r="BJ156" s="108">
        <v>91</v>
      </c>
      <c r="BK156" s="107">
        <v>14870</v>
      </c>
      <c r="BL156" s="107">
        <v>-5000</v>
      </c>
      <c r="BM156" s="108">
        <v>3</v>
      </c>
      <c r="BN156" s="108">
        <v>21</v>
      </c>
      <c r="BO156" s="109">
        <v>0.35</v>
      </c>
      <c r="BP156" s="106">
        <v>2.0000000000000001E-4</v>
      </c>
    </row>
    <row r="157" spans="14:68" ht="17" thickBot="1" x14ac:dyDescent="0.25">
      <c r="N157" s="94"/>
      <c r="O157" s="94"/>
      <c r="BE157" s="128">
        <v>156</v>
      </c>
      <c r="BF157" s="129" t="s">
        <v>846</v>
      </c>
      <c r="BG157" s="130">
        <v>1322765</v>
      </c>
      <c r="BH157" s="131">
        <v>-2.5000000000000001E-3</v>
      </c>
      <c r="BI157" s="132">
        <v>-3297</v>
      </c>
      <c r="BJ157" s="133">
        <v>31</v>
      </c>
      <c r="BK157" s="132">
        <v>42390</v>
      </c>
      <c r="BL157" s="132">
        <v>-1000</v>
      </c>
      <c r="BM157" s="133">
        <v>1.7</v>
      </c>
      <c r="BN157" s="133">
        <v>42</v>
      </c>
      <c r="BO157" s="134">
        <v>0.68</v>
      </c>
      <c r="BP157" s="131">
        <v>2.0000000000000001E-4</v>
      </c>
    </row>
    <row r="158" spans="14:68" ht="17" thickBot="1" x14ac:dyDescent="0.25">
      <c r="N158" s="94"/>
      <c r="O158" s="94"/>
      <c r="BE158" s="143">
        <v>157</v>
      </c>
      <c r="BF158" s="144" t="s">
        <v>847</v>
      </c>
      <c r="BG158" s="105">
        <v>1300557</v>
      </c>
      <c r="BH158" s="106">
        <v>8.0000000000000004E-4</v>
      </c>
      <c r="BI158" s="107">
        <v>1088</v>
      </c>
      <c r="BJ158" s="108">
        <v>641</v>
      </c>
      <c r="BK158" s="107">
        <v>2030</v>
      </c>
      <c r="BL158" s="108">
        <v>0</v>
      </c>
      <c r="BM158" s="108">
        <v>1.4</v>
      </c>
      <c r="BN158" s="108">
        <v>37</v>
      </c>
      <c r="BO158" s="109">
        <v>0.4</v>
      </c>
      <c r="BP158" s="106">
        <v>2.0000000000000001E-4</v>
      </c>
    </row>
    <row r="159" spans="14:68" ht="17" thickBot="1" x14ac:dyDescent="0.25">
      <c r="N159" s="94"/>
      <c r="O159" s="94"/>
      <c r="BE159" s="128">
        <v>158</v>
      </c>
      <c r="BF159" s="129" t="s">
        <v>848</v>
      </c>
      <c r="BG159" s="130">
        <v>1260138</v>
      </c>
      <c r="BH159" s="131">
        <v>6.8999999999999999E-3</v>
      </c>
      <c r="BI159" s="132">
        <v>8650</v>
      </c>
      <c r="BJ159" s="133">
        <v>136</v>
      </c>
      <c r="BK159" s="132">
        <v>9240</v>
      </c>
      <c r="BL159" s="132">
        <v>5000</v>
      </c>
      <c r="BM159" s="133">
        <v>1.3</v>
      </c>
      <c r="BN159" s="133">
        <v>39</v>
      </c>
      <c r="BO159" s="134">
        <v>0.65</v>
      </c>
      <c r="BP159" s="131">
        <v>2.0000000000000001E-4</v>
      </c>
    </row>
    <row r="160" spans="14:68" ht="17" thickBot="1" x14ac:dyDescent="0.25">
      <c r="N160" s="94"/>
      <c r="O160" s="94"/>
      <c r="BE160" s="143">
        <v>159</v>
      </c>
      <c r="BF160" s="144" t="s">
        <v>291</v>
      </c>
      <c r="BG160" s="105">
        <v>1210822</v>
      </c>
      <c r="BH160" s="106">
        <v>7.6E-3</v>
      </c>
      <c r="BI160" s="107">
        <v>9152</v>
      </c>
      <c r="BJ160" s="108">
        <v>70</v>
      </c>
      <c r="BK160" s="107">
        <v>17200</v>
      </c>
      <c r="BL160" s="107">
        <v>-5268</v>
      </c>
      <c r="BM160" s="108">
        <v>2.8</v>
      </c>
      <c r="BN160" s="108">
        <v>22</v>
      </c>
      <c r="BO160" s="109">
        <v>0.31</v>
      </c>
      <c r="BP160" s="106">
        <v>2.0000000000000001E-4</v>
      </c>
    </row>
    <row r="161" spans="14:68" ht="17" thickBot="1" x14ac:dyDescent="0.25">
      <c r="N161" s="94"/>
      <c r="O161" s="94"/>
      <c r="BE161" s="128">
        <v>160</v>
      </c>
      <c r="BF161" s="129" t="s">
        <v>243</v>
      </c>
      <c r="BG161" s="130">
        <v>1136455</v>
      </c>
      <c r="BH161" s="131">
        <v>1.3899999999999999E-2</v>
      </c>
      <c r="BI161" s="132">
        <v>15606</v>
      </c>
      <c r="BJ161" s="133">
        <v>49</v>
      </c>
      <c r="BK161" s="132">
        <v>23180</v>
      </c>
      <c r="BL161" s="133">
        <v>900</v>
      </c>
      <c r="BM161" s="133">
        <v>2.7</v>
      </c>
      <c r="BN161" s="133">
        <v>24</v>
      </c>
      <c r="BO161" s="134">
        <v>0.72</v>
      </c>
      <c r="BP161" s="131">
        <v>1E-4</v>
      </c>
    </row>
    <row r="162" spans="14:68" ht="17" thickBot="1" x14ac:dyDescent="0.25">
      <c r="N162" s="94"/>
      <c r="O162" s="94"/>
      <c r="BE162" s="143">
        <v>161</v>
      </c>
      <c r="BF162" s="144" t="s">
        <v>849</v>
      </c>
      <c r="BG162" s="105">
        <v>981796</v>
      </c>
      <c r="BH162" s="106">
        <v>8.0000000000000002E-3</v>
      </c>
      <c r="BI162" s="107">
        <v>7744</v>
      </c>
      <c r="BJ162" s="108">
        <v>393</v>
      </c>
      <c r="BK162" s="107">
        <v>2500</v>
      </c>
      <c r="BL162" s="108">
        <v>-630</v>
      </c>
      <c r="BM162" s="108">
        <v>2.2000000000000002</v>
      </c>
      <c r="BN162" s="108">
        <v>34</v>
      </c>
      <c r="BO162" s="109">
        <v>0.93</v>
      </c>
      <c r="BP162" s="106">
        <v>1E-4</v>
      </c>
    </row>
    <row r="163" spans="14:68" ht="17" thickBot="1" x14ac:dyDescent="0.25">
      <c r="N163" s="94"/>
      <c r="O163" s="94"/>
      <c r="BE163" s="128">
        <v>162</v>
      </c>
      <c r="BF163" s="129" t="s">
        <v>850</v>
      </c>
      <c r="BG163" s="130">
        <v>936375</v>
      </c>
      <c r="BH163" s="131">
        <v>7.1000000000000004E-3</v>
      </c>
      <c r="BI163" s="132">
        <v>6609</v>
      </c>
      <c r="BJ163" s="133">
        <v>51</v>
      </c>
      <c r="BK163" s="132">
        <v>18270</v>
      </c>
      <c r="BL163" s="132">
        <v>-3289</v>
      </c>
      <c r="BM163" s="133">
        <v>2.4</v>
      </c>
      <c r="BN163" s="133">
        <v>27</v>
      </c>
      <c r="BO163" s="134">
        <v>0.59</v>
      </c>
      <c r="BP163" s="131">
        <v>1E-4</v>
      </c>
    </row>
    <row r="164" spans="14:68" ht="17" thickBot="1" x14ac:dyDescent="0.25">
      <c r="N164" s="94"/>
      <c r="O164" s="94"/>
      <c r="BE164" s="143">
        <v>163</v>
      </c>
      <c r="BF164" s="144" t="s">
        <v>851</v>
      </c>
      <c r="BG164" s="105">
        <v>852075</v>
      </c>
      <c r="BH164" s="106">
        <v>1.83E-2</v>
      </c>
      <c r="BI164" s="107">
        <v>15301</v>
      </c>
      <c r="BJ164" s="108">
        <v>458</v>
      </c>
      <c r="BK164" s="107">
        <v>1861</v>
      </c>
      <c r="BL164" s="107">
        <v>-2000</v>
      </c>
      <c r="BM164" s="108">
        <v>3.8</v>
      </c>
      <c r="BN164" s="108">
        <v>20</v>
      </c>
      <c r="BO164" s="109">
        <v>0.33</v>
      </c>
      <c r="BP164" s="106">
        <v>1E-4</v>
      </c>
    </row>
    <row r="165" spans="14:68" ht="17" thickBot="1" x14ac:dyDescent="0.25">
      <c r="N165" s="94"/>
      <c r="O165" s="94"/>
      <c r="BE165" s="128">
        <v>164</v>
      </c>
      <c r="BF165" s="129" t="s">
        <v>852</v>
      </c>
      <c r="BG165" s="130">
        <v>813834</v>
      </c>
      <c r="BH165" s="131">
        <v>6.3E-3</v>
      </c>
      <c r="BI165" s="132">
        <v>5108</v>
      </c>
      <c r="BJ165" s="133">
        <v>4</v>
      </c>
      <c r="BK165" s="132">
        <v>196850</v>
      </c>
      <c r="BL165" s="132">
        <v>-3900</v>
      </c>
      <c r="BM165" s="133">
        <v>2.2999999999999998</v>
      </c>
      <c r="BN165" s="133">
        <v>26</v>
      </c>
      <c r="BO165" s="134">
        <v>0.27</v>
      </c>
      <c r="BP165" s="131">
        <v>1E-4</v>
      </c>
    </row>
    <row r="166" spans="14:68" ht="17" thickBot="1" x14ac:dyDescent="0.25">
      <c r="N166" s="94"/>
      <c r="O166" s="94"/>
      <c r="BE166" s="143">
        <v>165</v>
      </c>
      <c r="BF166" s="144" t="s">
        <v>133</v>
      </c>
      <c r="BG166" s="105">
        <v>787424</v>
      </c>
      <c r="BH166" s="106">
        <v>6.4000000000000003E-3</v>
      </c>
      <c r="BI166" s="107">
        <v>4969</v>
      </c>
      <c r="BJ166" s="108">
        <v>21</v>
      </c>
      <c r="BK166" s="107">
        <v>38117</v>
      </c>
      <c r="BL166" s="108">
        <v>300</v>
      </c>
      <c r="BM166" s="108">
        <v>1.4</v>
      </c>
      <c r="BN166" s="108">
        <v>29</v>
      </c>
      <c r="BO166" s="109">
        <v>0.49</v>
      </c>
      <c r="BP166" s="106">
        <v>1E-4</v>
      </c>
    </row>
    <row r="167" spans="14:68" ht="33" thickBot="1" x14ac:dyDescent="0.25">
      <c r="N167" s="94"/>
      <c r="O167" s="94"/>
      <c r="BE167" s="128">
        <v>166</v>
      </c>
      <c r="BF167" s="129" t="s">
        <v>853</v>
      </c>
      <c r="BG167" s="130">
        <v>740424</v>
      </c>
      <c r="BH167" s="131">
        <v>2.23E-2</v>
      </c>
      <c r="BI167" s="132">
        <v>16151</v>
      </c>
      <c r="BJ167" s="133">
        <v>26</v>
      </c>
      <c r="BK167" s="132">
        <v>27990</v>
      </c>
      <c r="BL167" s="132">
        <v>-1600</v>
      </c>
      <c r="BM167" s="133">
        <v>3.9</v>
      </c>
      <c r="BN167" s="133">
        <v>19</v>
      </c>
      <c r="BO167" s="134">
        <v>0.24</v>
      </c>
      <c r="BP167" s="131">
        <v>1E-4</v>
      </c>
    </row>
    <row r="168" spans="14:68" ht="17" thickBot="1" x14ac:dyDescent="0.25">
      <c r="N168" s="94"/>
      <c r="O168" s="94"/>
      <c r="BE168" s="143">
        <v>167</v>
      </c>
      <c r="BF168" s="144" t="s">
        <v>854</v>
      </c>
      <c r="BG168" s="105">
        <v>704149</v>
      </c>
      <c r="BH168" s="106">
        <v>1.29E-2</v>
      </c>
      <c r="BI168" s="107">
        <v>8981</v>
      </c>
      <c r="BJ168" s="107">
        <v>23472</v>
      </c>
      <c r="BK168" s="108">
        <v>30</v>
      </c>
      <c r="BL168" s="107">
        <v>5000</v>
      </c>
      <c r="BM168" s="108">
        <v>1.1000000000000001</v>
      </c>
      <c r="BN168" s="108">
        <v>39</v>
      </c>
      <c r="BO168" s="109">
        <v>0.97</v>
      </c>
      <c r="BP168" s="106">
        <v>1E-4</v>
      </c>
    </row>
    <row r="169" spans="14:68" ht="33" thickBot="1" x14ac:dyDescent="0.25">
      <c r="N169" s="94"/>
      <c r="O169" s="94"/>
      <c r="BE169" s="128">
        <v>168</v>
      </c>
      <c r="BF169" s="129" t="s">
        <v>855</v>
      </c>
      <c r="BG169" s="130">
        <v>654768</v>
      </c>
      <c r="BH169" s="131">
        <v>1.11E-2</v>
      </c>
      <c r="BI169" s="132">
        <v>7169</v>
      </c>
      <c r="BJ169" s="133">
        <v>253</v>
      </c>
      <c r="BK169" s="132">
        <v>2590</v>
      </c>
      <c r="BL169" s="132">
        <v>4883</v>
      </c>
      <c r="BM169" s="133">
        <v>1.4</v>
      </c>
      <c r="BN169" s="133">
        <v>39</v>
      </c>
      <c r="BO169" s="134">
        <v>0.88</v>
      </c>
      <c r="BP169" s="131">
        <v>1E-4</v>
      </c>
    </row>
    <row r="170" spans="14:68" ht="33" thickBot="1" x14ac:dyDescent="0.25">
      <c r="N170" s="94"/>
      <c r="O170" s="94"/>
      <c r="BE170" s="143">
        <v>169</v>
      </c>
      <c r="BF170" s="144" t="s">
        <v>856</v>
      </c>
      <c r="BG170" s="105">
        <v>626485</v>
      </c>
      <c r="BH170" s="106">
        <v>-1E-3</v>
      </c>
      <c r="BI170" s="108">
        <v>-597</v>
      </c>
      <c r="BJ170" s="108">
        <v>47</v>
      </c>
      <c r="BK170" s="107">
        <v>13450</v>
      </c>
      <c r="BL170" s="108">
        <v>-480</v>
      </c>
      <c r="BM170" s="108">
        <v>1.7</v>
      </c>
      <c r="BN170" s="108">
        <v>39</v>
      </c>
      <c r="BO170" s="109">
        <v>0.69</v>
      </c>
      <c r="BP170" s="106">
        <v>1E-4</v>
      </c>
    </row>
    <row r="171" spans="14:68" ht="17" thickBot="1" x14ac:dyDescent="0.25">
      <c r="N171" s="94"/>
      <c r="O171" s="94"/>
      <c r="BE171" s="128">
        <v>170</v>
      </c>
      <c r="BF171" s="129" t="s">
        <v>857</v>
      </c>
      <c r="BG171" s="130">
        <v>623236</v>
      </c>
      <c r="BH171" s="131">
        <v>8.3999999999999995E-3</v>
      </c>
      <c r="BI171" s="132">
        <v>5196</v>
      </c>
      <c r="BJ171" s="133">
        <v>4</v>
      </c>
      <c r="BK171" s="132">
        <v>156000</v>
      </c>
      <c r="BL171" s="132">
        <v>-1000</v>
      </c>
      <c r="BM171" s="133">
        <v>2.2999999999999998</v>
      </c>
      <c r="BN171" s="133">
        <v>28</v>
      </c>
      <c r="BO171" s="134">
        <v>0.63</v>
      </c>
      <c r="BP171" s="131">
        <v>1E-4</v>
      </c>
    </row>
    <row r="172" spans="14:68" ht="33" thickBot="1" x14ac:dyDescent="0.25">
      <c r="N172" s="94"/>
      <c r="O172" s="94"/>
      <c r="BE172" s="143">
        <v>171</v>
      </c>
      <c r="BF172" s="144" t="s">
        <v>858</v>
      </c>
      <c r="BG172" s="105">
        <v>598682</v>
      </c>
      <c r="BH172" s="106">
        <v>9.2999999999999992E-3</v>
      </c>
      <c r="BI172" s="107">
        <v>5533</v>
      </c>
      <c r="BJ172" s="108">
        <v>149</v>
      </c>
      <c r="BK172" s="107">
        <v>4030</v>
      </c>
      <c r="BL172" s="107">
        <v>-1227</v>
      </c>
      <c r="BM172" s="108">
        <v>1.9</v>
      </c>
      <c r="BN172" s="108">
        <v>27</v>
      </c>
      <c r="BO172" s="109">
        <v>0.67</v>
      </c>
      <c r="BP172" s="106">
        <v>1E-4</v>
      </c>
    </row>
    <row r="173" spans="14:68" ht="33" thickBot="1" x14ac:dyDescent="0.25">
      <c r="N173" s="94"/>
      <c r="O173" s="94"/>
      <c r="BE173" s="128">
        <v>172</v>
      </c>
      <c r="BF173" s="129" t="s">
        <v>859</v>
      </c>
      <c r="BG173" s="130">
        <v>587259</v>
      </c>
      <c r="BH173" s="131">
        <v>1.9599999999999999E-2</v>
      </c>
      <c r="BI173" s="132">
        <v>11273</v>
      </c>
      <c r="BJ173" s="133">
        <v>2</v>
      </c>
      <c r="BK173" s="132">
        <v>266000</v>
      </c>
      <c r="BL173" s="132">
        <v>5600</v>
      </c>
      <c r="BM173" s="133">
        <v>2.2000000000000002</v>
      </c>
      <c r="BN173" s="133">
        <v>32</v>
      </c>
      <c r="BO173" s="134">
        <v>0.95</v>
      </c>
      <c r="BP173" s="131">
        <v>1E-4</v>
      </c>
    </row>
    <row r="174" spans="14:68" ht="33" thickBot="1" x14ac:dyDescent="0.25">
      <c r="N174" s="94"/>
      <c r="O174" s="94"/>
      <c r="BE174" s="143">
        <v>173</v>
      </c>
      <c r="BF174" s="144" t="s">
        <v>860</v>
      </c>
      <c r="BG174" s="105">
        <v>544321</v>
      </c>
      <c r="BH174" s="106">
        <v>9.7999999999999997E-3</v>
      </c>
      <c r="BI174" s="107">
        <v>5308</v>
      </c>
      <c r="BJ174" s="108">
        <v>778</v>
      </c>
      <c r="BK174" s="108">
        <v>700</v>
      </c>
      <c r="BL174" s="107">
        <v>-1642</v>
      </c>
      <c r="BM174" s="108">
        <v>2.7</v>
      </c>
      <c r="BN174" s="108">
        <v>26</v>
      </c>
      <c r="BO174" s="109">
        <v>0.71</v>
      </c>
      <c r="BP174" s="106">
        <v>1E-4</v>
      </c>
    </row>
    <row r="175" spans="14:68" ht="17" thickBot="1" x14ac:dyDescent="0.25">
      <c r="N175" s="94"/>
      <c r="O175" s="94"/>
      <c r="BE175" s="128">
        <v>174</v>
      </c>
      <c r="BF175" s="129" t="s">
        <v>861</v>
      </c>
      <c r="BG175" s="130">
        <v>535064</v>
      </c>
      <c r="BH175" s="131">
        <v>3.3E-3</v>
      </c>
      <c r="BI175" s="132">
        <v>1778</v>
      </c>
      <c r="BJ175" s="132">
        <v>1672</v>
      </c>
      <c r="BK175" s="133">
        <v>320</v>
      </c>
      <c r="BL175" s="133">
        <v>850</v>
      </c>
      <c r="BM175" s="133">
        <v>1.2</v>
      </c>
      <c r="BN175" s="133">
        <v>40</v>
      </c>
      <c r="BO175" s="134">
        <v>0.78</v>
      </c>
      <c r="BP175" s="131">
        <v>1E-4</v>
      </c>
    </row>
    <row r="176" spans="14:68" ht="17" thickBot="1" x14ac:dyDescent="0.25">
      <c r="N176" s="94"/>
      <c r="O176" s="94"/>
      <c r="BE176" s="143">
        <v>175</v>
      </c>
      <c r="BF176" s="144" t="s">
        <v>862</v>
      </c>
      <c r="BG176" s="105">
        <v>521021</v>
      </c>
      <c r="BH176" s="106">
        <v>-5.3E-3</v>
      </c>
      <c r="BI176" s="107">
        <v>-2766</v>
      </c>
      <c r="BJ176" s="107">
        <v>1737</v>
      </c>
      <c r="BK176" s="108">
        <v>300</v>
      </c>
      <c r="BL176" s="107">
        <v>-8652</v>
      </c>
      <c r="BM176" s="108">
        <v>1.7</v>
      </c>
      <c r="BN176" s="108">
        <v>32</v>
      </c>
      <c r="BO176" s="109">
        <v>0.39</v>
      </c>
      <c r="BP176" s="106">
        <v>1E-4</v>
      </c>
    </row>
    <row r="177" spans="14:68" ht="17" thickBot="1" x14ac:dyDescent="0.25">
      <c r="N177" s="94"/>
      <c r="O177" s="94"/>
      <c r="BE177" s="128">
        <v>176</v>
      </c>
      <c r="BF177" s="129" t="s">
        <v>863</v>
      </c>
      <c r="BG177" s="130">
        <v>452524</v>
      </c>
      <c r="BH177" s="131">
        <v>7.7999999999999996E-3</v>
      </c>
      <c r="BI177" s="132">
        <v>3522</v>
      </c>
      <c r="BJ177" s="133">
        <v>86</v>
      </c>
      <c r="BK177" s="132">
        <v>5270</v>
      </c>
      <c r="BL177" s="133">
        <v>0</v>
      </c>
      <c r="BM177" s="133">
        <v>1.7</v>
      </c>
      <c r="BN177" s="133">
        <v>33</v>
      </c>
      <c r="BO177" s="134">
        <v>0.8</v>
      </c>
      <c r="BP177" s="131">
        <v>1E-4</v>
      </c>
    </row>
    <row r="178" spans="14:68" ht="17" thickBot="1" x14ac:dyDescent="0.25">
      <c r="N178" s="94"/>
      <c r="O178" s="94"/>
      <c r="BE178" s="143">
        <v>177</v>
      </c>
      <c r="BF178" s="144" t="s">
        <v>864</v>
      </c>
      <c r="BG178" s="105">
        <v>412623</v>
      </c>
      <c r="BH178" s="106">
        <v>6.4000000000000003E-3</v>
      </c>
      <c r="BI178" s="107">
        <v>2639</v>
      </c>
      <c r="BJ178" s="108">
        <v>41</v>
      </c>
      <c r="BK178" s="107">
        <v>10010</v>
      </c>
      <c r="BL178" s="107">
        <v>1000</v>
      </c>
      <c r="BM178" s="108">
        <v>1.4</v>
      </c>
      <c r="BN178" s="108">
        <v>33</v>
      </c>
      <c r="BO178" s="109">
        <v>0.85</v>
      </c>
      <c r="BP178" s="106">
        <v>1E-4</v>
      </c>
    </row>
    <row r="179" spans="14:68" ht="17" thickBot="1" x14ac:dyDescent="0.25">
      <c r="N179" s="94"/>
      <c r="O179" s="94"/>
      <c r="BE179" s="128">
        <v>178</v>
      </c>
      <c r="BF179" s="129" t="s">
        <v>865</v>
      </c>
      <c r="BG179" s="130">
        <v>410825</v>
      </c>
      <c r="BH179" s="131">
        <v>1.37E-2</v>
      </c>
      <c r="BI179" s="132">
        <v>5553</v>
      </c>
      <c r="BJ179" s="133">
        <v>18</v>
      </c>
      <c r="BK179" s="132">
        <v>22810</v>
      </c>
      <c r="BL179" s="133">
        <v>600</v>
      </c>
      <c r="BM179" s="133">
        <v>2</v>
      </c>
      <c r="BN179" s="133">
        <v>26</v>
      </c>
      <c r="BO179" s="134">
        <v>0.48</v>
      </c>
      <c r="BP179" s="131">
        <v>1E-4</v>
      </c>
    </row>
    <row r="180" spans="14:68" ht="33" thickBot="1" x14ac:dyDescent="0.25">
      <c r="N180" s="94"/>
      <c r="O180" s="94"/>
      <c r="BE180" s="143">
        <v>179</v>
      </c>
      <c r="BF180" s="144" t="s">
        <v>866</v>
      </c>
      <c r="BG180" s="105">
        <v>395839</v>
      </c>
      <c r="BH180" s="106">
        <v>2.0000000000000001E-4</v>
      </c>
      <c r="BI180" s="108">
        <v>87</v>
      </c>
      <c r="BJ180" s="108">
        <v>234</v>
      </c>
      <c r="BK180" s="107">
        <v>1690</v>
      </c>
      <c r="BL180" s="108">
        <v>-800</v>
      </c>
      <c r="BM180" s="108">
        <v>2</v>
      </c>
      <c r="BN180" s="108">
        <v>42</v>
      </c>
      <c r="BO180" s="108" t="s">
        <v>802</v>
      </c>
      <c r="BP180" s="106">
        <v>0</v>
      </c>
    </row>
    <row r="181" spans="14:68" ht="17" thickBot="1" x14ac:dyDescent="0.25">
      <c r="N181" s="94"/>
      <c r="O181" s="94"/>
      <c r="BE181" s="128">
        <v>180</v>
      </c>
      <c r="BF181" s="129" t="s">
        <v>867</v>
      </c>
      <c r="BG181" s="130">
        <v>375318</v>
      </c>
      <c r="BH181" s="131">
        <v>6.4999999999999997E-3</v>
      </c>
      <c r="BI181" s="132">
        <v>2419</v>
      </c>
      <c r="BJ181" s="133">
        <v>4</v>
      </c>
      <c r="BK181" s="132">
        <v>100250</v>
      </c>
      <c r="BL181" s="133">
        <v>380</v>
      </c>
      <c r="BM181" s="133">
        <v>1.7</v>
      </c>
      <c r="BN181" s="133">
        <v>36</v>
      </c>
      <c r="BO181" s="134">
        <v>0.88</v>
      </c>
      <c r="BP181" s="131">
        <v>0</v>
      </c>
    </row>
    <row r="182" spans="14:68" ht="33" thickBot="1" x14ac:dyDescent="0.25">
      <c r="N182" s="94"/>
      <c r="O182" s="94"/>
      <c r="BE182" s="143">
        <v>181</v>
      </c>
      <c r="BF182" s="144" t="s">
        <v>868</v>
      </c>
      <c r="BG182" s="105">
        <v>366981</v>
      </c>
      <c r="BH182" s="106">
        <v>-1.4E-3</v>
      </c>
      <c r="BI182" s="108">
        <v>-526</v>
      </c>
      <c r="BJ182" s="108">
        <v>346</v>
      </c>
      <c r="BK182" s="107">
        <v>1060</v>
      </c>
      <c r="BL182" s="108">
        <v>-650</v>
      </c>
      <c r="BM182" s="108">
        <v>1.9</v>
      </c>
      <c r="BN182" s="108">
        <v>47</v>
      </c>
      <c r="BO182" s="109">
        <v>0.94</v>
      </c>
      <c r="BP182" s="106">
        <v>0</v>
      </c>
    </row>
    <row r="183" spans="14:68" ht="17" thickBot="1" x14ac:dyDescent="0.25">
      <c r="N183" s="94"/>
      <c r="O183" s="94"/>
      <c r="BE183" s="128">
        <v>182</v>
      </c>
      <c r="BF183" s="129" t="s">
        <v>869</v>
      </c>
      <c r="BG183" s="130">
        <v>335995</v>
      </c>
      <c r="BH183" s="131">
        <v>3.0300000000000001E-2</v>
      </c>
      <c r="BI183" s="132">
        <v>9894</v>
      </c>
      <c r="BJ183" s="133">
        <v>896</v>
      </c>
      <c r="BK183" s="133">
        <v>375</v>
      </c>
      <c r="BL183" s="133">
        <v>0</v>
      </c>
      <c r="BM183" s="133">
        <v>4.3</v>
      </c>
      <c r="BN183" s="133">
        <v>17</v>
      </c>
      <c r="BO183" s="134">
        <v>0.4</v>
      </c>
      <c r="BP183" s="131">
        <v>0</v>
      </c>
    </row>
    <row r="184" spans="14:68" ht="17" thickBot="1" x14ac:dyDescent="0.25">
      <c r="N184" s="94"/>
      <c r="O184" s="94"/>
      <c r="BE184" s="143">
        <v>183</v>
      </c>
      <c r="BF184" s="144" t="s">
        <v>870</v>
      </c>
      <c r="BG184" s="105">
        <v>334506</v>
      </c>
      <c r="BH184" s="106">
        <v>2.3800000000000002E-2</v>
      </c>
      <c r="BI184" s="107">
        <v>7766</v>
      </c>
      <c r="BJ184" s="108">
        <v>27</v>
      </c>
      <c r="BK184" s="107">
        <v>12190</v>
      </c>
      <c r="BL184" s="108">
        <v>0</v>
      </c>
      <c r="BM184" s="108">
        <v>3.7</v>
      </c>
      <c r="BN184" s="108">
        <v>20</v>
      </c>
      <c r="BO184" s="109">
        <v>0.24</v>
      </c>
      <c r="BP184" s="106">
        <v>0</v>
      </c>
    </row>
    <row r="185" spans="14:68" ht="33" thickBot="1" x14ac:dyDescent="0.25">
      <c r="N185" s="94"/>
      <c r="O185" s="94"/>
      <c r="BE185" s="128">
        <v>184</v>
      </c>
      <c r="BF185" s="129" t="s">
        <v>871</v>
      </c>
      <c r="BG185" s="130">
        <v>312155</v>
      </c>
      <c r="BH185" s="131">
        <v>2.4899999999999999E-2</v>
      </c>
      <c r="BI185" s="132">
        <v>7598</v>
      </c>
      <c r="BJ185" s="133">
        <v>4</v>
      </c>
      <c r="BK185" s="132">
        <v>82200</v>
      </c>
      <c r="BL185" s="132">
        <v>1200</v>
      </c>
      <c r="BM185" s="133">
        <v>3.4</v>
      </c>
      <c r="BN185" s="133">
        <v>24</v>
      </c>
      <c r="BO185" s="134">
        <v>0.9</v>
      </c>
      <c r="BP185" s="131">
        <v>0</v>
      </c>
    </row>
    <row r="186" spans="14:68" ht="33" thickBot="1" x14ac:dyDescent="0.25">
      <c r="N186" s="94"/>
      <c r="O186" s="94"/>
      <c r="BE186" s="143">
        <v>185</v>
      </c>
      <c r="BF186" s="144" t="s">
        <v>872</v>
      </c>
      <c r="BG186" s="105">
        <v>308872</v>
      </c>
      <c r="BH186" s="106">
        <v>8.5000000000000006E-3</v>
      </c>
      <c r="BI186" s="107">
        <v>2593</v>
      </c>
      <c r="BJ186" s="108">
        <v>84</v>
      </c>
      <c r="BK186" s="107">
        <v>3660</v>
      </c>
      <c r="BL186" s="108">
        <v>-100</v>
      </c>
      <c r="BM186" s="108">
        <v>1.7</v>
      </c>
      <c r="BN186" s="108">
        <v>34</v>
      </c>
      <c r="BO186" s="109">
        <v>0.59</v>
      </c>
      <c r="BP186" s="106">
        <v>0</v>
      </c>
    </row>
    <row r="187" spans="14:68" ht="33" thickBot="1" x14ac:dyDescent="0.25">
      <c r="N187" s="94"/>
      <c r="O187" s="94"/>
      <c r="BE187" s="128">
        <v>186</v>
      </c>
      <c r="BF187" s="129" t="s">
        <v>873</v>
      </c>
      <c r="BG187" s="130">
        <v>292991</v>
      </c>
      <c r="BH187" s="131">
        <v>1.0500000000000001E-2</v>
      </c>
      <c r="BI187" s="132">
        <v>3041</v>
      </c>
      <c r="BJ187" s="133">
        <v>16</v>
      </c>
      <c r="BK187" s="132">
        <v>18280</v>
      </c>
      <c r="BL187" s="133">
        <v>500</v>
      </c>
      <c r="BM187" s="133">
        <v>2</v>
      </c>
      <c r="BN187" s="133">
        <v>34</v>
      </c>
      <c r="BO187" s="134">
        <v>0.74</v>
      </c>
      <c r="BP187" s="131">
        <v>0</v>
      </c>
    </row>
    <row r="188" spans="14:68" ht="17" thickBot="1" x14ac:dyDescent="0.25">
      <c r="N188" s="94"/>
      <c r="O188" s="94"/>
      <c r="BE188" s="143">
        <v>187</v>
      </c>
      <c r="BF188" s="144" t="s">
        <v>874</v>
      </c>
      <c r="BG188" s="105">
        <v>281995</v>
      </c>
      <c r="BH188" s="106">
        <v>1.2999999999999999E-3</v>
      </c>
      <c r="BI188" s="108">
        <v>360</v>
      </c>
      <c r="BJ188" s="108">
        <v>656</v>
      </c>
      <c r="BK188" s="108">
        <v>430</v>
      </c>
      <c r="BL188" s="108">
        <v>-80</v>
      </c>
      <c r="BM188" s="108">
        <v>1.6</v>
      </c>
      <c r="BN188" s="108">
        <v>40</v>
      </c>
      <c r="BO188" s="109">
        <v>0.32</v>
      </c>
      <c r="BP188" s="106">
        <v>0</v>
      </c>
    </row>
    <row r="189" spans="14:68" ht="49" thickBot="1" x14ac:dyDescent="0.25">
      <c r="N189" s="94"/>
      <c r="O189" s="94"/>
      <c r="BE189" s="128">
        <v>188</v>
      </c>
      <c r="BF189" s="129" t="s">
        <v>875</v>
      </c>
      <c r="BG189" s="130">
        <v>231856</v>
      </c>
      <c r="BH189" s="131">
        <v>1.9699999999999999E-2</v>
      </c>
      <c r="BI189" s="132">
        <v>4476</v>
      </c>
      <c r="BJ189" s="133">
        <v>242</v>
      </c>
      <c r="BK189" s="133">
        <v>960</v>
      </c>
      <c r="BL189" s="133">
        <v>-600</v>
      </c>
      <c r="BM189" s="133">
        <v>3.7</v>
      </c>
      <c r="BN189" s="133">
        <v>19</v>
      </c>
      <c r="BO189" s="134">
        <v>0.77</v>
      </c>
      <c r="BP189" s="131">
        <v>0</v>
      </c>
    </row>
    <row r="190" spans="14:68" ht="17" thickBot="1" x14ac:dyDescent="0.25">
      <c r="N190" s="94"/>
      <c r="O190" s="94"/>
      <c r="BE190" s="143">
        <v>189</v>
      </c>
      <c r="BF190" s="144" t="s">
        <v>876</v>
      </c>
      <c r="BG190" s="105">
        <v>225681</v>
      </c>
      <c r="BH190" s="106">
        <v>1.4800000000000001E-2</v>
      </c>
      <c r="BI190" s="107">
        <v>3299</v>
      </c>
      <c r="BJ190" s="108">
        <v>80</v>
      </c>
      <c r="BK190" s="107">
        <v>2830</v>
      </c>
      <c r="BL190" s="107">
        <v>-1500</v>
      </c>
      <c r="BM190" s="108">
        <v>3.8</v>
      </c>
      <c r="BN190" s="108">
        <v>21</v>
      </c>
      <c r="BO190" s="109">
        <v>0.16</v>
      </c>
      <c r="BP190" s="106">
        <v>0</v>
      </c>
    </row>
    <row r="191" spans="14:68" ht="17" thickBot="1" x14ac:dyDescent="0.25">
      <c r="N191" s="94"/>
      <c r="O191" s="94"/>
      <c r="BE191" s="128">
        <v>190</v>
      </c>
      <c r="BF191" s="129" t="s">
        <v>877</v>
      </c>
      <c r="BG191" s="130">
        <v>192077</v>
      </c>
      <c r="BH191" s="131">
        <v>4.7999999999999996E-3</v>
      </c>
      <c r="BI191" s="133">
        <v>914</v>
      </c>
      <c r="BJ191" s="133">
        <v>433</v>
      </c>
      <c r="BK191" s="133">
        <v>444</v>
      </c>
      <c r="BL191" s="133">
        <v>515</v>
      </c>
      <c r="BM191" s="133">
        <v>1.6</v>
      </c>
      <c r="BN191" s="133">
        <v>36</v>
      </c>
      <c r="BO191" s="134">
        <v>0.77</v>
      </c>
      <c r="BP191" s="131">
        <v>0</v>
      </c>
    </row>
    <row r="192" spans="14:68" ht="33" thickBot="1" x14ac:dyDescent="0.25">
      <c r="N192" s="94"/>
      <c r="O192" s="94"/>
      <c r="BE192" s="143">
        <v>191</v>
      </c>
      <c r="BF192" s="144" t="s">
        <v>878</v>
      </c>
      <c r="BG192" s="105">
        <v>180251</v>
      </c>
      <c r="BH192" s="106">
        <v>2.2000000000000001E-3</v>
      </c>
      <c r="BI192" s="108">
        <v>394</v>
      </c>
      <c r="BJ192" s="108">
        <v>295</v>
      </c>
      <c r="BK192" s="108">
        <v>610</v>
      </c>
      <c r="BL192" s="108">
        <v>0</v>
      </c>
      <c r="BM192" s="108">
        <v>1.4</v>
      </c>
      <c r="BN192" s="108">
        <v>34</v>
      </c>
      <c r="BO192" s="109">
        <v>0.19</v>
      </c>
      <c r="BP192" s="106">
        <v>0</v>
      </c>
    </row>
    <row r="193" spans="14:68" ht="17" thickBot="1" x14ac:dyDescent="0.25">
      <c r="N193" s="94"/>
      <c r="O193" s="94"/>
      <c r="BE193" s="128">
        <v>192</v>
      </c>
      <c r="BF193" s="129" t="s">
        <v>879</v>
      </c>
      <c r="BG193" s="130">
        <v>172952</v>
      </c>
      <c r="BH193" s="131">
        <v>6.8999999999999999E-3</v>
      </c>
      <c r="BI193" s="132">
        <v>1178</v>
      </c>
      <c r="BJ193" s="133">
        <v>320</v>
      </c>
      <c r="BK193" s="133">
        <v>540</v>
      </c>
      <c r="BL193" s="133">
        <v>-500</v>
      </c>
      <c r="BM193" s="133">
        <v>2.5</v>
      </c>
      <c r="BN193" s="133">
        <v>30</v>
      </c>
      <c r="BO193" s="134">
        <v>0.95</v>
      </c>
      <c r="BP193" s="131">
        <v>0</v>
      </c>
    </row>
    <row r="194" spans="14:68" ht="17" thickBot="1" x14ac:dyDescent="0.25">
      <c r="N194" s="94"/>
      <c r="O194" s="94"/>
      <c r="BE194" s="143">
        <v>193</v>
      </c>
      <c r="BF194" s="144" t="s">
        <v>880</v>
      </c>
      <c r="BG194" s="105">
        <v>133515</v>
      </c>
      <c r="BH194" s="106">
        <v>1.7399999999999999E-2</v>
      </c>
      <c r="BI194" s="107">
        <v>2283</v>
      </c>
      <c r="BJ194" s="108">
        <v>165</v>
      </c>
      <c r="BK194" s="108">
        <v>810</v>
      </c>
      <c r="BL194" s="108">
        <v>-400</v>
      </c>
      <c r="BM194" s="108">
        <v>3.2</v>
      </c>
      <c r="BN194" s="108">
        <v>22</v>
      </c>
      <c r="BO194" s="109">
        <v>0.56000000000000005</v>
      </c>
      <c r="BP194" s="106">
        <v>0</v>
      </c>
    </row>
    <row r="195" spans="14:68" ht="17" thickBot="1" x14ac:dyDescent="0.25">
      <c r="N195" s="94"/>
      <c r="O195" s="94"/>
      <c r="BE195" s="128">
        <v>194</v>
      </c>
      <c r="BF195" s="129" t="s">
        <v>881</v>
      </c>
      <c r="BG195" s="130">
        <v>126183</v>
      </c>
      <c r="BH195" s="131">
        <v>5.8999999999999999E-3</v>
      </c>
      <c r="BI195" s="133">
        <v>745</v>
      </c>
      <c r="BJ195" s="133">
        <v>371</v>
      </c>
      <c r="BK195" s="133">
        <v>340</v>
      </c>
      <c r="BL195" s="133">
        <v>-200</v>
      </c>
      <c r="BM195" s="133">
        <v>2</v>
      </c>
      <c r="BN195" s="133">
        <v>32</v>
      </c>
      <c r="BO195" s="134">
        <v>0.32</v>
      </c>
      <c r="BP195" s="131">
        <v>0</v>
      </c>
    </row>
    <row r="196" spans="14:68" ht="17" thickBot="1" x14ac:dyDescent="0.25">
      <c r="N196" s="94"/>
      <c r="O196" s="94"/>
      <c r="BE196" s="143">
        <v>195</v>
      </c>
      <c r="BF196" s="144" t="s">
        <v>882</v>
      </c>
      <c r="BG196" s="105">
        <v>107773</v>
      </c>
      <c r="BH196" s="106">
        <v>8.6E-3</v>
      </c>
      <c r="BI196" s="108">
        <v>915</v>
      </c>
      <c r="BJ196" s="108">
        <v>150</v>
      </c>
      <c r="BK196" s="108">
        <v>720</v>
      </c>
      <c r="BL196" s="108">
        <v>-800</v>
      </c>
      <c r="BM196" s="108">
        <v>3.2</v>
      </c>
      <c r="BN196" s="108">
        <v>22</v>
      </c>
      <c r="BO196" s="109">
        <v>0.24</v>
      </c>
      <c r="BP196" s="106">
        <v>0</v>
      </c>
    </row>
    <row r="197" spans="14:68" ht="17" thickBot="1" x14ac:dyDescent="0.25">
      <c r="N197" s="94"/>
      <c r="O197" s="94"/>
      <c r="BE197" s="128">
        <v>196</v>
      </c>
      <c r="BF197" s="129" t="s">
        <v>883</v>
      </c>
      <c r="BG197" s="130">
        <v>107660</v>
      </c>
      <c r="BH197" s="131">
        <v>5.1000000000000004E-3</v>
      </c>
      <c r="BI197" s="133">
        <v>542</v>
      </c>
      <c r="BJ197" s="133">
        <v>234</v>
      </c>
      <c r="BK197" s="133">
        <v>460</v>
      </c>
      <c r="BL197" s="133">
        <v>-200</v>
      </c>
      <c r="BM197" s="133">
        <v>2.2999999999999998</v>
      </c>
      <c r="BN197" s="133">
        <v>33</v>
      </c>
      <c r="BO197" s="134">
        <v>0.53</v>
      </c>
      <c r="BP197" s="131">
        <v>0</v>
      </c>
    </row>
    <row r="198" spans="14:68" ht="17" thickBot="1" x14ac:dyDescent="0.25">
      <c r="N198" s="94"/>
      <c r="O198" s="94"/>
      <c r="BE198" s="143">
        <v>197</v>
      </c>
      <c r="BF198" s="144" t="s">
        <v>884</v>
      </c>
      <c r="BG198" s="105">
        <v>106277</v>
      </c>
      <c r="BH198" s="106">
        <v>-1.6000000000000001E-3</v>
      </c>
      <c r="BI198" s="108">
        <v>-168</v>
      </c>
      <c r="BJ198" s="108">
        <v>590</v>
      </c>
      <c r="BK198" s="108">
        <v>180</v>
      </c>
      <c r="BL198" s="108">
        <v>157</v>
      </c>
      <c r="BM198" s="108">
        <v>1.2</v>
      </c>
      <c r="BN198" s="108">
        <v>42</v>
      </c>
      <c r="BO198" s="109">
        <v>0.45</v>
      </c>
      <c r="BP198" s="106">
        <v>0</v>
      </c>
    </row>
    <row r="199" spans="14:68" ht="65" thickBot="1" x14ac:dyDescent="0.25">
      <c r="N199" s="94"/>
      <c r="O199" s="94"/>
      <c r="BE199" s="128">
        <v>198</v>
      </c>
      <c r="BF199" s="129" t="s">
        <v>885</v>
      </c>
      <c r="BG199" s="130">
        <v>103698</v>
      </c>
      <c r="BH199" s="131">
        <v>-2.3999999999999998E-3</v>
      </c>
      <c r="BI199" s="133">
        <v>-250</v>
      </c>
      <c r="BJ199" s="133">
        <v>266</v>
      </c>
      <c r="BK199" s="133">
        <v>390</v>
      </c>
      <c r="BL199" s="133">
        <v>-200</v>
      </c>
      <c r="BM199" s="133">
        <v>1.8</v>
      </c>
      <c r="BN199" s="133">
        <v>33</v>
      </c>
      <c r="BO199" s="134">
        <v>0.57999999999999996</v>
      </c>
      <c r="BP199" s="131">
        <v>0</v>
      </c>
    </row>
    <row r="200" spans="14:68" ht="49" thickBot="1" x14ac:dyDescent="0.25">
      <c r="N200" s="94"/>
      <c r="O200" s="94"/>
      <c r="BE200" s="143">
        <v>199</v>
      </c>
      <c r="BF200" s="144" t="s">
        <v>886</v>
      </c>
      <c r="BG200" s="105">
        <v>98750</v>
      </c>
      <c r="BH200" s="106">
        <v>-7.1999999999999998E-3</v>
      </c>
      <c r="BI200" s="108">
        <v>-715</v>
      </c>
      <c r="BJ200" s="108">
        <v>282</v>
      </c>
      <c r="BK200" s="108">
        <v>350</v>
      </c>
      <c r="BL200" s="108">
        <v>-450</v>
      </c>
      <c r="BM200" s="108">
        <v>2.1</v>
      </c>
      <c r="BN200" s="108">
        <v>43</v>
      </c>
      <c r="BO200" s="108" t="s">
        <v>802</v>
      </c>
      <c r="BP200" s="106">
        <v>0</v>
      </c>
    </row>
    <row r="201" spans="14:68" ht="49" thickBot="1" x14ac:dyDescent="0.25">
      <c r="N201" s="94"/>
      <c r="O201" s="94"/>
      <c r="BE201" s="128">
        <v>200</v>
      </c>
      <c r="BF201" s="129" t="s">
        <v>77</v>
      </c>
      <c r="BG201" s="130">
        <v>94298</v>
      </c>
      <c r="BH201" s="131">
        <v>5.7000000000000002E-3</v>
      </c>
      <c r="BI201" s="133">
        <v>535</v>
      </c>
      <c r="BJ201" s="133">
        <v>214</v>
      </c>
      <c r="BK201" s="133">
        <v>440</v>
      </c>
      <c r="BL201" s="133">
        <v>0</v>
      </c>
      <c r="BM201" s="133">
        <v>1.6</v>
      </c>
      <c r="BN201" s="133">
        <v>36</v>
      </c>
      <c r="BO201" s="134">
        <v>0.28000000000000003</v>
      </c>
      <c r="BP201" s="131">
        <v>0</v>
      </c>
    </row>
    <row r="202" spans="14:68" ht="33" thickBot="1" x14ac:dyDescent="0.25">
      <c r="N202" s="94"/>
      <c r="O202" s="94"/>
      <c r="BE202" s="143">
        <v>201</v>
      </c>
      <c r="BF202" s="144" t="s">
        <v>887</v>
      </c>
      <c r="BG202" s="105">
        <v>84710</v>
      </c>
      <c r="BH202" s="106">
        <v>2.3E-3</v>
      </c>
      <c r="BI202" s="108">
        <v>191</v>
      </c>
      <c r="BJ202" s="108">
        <v>149</v>
      </c>
      <c r="BK202" s="108">
        <v>570</v>
      </c>
      <c r="BL202" s="108">
        <v>340</v>
      </c>
      <c r="BM202" s="108">
        <v>1.6</v>
      </c>
      <c r="BN202" s="108">
        <v>46</v>
      </c>
      <c r="BO202" s="109">
        <v>0.55000000000000004</v>
      </c>
      <c r="BP202" s="106">
        <v>0</v>
      </c>
    </row>
    <row r="203" spans="14:68" ht="17" thickBot="1" x14ac:dyDescent="0.25">
      <c r="N203" s="94"/>
      <c r="O203" s="94"/>
      <c r="BE203" s="128">
        <v>202</v>
      </c>
      <c r="BF203" s="129" t="s">
        <v>888</v>
      </c>
      <c r="BG203" s="130">
        <v>80088</v>
      </c>
      <c r="BH203" s="131">
        <v>3.3E-3</v>
      </c>
      <c r="BI203" s="133">
        <v>264</v>
      </c>
      <c r="BJ203" s="133">
        <v>170</v>
      </c>
      <c r="BK203" s="133">
        <v>470</v>
      </c>
      <c r="BL203" s="133">
        <v>200</v>
      </c>
      <c r="BM203" s="133">
        <v>1.1000000000000001</v>
      </c>
      <c r="BN203" s="133">
        <v>43</v>
      </c>
      <c r="BO203" s="134">
        <v>0.85</v>
      </c>
      <c r="BP203" s="131">
        <v>0</v>
      </c>
    </row>
    <row r="204" spans="14:68" ht="17" thickBot="1" x14ac:dyDescent="0.25">
      <c r="N204" s="94"/>
      <c r="O204" s="94"/>
      <c r="BE204" s="143">
        <v>203</v>
      </c>
      <c r="BF204" s="144" t="s">
        <v>889</v>
      </c>
      <c r="BG204" s="105">
        <v>73040</v>
      </c>
      <c r="BH204" s="106">
        <v>4.1999999999999997E-3</v>
      </c>
      <c r="BI204" s="108">
        <v>303</v>
      </c>
      <c r="BJ204" s="108">
        <v>97</v>
      </c>
      <c r="BK204" s="108">
        <v>750</v>
      </c>
      <c r="BL204" s="108">
        <v>-40</v>
      </c>
      <c r="BM204" s="108">
        <v>1.6</v>
      </c>
      <c r="BN204" s="108">
        <v>32</v>
      </c>
      <c r="BO204" s="109">
        <v>0.75</v>
      </c>
      <c r="BP204" s="106">
        <v>0</v>
      </c>
    </row>
    <row r="205" spans="14:68" ht="33" thickBot="1" x14ac:dyDescent="0.25">
      <c r="N205" s="94"/>
      <c r="O205" s="94"/>
      <c r="BE205" s="128">
        <v>204</v>
      </c>
      <c r="BF205" s="129" t="s">
        <v>890</v>
      </c>
      <c r="BG205" s="130">
        <v>69310</v>
      </c>
      <c r="BH205" s="131">
        <v>8.8000000000000005E-3</v>
      </c>
      <c r="BI205" s="133">
        <v>604</v>
      </c>
      <c r="BJ205" s="133">
        <v>289</v>
      </c>
      <c r="BK205" s="133">
        <v>240</v>
      </c>
      <c r="BL205" s="133">
        <v>400</v>
      </c>
      <c r="BM205" s="133">
        <v>1.2</v>
      </c>
      <c r="BN205" s="133">
        <v>38</v>
      </c>
      <c r="BO205" s="134">
        <v>0.95</v>
      </c>
      <c r="BP205" s="131">
        <v>0</v>
      </c>
    </row>
    <row r="206" spans="14:68" ht="17" thickBot="1" x14ac:dyDescent="0.25">
      <c r="N206" s="94"/>
      <c r="O206" s="94"/>
      <c r="BE206" s="143">
        <v>205</v>
      </c>
      <c r="BF206" s="144" t="s">
        <v>891</v>
      </c>
      <c r="BG206" s="105">
        <v>64069</v>
      </c>
      <c r="BH206" s="106">
        <v>-1.8E-3</v>
      </c>
      <c r="BI206" s="108">
        <v>-115</v>
      </c>
      <c r="BJ206" s="107">
        <v>1281</v>
      </c>
      <c r="BK206" s="108">
        <v>50</v>
      </c>
      <c r="BL206" s="108">
        <v>0</v>
      </c>
      <c r="BM206" s="108">
        <v>1.4</v>
      </c>
      <c r="BN206" s="108">
        <v>46</v>
      </c>
      <c r="BO206" s="109">
        <v>0.94</v>
      </c>
      <c r="BP206" s="106">
        <v>0</v>
      </c>
    </row>
    <row r="207" spans="14:68" ht="33" thickBot="1" x14ac:dyDescent="0.25">
      <c r="N207" s="94"/>
      <c r="O207" s="94"/>
      <c r="BE207" s="128">
        <v>206</v>
      </c>
      <c r="BF207" s="129" t="s">
        <v>892</v>
      </c>
      <c r="BG207" s="130">
        <v>56643</v>
      </c>
      <c r="BH207" s="131">
        <v>3.0999999999999999E-3</v>
      </c>
      <c r="BI207" s="133">
        <v>177</v>
      </c>
      <c r="BJ207" s="133">
        <v>0</v>
      </c>
      <c r="BK207" s="132">
        <v>410450</v>
      </c>
      <c r="BL207" s="133">
        <v>-100</v>
      </c>
      <c r="BM207" s="133">
        <v>1.9</v>
      </c>
      <c r="BN207" s="133">
        <v>35</v>
      </c>
      <c r="BO207" s="134">
        <v>0.89</v>
      </c>
      <c r="BP207" s="131">
        <v>0</v>
      </c>
    </row>
    <row r="208" spans="14:68" ht="33" thickBot="1" x14ac:dyDescent="0.25">
      <c r="N208" s="94"/>
      <c r="O208" s="94"/>
      <c r="BE208" s="143">
        <v>207</v>
      </c>
      <c r="BF208" s="144" t="s">
        <v>893</v>
      </c>
      <c r="BG208" s="105">
        <v>53270</v>
      </c>
      <c r="BH208" s="106">
        <v>3.3999999999999998E-3</v>
      </c>
      <c r="BI208" s="108">
        <v>180</v>
      </c>
      <c r="BJ208" s="108">
        <v>38</v>
      </c>
      <c r="BK208" s="107">
        <v>1396</v>
      </c>
      <c r="BL208" s="108">
        <v>0</v>
      </c>
      <c r="BM208" s="108">
        <v>2.7</v>
      </c>
      <c r="BN208" s="108">
        <v>38</v>
      </c>
      <c r="BO208" s="109">
        <v>0.41</v>
      </c>
      <c r="BP208" s="106">
        <v>0</v>
      </c>
    </row>
    <row r="209" spans="14:68" ht="49" thickBot="1" x14ac:dyDescent="0.25">
      <c r="N209" s="94"/>
      <c r="O209" s="94"/>
      <c r="BE209" s="128">
        <v>208</v>
      </c>
      <c r="BF209" s="129" t="s">
        <v>894</v>
      </c>
      <c r="BG209" s="130">
        <v>49796</v>
      </c>
      <c r="BH209" s="131">
        <v>4.8999999999999998E-3</v>
      </c>
      <c r="BI209" s="133">
        <v>245</v>
      </c>
      <c r="BJ209" s="133">
        <v>108</v>
      </c>
      <c r="BK209" s="133">
        <v>460</v>
      </c>
      <c r="BL209" s="133">
        <v>-50</v>
      </c>
      <c r="BM209" s="133">
        <v>2.1</v>
      </c>
      <c r="BN209" s="133">
        <v>38</v>
      </c>
      <c r="BO209" s="133" t="s">
        <v>802</v>
      </c>
      <c r="BP209" s="131">
        <v>0</v>
      </c>
    </row>
    <row r="210" spans="14:68" ht="33" thickBot="1" x14ac:dyDescent="0.25">
      <c r="N210" s="94"/>
      <c r="O210" s="94"/>
      <c r="BE210" s="143">
        <v>209</v>
      </c>
      <c r="BF210" s="144" t="s">
        <v>895</v>
      </c>
      <c r="BG210" s="105">
        <v>47755</v>
      </c>
      <c r="BH210" s="106">
        <v>2.0999999999999999E-3</v>
      </c>
      <c r="BI210" s="108">
        <v>98</v>
      </c>
      <c r="BJ210" s="108">
        <v>184</v>
      </c>
      <c r="BK210" s="108">
        <v>260</v>
      </c>
      <c r="BL210" s="108">
        <v>20</v>
      </c>
      <c r="BM210" s="108">
        <v>1.5</v>
      </c>
      <c r="BN210" s="108">
        <v>35</v>
      </c>
      <c r="BO210" s="109">
        <v>0.38</v>
      </c>
      <c r="BP210" s="106">
        <v>0</v>
      </c>
    </row>
    <row r="211" spans="14:68" ht="33" thickBot="1" x14ac:dyDescent="0.25">
      <c r="N211" s="94"/>
      <c r="O211" s="94"/>
      <c r="BE211" s="128">
        <v>210</v>
      </c>
      <c r="BF211" s="129" t="s">
        <v>896</v>
      </c>
      <c r="BG211" s="130">
        <v>46062</v>
      </c>
      <c r="BH211" s="131">
        <v>7.9000000000000008E-3</v>
      </c>
      <c r="BI211" s="133">
        <v>359</v>
      </c>
      <c r="BJ211" s="133">
        <v>48</v>
      </c>
      <c r="BK211" s="133">
        <v>950</v>
      </c>
      <c r="BL211" s="133">
        <v>200</v>
      </c>
      <c r="BM211" s="133">
        <v>1.6</v>
      </c>
      <c r="BN211" s="133">
        <v>38</v>
      </c>
      <c r="BO211" s="134">
        <v>0.79</v>
      </c>
      <c r="BP211" s="131">
        <v>0</v>
      </c>
    </row>
    <row r="212" spans="14:68" ht="33" thickBot="1" x14ac:dyDescent="0.25">
      <c r="N212" s="94"/>
      <c r="O212" s="94"/>
      <c r="BE212" s="143">
        <v>211</v>
      </c>
      <c r="BF212" s="144" t="s">
        <v>897</v>
      </c>
      <c r="BG212" s="105">
        <v>44222</v>
      </c>
      <c r="BH212" s="106">
        <v>1.1000000000000001E-3</v>
      </c>
      <c r="BI212" s="108">
        <v>47</v>
      </c>
      <c r="BJ212" s="107">
        <v>1301</v>
      </c>
      <c r="BK212" s="108">
        <v>34</v>
      </c>
      <c r="BL212" s="108">
        <v>0</v>
      </c>
      <c r="BM212" s="108">
        <v>1.6</v>
      </c>
      <c r="BN212" s="108">
        <v>48</v>
      </c>
      <c r="BO212" s="109">
        <v>0.97</v>
      </c>
      <c r="BP212" s="106">
        <v>0</v>
      </c>
    </row>
    <row r="213" spans="14:68" ht="33" thickBot="1" x14ac:dyDescent="0.25">
      <c r="N213" s="94"/>
      <c r="O213" s="94"/>
      <c r="BE213" s="128">
        <v>212</v>
      </c>
      <c r="BF213" s="129" t="s">
        <v>898</v>
      </c>
      <c r="BG213" s="130">
        <v>43914</v>
      </c>
      <c r="BH213" s="131">
        <v>-8.0999999999999996E-3</v>
      </c>
      <c r="BI213" s="133">
        <v>-359</v>
      </c>
      <c r="BJ213" s="133">
        <v>220</v>
      </c>
      <c r="BK213" s="133">
        <v>200</v>
      </c>
      <c r="BL213" s="133">
        <v>-790</v>
      </c>
      <c r="BM213" s="133">
        <v>2.2000000000000002</v>
      </c>
      <c r="BN213" s="133">
        <v>29</v>
      </c>
      <c r="BO213" s="133" t="s">
        <v>802</v>
      </c>
      <c r="BP213" s="131">
        <v>0</v>
      </c>
    </row>
    <row r="214" spans="14:68" ht="33" thickBot="1" x14ac:dyDescent="0.25">
      <c r="N214" s="94"/>
      <c r="O214" s="94"/>
      <c r="BE214" s="143">
        <v>213</v>
      </c>
      <c r="BF214" s="144" t="s">
        <v>899</v>
      </c>
      <c r="BG214" s="105">
        <v>41996</v>
      </c>
      <c r="BH214" s="106">
        <v>1.03E-2</v>
      </c>
      <c r="BI214" s="108">
        <v>427</v>
      </c>
      <c r="BJ214" s="108">
        <v>233</v>
      </c>
      <c r="BK214" s="108">
        <v>180</v>
      </c>
      <c r="BL214" s="108">
        <v>0</v>
      </c>
      <c r="BM214" s="108">
        <v>2.6</v>
      </c>
      <c r="BN214" s="108">
        <v>26</v>
      </c>
      <c r="BO214" s="108" t="s">
        <v>802</v>
      </c>
      <c r="BP214" s="106">
        <v>0</v>
      </c>
    </row>
    <row r="215" spans="14:68" ht="33" thickBot="1" x14ac:dyDescent="0.25">
      <c r="N215" s="94"/>
      <c r="O215" s="94"/>
      <c r="BE215" s="128">
        <v>214</v>
      </c>
      <c r="BF215" s="129" t="s">
        <v>900</v>
      </c>
      <c r="BG215" s="130">
        <v>39584</v>
      </c>
      <c r="BH215" s="131">
        <v>6.4999999999999997E-3</v>
      </c>
      <c r="BI215" s="133">
        <v>257</v>
      </c>
      <c r="BJ215" s="133">
        <v>247</v>
      </c>
      <c r="BK215" s="133">
        <v>160</v>
      </c>
      <c r="BL215" s="133">
        <v>150</v>
      </c>
      <c r="BM215" s="133">
        <v>1.5</v>
      </c>
      <c r="BN215" s="133">
        <v>44</v>
      </c>
      <c r="BO215" s="134">
        <v>0.15</v>
      </c>
      <c r="BP215" s="131">
        <v>0</v>
      </c>
    </row>
    <row r="216" spans="14:68" ht="17" thickBot="1" x14ac:dyDescent="0.25">
      <c r="N216" s="94"/>
      <c r="O216" s="94"/>
      <c r="BE216" s="143">
        <v>215</v>
      </c>
      <c r="BF216" s="144" t="s">
        <v>901</v>
      </c>
      <c r="BG216" s="105">
        <v>36297</v>
      </c>
      <c r="BH216" s="106">
        <v>-4.7000000000000002E-3</v>
      </c>
      <c r="BI216" s="108">
        <v>-172</v>
      </c>
      <c r="BJ216" s="107">
        <v>24360</v>
      </c>
      <c r="BK216" s="108">
        <v>1</v>
      </c>
      <c r="BL216" s="108">
        <v>200</v>
      </c>
      <c r="BM216" s="108">
        <v>2.1</v>
      </c>
      <c r="BN216" s="108">
        <v>54</v>
      </c>
      <c r="BO216" s="108" t="s">
        <v>802</v>
      </c>
      <c r="BP216" s="106">
        <v>0</v>
      </c>
    </row>
    <row r="217" spans="14:68" ht="33" thickBot="1" x14ac:dyDescent="0.25">
      <c r="N217" s="94"/>
      <c r="O217" s="94"/>
      <c r="BE217" s="128">
        <v>216</v>
      </c>
      <c r="BF217" s="129" t="s">
        <v>902</v>
      </c>
      <c r="BG217" s="130">
        <v>33642</v>
      </c>
      <c r="BH217" s="131">
        <v>-5.0000000000000001E-4</v>
      </c>
      <c r="BI217" s="133">
        <v>-18</v>
      </c>
      <c r="BJ217" s="133">
        <v>561</v>
      </c>
      <c r="BK217" s="133">
        <v>60</v>
      </c>
      <c r="BL217" s="133">
        <v>100</v>
      </c>
      <c r="BM217" s="133">
        <v>1.1000000000000001</v>
      </c>
      <c r="BN217" s="133">
        <v>47</v>
      </c>
      <c r="BO217" s="134">
        <v>0.99</v>
      </c>
      <c r="BP217" s="131">
        <v>0</v>
      </c>
    </row>
    <row r="218" spans="14:68" ht="17" thickBot="1" x14ac:dyDescent="0.25">
      <c r="N218" s="94"/>
      <c r="O218" s="94"/>
      <c r="BE218" s="143">
        <v>217</v>
      </c>
      <c r="BF218" s="144" t="s">
        <v>903</v>
      </c>
      <c r="BG218" s="105">
        <v>32688</v>
      </c>
      <c r="BH218" s="106">
        <v>1.1999999999999999E-3</v>
      </c>
      <c r="BI218" s="108">
        <v>39</v>
      </c>
      <c r="BJ218" s="107">
        <v>3269</v>
      </c>
      <c r="BK218" s="108">
        <v>10</v>
      </c>
      <c r="BL218" s="108">
        <v>-24</v>
      </c>
      <c r="BM218" s="108">
        <v>1.8</v>
      </c>
      <c r="BN218" s="108">
        <v>42</v>
      </c>
      <c r="BO218" s="108" t="s">
        <v>802</v>
      </c>
      <c r="BP218" s="106">
        <v>0</v>
      </c>
    </row>
    <row r="219" spans="14:68" ht="33" thickBot="1" x14ac:dyDescent="0.25">
      <c r="N219" s="94"/>
      <c r="O219" s="94"/>
      <c r="BE219" s="128">
        <v>218</v>
      </c>
      <c r="BF219" s="129" t="s">
        <v>904</v>
      </c>
      <c r="BG219" s="130">
        <v>32077</v>
      </c>
      <c r="BH219" s="131">
        <v>8.9999999999999993E-3</v>
      </c>
      <c r="BI219" s="133">
        <v>286</v>
      </c>
      <c r="BJ219" s="133">
        <v>605</v>
      </c>
      <c r="BK219" s="133">
        <v>53</v>
      </c>
      <c r="BL219" s="133">
        <v>0</v>
      </c>
      <c r="BM219" s="133">
        <v>2.4</v>
      </c>
      <c r="BN219" s="133">
        <v>39</v>
      </c>
      <c r="BO219" s="134">
        <v>0</v>
      </c>
      <c r="BP219" s="131">
        <v>0</v>
      </c>
    </row>
    <row r="220" spans="14:68" ht="49" thickBot="1" x14ac:dyDescent="0.25">
      <c r="N220" s="94"/>
      <c r="O220" s="94"/>
      <c r="BE220" s="143">
        <v>219</v>
      </c>
      <c r="BF220" s="144" t="s">
        <v>905</v>
      </c>
      <c r="BG220" s="105">
        <v>31538</v>
      </c>
      <c r="BH220" s="106">
        <v>7.4000000000000003E-3</v>
      </c>
      <c r="BI220" s="108">
        <v>233</v>
      </c>
      <c r="BJ220" s="108">
        <v>210</v>
      </c>
      <c r="BK220" s="108">
        <v>150</v>
      </c>
      <c r="BL220" s="108">
        <v>200</v>
      </c>
      <c r="BM220" s="108">
        <v>1</v>
      </c>
      <c r="BN220" s="108">
        <v>39</v>
      </c>
      <c r="BO220" s="109">
        <v>0.53</v>
      </c>
      <c r="BP220" s="106">
        <v>0</v>
      </c>
    </row>
    <row r="221" spans="14:68" ht="49" thickBot="1" x14ac:dyDescent="0.25">
      <c r="N221" s="94"/>
      <c r="O221" s="94"/>
      <c r="BE221" s="128">
        <v>220</v>
      </c>
      <c r="BF221" s="129" t="s">
        <v>906</v>
      </c>
      <c r="BG221" s="130">
        <v>27148</v>
      </c>
      <c r="BH221" s="131">
        <v>4.4999999999999997E-3</v>
      </c>
      <c r="BI221" s="133">
        <v>122</v>
      </c>
      <c r="BJ221" s="133">
        <v>83</v>
      </c>
      <c r="BK221" s="133">
        <v>328</v>
      </c>
      <c r="BL221" s="133">
        <v>100</v>
      </c>
      <c r="BM221" s="133">
        <v>1.6</v>
      </c>
      <c r="BN221" s="133">
        <v>40</v>
      </c>
      <c r="BO221" s="134">
        <v>0.74</v>
      </c>
      <c r="BP221" s="131">
        <v>0</v>
      </c>
    </row>
    <row r="222" spans="14:68" ht="17" thickBot="1" x14ac:dyDescent="0.25">
      <c r="N222" s="94"/>
      <c r="O222" s="94"/>
      <c r="BE222" s="143">
        <v>221</v>
      </c>
      <c r="BF222" s="144" t="s">
        <v>907</v>
      </c>
      <c r="BG222" s="105">
        <v>18058</v>
      </c>
      <c r="BH222" s="106">
        <v>2.0000000000000001E-4</v>
      </c>
      <c r="BI222" s="108">
        <v>3</v>
      </c>
      <c r="BJ222" s="108">
        <v>39</v>
      </c>
      <c r="BK222" s="108">
        <v>460</v>
      </c>
      <c r="BL222" s="108">
        <v>-20</v>
      </c>
      <c r="BM222" s="108">
        <v>2.2999999999999998</v>
      </c>
      <c r="BN222" s="108">
        <v>36</v>
      </c>
      <c r="BO222" s="108" t="s">
        <v>802</v>
      </c>
      <c r="BP222" s="106">
        <v>0</v>
      </c>
    </row>
    <row r="223" spans="14:68" ht="33" thickBot="1" x14ac:dyDescent="0.25">
      <c r="N223" s="94"/>
      <c r="O223" s="94"/>
      <c r="BE223" s="128">
        <v>222</v>
      </c>
      <c r="BF223" s="129" t="s">
        <v>908</v>
      </c>
      <c r="BG223" s="130">
        <v>17044</v>
      </c>
      <c r="BH223" s="131">
        <v>1.9E-3</v>
      </c>
      <c r="BI223" s="133">
        <v>33</v>
      </c>
      <c r="BJ223" s="133">
        <v>71</v>
      </c>
      <c r="BK223" s="133">
        <v>240</v>
      </c>
      <c r="BL223" s="133">
        <v>-93</v>
      </c>
      <c r="BM223" s="133">
        <v>2.2000000000000002</v>
      </c>
      <c r="BN223" s="133">
        <v>33</v>
      </c>
      <c r="BO223" s="134">
        <v>0.79</v>
      </c>
      <c r="BP223" s="131">
        <v>0</v>
      </c>
    </row>
    <row r="224" spans="14:68" ht="17" thickBot="1" x14ac:dyDescent="0.25">
      <c r="N224" s="94"/>
      <c r="O224" s="94"/>
      <c r="BE224" s="143">
        <v>223</v>
      </c>
      <c r="BF224" s="144" t="s">
        <v>909</v>
      </c>
      <c r="BG224" s="105">
        <v>15899</v>
      </c>
      <c r="BH224" s="106">
        <v>2.5999999999999999E-3</v>
      </c>
      <c r="BI224" s="108">
        <v>42</v>
      </c>
      <c r="BJ224" s="108">
        <v>177</v>
      </c>
      <c r="BK224" s="108">
        <v>90</v>
      </c>
      <c r="BL224" s="108">
        <v>0</v>
      </c>
      <c r="BM224" s="108">
        <v>1.3</v>
      </c>
      <c r="BN224" s="108">
        <v>38</v>
      </c>
      <c r="BO224" s="109">
        <v>0.98</v>
      </c>
      <c r="BP224" s="106">
        <v>0</v>
      </c>
    </row>
    <row r="225" spans="14:68" ht="17" thickBot="1" x14ac:dyDescent="0.25">
      <c r="N225" s="94"/>
      <c r="O225" s="94"/>
      <c r="BE225" s="128">
        <v>224</v>
      </c>
      <c r="BF225" s="129" t="s">
        <v>910</v>
      </c>
      <c r="BG225" s="130">
        <v>12780</v>
      </c>
      <c r="BH225" s="131">
        <v>8.8000000000000005E-3</v>
      </c>
      <c r="BI225" s="133">
        <v>112</v>
      </c>
      <c r="BJ225" s="133">
        <v>639</v>
      </c>
      <c r="BK225" s="133">
        <v>20</v>
      </c>
      <c r="BL225" s="133">
        <v>-140</v>
      </c>
      <c r="BM225" s="133">
        <v>3.4</v>
      </c>
      <c r="BN225" s="133">
        <v>20</v>
      </c>
      <c r="BO225" s="134">
        <v>0.88</v>
      </c>
      <c r="BP225" s="131">
        <v>0</v>
      </c>
    </row>
    <row r="226" spans="14:68" ht="33" thickBot="1" x14ac:dyDescent="0.25">
      <c r="N226" s="94"/>
      <c r="O226" s="94"/>
      <c r="BE226" s="143">
        <v>225</v>
      </c>
      <c r="BF226" s="144" t="s">
        <v>911</v>
      </c>
      <c r="BG226" s="105">
        <v>11502</v>
      </c>
      <c r="BH226" s="106">
        <v>-6.0000000000000001E-3</v>
      </c>
      <c r="BI226" s="108">
        <v>-70</v>
      </c>
      <c r="BJ226" s="108">
        <v>82</v>
      </c>
      <c r="BK226" s="108">
        <v>140</v>
      </c>
      <c r="BL226" s="108">
        <v>-119</v>
      </c>
      <c r="BM226" s="108">
        <v>1.9</v>
      </c>
      <c r="BN226" s="108">
        <v>37</v>
      </c>
      <c r="BO226" s="109">
        <v>0</v>
      </c>
      <c r="BP226" s="106">
        <v>0</v>
      </c>
    </row>
    <row r="227" spans="14:68" ht="17" thickBot="1" x14ac:dyDescent="0.25">
      <c r="N227" s="94"/>
      <c r="O227" s="94"/>
      <c r="BE227" s="128">
        <v>226</v>
      </c>
      <c r="BF227" s="129" t="s">
        <v>912</v>
      </c>
      <c r="BG227" s="130">
        <v>11396</v>
      </c>
      <c r="BH227" s="131">
        <v>7.4000000000000003E-3</v>
      </c>
      <c r="BI227" s="133">
        <v>84</v>
      </c>
      <c r="BJ227" s="133">
        <v>380</v>
      </c>
      <c r="BK227" s="133">
        <v>30</v>
      </c>
      <c r="BL227" s="133">
        <v>-60</v>
      </c>
      <c r="BM227" s="133">
        <v>3.1</v>
      </c>
      <c r="BN227" s="133">
        <v>25</v>
      </c>
      <c r="BO227" s="134">
        <v>0.69</v>
      </c>
      <c r="BP227" s="131">
        <v>0</v>
      </c>
    </row>
    <row r="228" spans="14:68" ht="49" thickBot="1" x14ac:dyDescent="0.25">
      <c r="N228" s="94"/>
      <c r="O228" s="94"/>
      <c r="BE228" s="143">
        <v>227</v>
      </c>
      <c r="BF228" s="144" t="s">
        <v>913</v>
      </c>
      <c r="BG228" s="105">
        <v>10994</v>
      </c>
      <c r="BH228" s="106">
        <v>2.5000000000000001E-3</v>
      </c>
      <c r="BI228" s="108">
        <v>27</v>
      </c>
      <c r="BJ228" s="108">
        <v>524</v>
      </c>
      <c r="BK228" s="108">
        <v>21</v>
      </c>
      <c r="BL228" s="108">
        <v>0</v>
      </c>
      <c r="BM228" s="108">
        <v>1</v>
      </c>
      <c r="BN228" s="108">
        <v>40</v>
      </c>
      <c r="BO228" s="109">
        <v>0</v>
      </c>
      <c r="BP228" s="106">
        <v>0</v>
      </c>
    </row>
    <row r="229" spans="14:68" ht="49" thickBot="1" x14ac:dyDescent="0.25">
      <c r="N229" s="94"/>
      <c r="O229" s="94"/>
      <c r="BE229" s="128">
        <v>228</v>
      </c>
      <c r="BF229" s="129" t="s">
        <v>914</v>
      </c>
      <c r="BG229" s="130">
        <v>5840</v>
      </c>
      <c r="BH229" s="131">
        <v>-3.8E-3</v>
      </c>
      <c r="BI229" s="133">
        <v>-22</v>
      </c>
      <c r="BJ229" s="133">
        <v>25</v>
      </c>
      <c r="BK229" s="133">
        <v>230</v>
      </c>
      <c r="BL229" s="133">
        <v>0</v>
      </c>
      <c r="BM229" s="133">
        <v>1.6</v>
      </c>
      <c r="BN229" s="133">
        <v>44</v>
      </c>
      <c r="BO229" s="133" t="s">
        <v>802</v>
      </c>
      <c r="BP229" s="131">
        <v>0</v>
      </c>
    </row>
    <row r="230" spans="14:68" ht="33" thickBot="1" x14ac:dyDescent="0.25">
      <c r="N230" s="94"/>
      <c r="O230" s="94"/>
      <c r="BE230" s="143">
        <v>229</v>
      </c>
      <c r="BF230" s="144" t="s">
        <v>915</v>
      </c>
      <c r="BG230" s="105">
        <v>5314</v>
      </c>
      <c r="BH230" s="106">
        <v>-1.12E-2</v>
      </c>
      <c r="BI230" s="108">
        <v>-60</v>
      </c>
      <c r="BJ230" s="108">
        <v>14</v>
      </c>
      <c r="BK230" s="108">
        <v>390</v>
      </c>
      <c r="BL230" s="108">
        <v>0</v>
      </c>
      <c r="BM230" s="108">
        <v>1.6</v>
      </c>
      <c r="BN230" s="108">
        <v>53</v>
      </c>
      <c r="BO230" s="109">
        <v>0.32</v>
      </c>
      <c r="BP230" s="106">
        <v>0</v>
      </c>
    </row>
    <row r="231" spans="14:68" ht="33" thickBot="1" x14ac:dyDescent="0.25">
      <c r="N231" s="94"/>
      <c r="O231" s="94"/>
      <c r="BE231" s="128">
        <v>230</v>
      </c>
      <c r="BF231" s="129" t="s">
        <v>916</v>
      </c>
      <c r="BG231" s="130">
        <v>4386</v>
      </c>
      <c r="BH231" s="131">
        <v>-8.9999999999999998E-4</v>
      </c>
      <c r="BI231" s="133">
        <v>-4</v>
      </c>
      <c r="BJ231" s="133">
        <v>44</v>
      </c>
      <c r="BK231" s="133">
        <v>100</v>
      </c>
      <c r="BL231" s="133">
        <v>0</v>
      </c>
      <c r="BM231" s="133">
        <v>1.6</v>
      </c>
      <c r="BN231" s="133">
        <v>44</v>
      </c>
      <c r="BO231" s="134">
        <v>0.11</v>
      </c>
      <c r="BP231" s="131">
        <v>0</v>
      </c>
    </row>
    <row r="232" spans="14:68" ht="33" thickBot="1" x14ac:dyDescent="0.25">
      <c r="N232" s="94"/>
      <c r="O232" s="94"/>
      <c r="BE232" s="143">
        <v>231</v>
      </c>
      <c r="BF232" s="144" t="s">
        <v>917</v>
      </c>
      <c r="BG232" s="105">
        <v>3791</v>
      </c>
      <c r="BH232" s="106">
        <v>2.8999999999999998E-3</v>
      </c>
      <c r="BI232" s="108">
        <v>11</v>
      </c>
      <c r="BJ232" s="108">
        <v>0</v>
      </c>
      <c r="BK232" s="107">
        <v>12170</v>
      </c>
      <c r="BL232" s="108">
        <v>0</v>
      </c>
      <c r="BM232" s="108">
        <v>1.6</v>
      </c>
      <c r="BN232" s="108">
        <v>40</v>
      </c>
      <c r="BO232" s="109">
        <v>0.62</v>
      </c>
      <c r="BP232" s="106">
        <v>0</v>
      </c>
    </row>
    <row r="233" spans="14:68" ht="17" thickBot="1" x14ac:dyDescent="0.25">
      <c r="N233" s="94"/>
      <c r="O233" s="94"/>
      <c r="BE233" s="128">
        <v>232</v>
      </c>
      <c r="BF233" s="129" t="s">
        <v>918</v>
      </c>
      <c r="BG233" s="130">
        <v>1935</v>
      </c>
      <c r="BH233" s="131">
        <v>5.0000000000000001E-4</v>
      </c>
      <c r="BI233" s="133">
        <v>1</v>
      </c>
      <c r="BJ233" s="133">
        <v>7</v>
      </c>
      <c r="BK233" s="133">
        <v>260</v>
      </c>
      <c r="BL233" s="133">
        <v>0</v>
      </c>
      <c r="BM233" s="133">
        <v>2.4</v>
      </c>
      <c r="BN233" s="133">
        <v>36</v>
      </c>
      <c r="BO233" s="134">
        <v>0.41</v>
      </c>
      <c r="BP233" s="131">
        <v>0</v>
      </c>
    </row>
    <row r="234" spans="14:68" ht="17" thickBot="1" x14ac:dyDescent="0.25">
      <c r="N234" s="94"/>
      <c r="O234" s="94"/>
      <c r="BE234" s="143">
        <v>233</v>
      </c>
      <c r="BF234" s="144" t="s">
        <v>919</v>
      </c>
      <c r="BG234" s="105">
        <v>1893</v>
      </c>
      <c r="BH234" s="106">
        <v>1.18E-2</v>
      </c>
      <c r="BI234" s="108">
        <v>22</v>
      </c>
      <c r="BJ234" s="108">
        <v>189</v>
      </c>
      <c r="BK234" s="108">
        <v>10</v>
      </c>
      <c r="BL234" s="108">
        <v>0</v>
      </c>
      <c r="BM234" s="108">
        <v>2.6</v>
      </c>
      <c r="BN234" s="108">
        <v>27</v>
      </c>
      <c r="BO234" s="109">
        <v>0</v>
      </c>
      <c r="BP234" s="106">
        <v>0</v>
      </c>
    </row>
    <row r="235" spans="14:68" ht="17" thickBot="1" x14ac:dyDescent="0.25">
      <c r="N235" s="94"/>
      <c r="O235" s="94"/>
      <c r="BE235" s="176">
        <v>234</v>
      </c>
      <c r="BF235" s="177" t="s">
        <v>920</v>
      </c>
      <c r="BG235" s="178">
        <v>518</v>
      </c>
      <c r="BH235" s="179">
        <v>1.5699999999999999E-2</v>
      </c>
      <c r="BI235" s="180">
        <v>8</v>
      </c>
      <c r="BJ235" s="181">
        <v>1295</v>
      </c>
      <c r="BK235" s="180">
        <v>0</v>
      </c>
      <c r="BL235" s="180">
        <v>0</v>
      </c>
      <c r="BM235" s="180"/>
      <c r="BN235" s="180"/>
      <c r="BO235" s="180" t="s">
        <v>802</v>
      </c>
      <c r="BP235" s="179">
        <v>0</v>
      </c>
    </row>
  </sheetData>
  <hyperlinks>
    <hyperlink ref="B1" r:id="rId1" location="tblfn5" display="https://www.sciencedirect.com/science/article/pii/S0264410X1930475X?via%3Dihub - tblfn5" xr:uid="{1AFF2CB0-BAD1-4531-90AA-2ACD193D3C2C}"/>
    <hyperlink ref="C1" r:id="rId2" location="tblfn6" display="https://www.sciencedirect.com/science/article/pii/S0264410X1930475X?via%3Dihub - tblfn6" xr:uid="{453709F3-62C5-46CE-89D3-A38749BE0AF8}"/>
    <hyperlink ref="D1" r:id="rId3" location="tblfn7" display="https://www.sciencedirect.com/science/article/pii/S0264410X1930475X?via%3Dihub - tblfn7" xr:uid="{91215657-DB09-4429-8400-A34B9455A919}"/>
    <hyperlink ref="H1" r:id="rId4" location="tblfn7" display="https://www.sciencedirect.com/science/article/pii/S0264410X1930475X?via%3Dihub - tblfn7" xr:uid="{E7B90EC1-68AA-4515-9180-551F670665CD}"/>
    <hyperlink ref="A3" r:id="rId5" location="tblfn1" display="https://www.sciencedirect.com/science/article/pii/S0264410X1930475X?via%3Dihub - tblfn1" xr:uid="{F60ECED0-6830-4E7D-BDF8-50B22839AE93}"/>
    <hyperlink ref="A12" r:id="rId6" location="tblfn1" display="https://www.sciencedirect.com/science/article/pii/S0264410X1930475X?via%3Dihub - tblfn1" xr:uid="{B4071BC9-1E5A-48BB-ACF4-1F3ECD4698AA}"/>
    <hyperlink ref="A4" r:id="rId7" location="tblfn1" display="https://www.sciencedirect.com/science/article/pii/S0264410X1930475X?via%3Dihub - tblfn1" xr:uid="{35177F7B-430F-4D1E-A025-C20EBB06A7EE}"/>
    <hyperlink ref="A14" r:id="rId8" location="tblfn1" display="https://www.sciencedirect.com/science/article/pii/S0264410X1930475X?via%3Dihub - tblfn1" xr:uid="{34D1E63C-1633-41C0-88C6-D78239771448}"/>
    <hyperlink ref="A15" r:id="rId9" location="tblfn1" display="https://www.sciencedirect.com/science/article/pii/S0264410X1930475X?via%3Dihub - tblfn1" xr:uid="{28DD40BF-93B2-4994-846F-EE90C10EC562}"/>
    <hyperlink ref="A11" r:id="rId10" location="tblfn1" display="https://www.sciencedirect.com/science/article/pii/S0264410X1930475X?via%3Dihub - tblfn1" xr:uid="{35C77AB6-AF52-47AC-88C8-CEA6945635EB}"/>
    <hyperlink ref="A23" r:id="rId11" location="tblfn2" display="https://www.sciencedirect.com/science/article/pii/S0264410X1930475X?via%3Dihub - tblfn2" xr:uid="{91AB7326-38EF-41A7-9FA3-4907D7FCA7EF}"/>
    <hyperlink ref="A19" r:id="rId12" location="tblfn2" display="https://www.sciencedirect.com/science/article/pii/S0264410X1930475X?via%3Dihub - tblfn2" xr:uid="{15A54E9A-88F6-40E9-A40A-964C9F24CDE9}"/>
    <hyperlink ref="A8" r:id="rId13" location="tblfn1" display="https://www.sciencedirect.com/science/article/pii/S0264410X1930475X?via%3Dihub - tblfn1" xr:uid="{D019ECAE-E0BA-4199-9C19-21D67DE96E90}"/>
    <hyperlink ref="A20" r:id="rId14" location="tblfn2" display="https://www.sciencedirect.com/science/article/pii/S0264410X1930475X?via%3Dihub - tblfn2" xr:uid="{88C5E862-AD60-49E3-BA55-3B5CD3DEAB50}"/>
    <hyperlink ref="A17" r:id="rId15" location="tblfn1" display="https://www.sciencedirect.com/science/article/pii/S0264410X1930475X?via%3Dihub - tblfn1" xr:uid="{C1A691B0-44A6-4348-9701-3B8BA160B48B}"/>
    <hyperlink ref="A9" r:id="rId16" location="tblfn1" display="https://www.sciencedirect.com/science/article/pii/S0264410X1930475X?via%3Dihub - tblfn1" xr:uid="{48AE97F9-E183-4037-8CF9-2AD0B4A07C9A}"/>
    <hyperlink ref="A24" r:id="rId17" location="tblfn2" display="https://www.sciencedirect.com/science/article/pii/S0264410X1930475X?via%3Dihub - tblfn2" xr:uid="{FA67C887-F13D-4FDC-B797-79751F60D2F8}"/>
    <hyperlink ref="G24" r:id="rId18" location="tblfn8" display="https://www.sciencedirect.com/science/article/pii/S0264410X1930475X?via%3Dihub - tblfn8" xr:uid="{1193EE2E-3132-47D1-BA04-7742B39C44D1}"/>
    <hyperlink ref="A21" r:id="rId19" location="tblfn2" display="https://www.sciencedirect.com/science/article/pii/S0264410X1930475X?via%3Dihub - tblfn2" xr:uid="{3C4A5284-9BFF-42FD-87DC-DBAE7BF22D91}"/>
    <hyperlink ref="A2" r:id="rId20" location="tblfn2" display="https://www.sciencedirect.com/science/article/pii/S0264410X1930475X?via%3Dihub - tblfn2" xr:uid="{CB9EE607-0694-4422-AA41-9B6B5F93432F}"/>
    <hyperlink ref="BF2" r:id="rId21" display="https://www.worldometers.info/world-population/india-population/" xr:uid="{D32136B2-35E8-4059-AAC1-FA8A3A0D49E5}"/>
    <hyperlink ref="BF3" r:id="rId22" display="https://www.worldometers.info/world-population/china-population/" xr:uid="{DE40565C-77D6-4177-9BED-479126EC64F9}"/>
    <hyperlink ref="BF4" r:id="rId23" display="https://www.worldometers.info/world-population/us-population/" xr:uid="{A8025D08-1E00-4BB4-9729-9E2E8F076AC1}"/>
    <hyperlink ref="BF5" r:id="rId24" display="https://www.worldometers.info/world-population/indonesia-population/" xr:uid="{5E81323B-0BB6-48E9-9818-1AB6EDA2379B}"/>
    <hyperlink ref="BF6" r:id="rId25" display="https://www.worldometers.info/world-population/pakistan-population/" xr:uid="{88F5A30A-2087-47EF-8EC0-58ACD907C1EE}"/>
    <hyperlink ref="BF7" r:id="rId26" display="https://www.worldometers.info/world-population/nigeria-population/" xr:uid="{82616BF6-4A3E-4CFA-8E3E-3D46EE3783D7}"/>
    <hyperlink ref="BF8" r:id="rId27" display="https://www.worldometers.info/world-population/brazil-population/" xr:uid="{3518424A-04C3-4D3D-B177-8176EA45E0A0}"/>
    <hyperlink ref="BF9" r:id="rId28" display="https://www.worldometers.info/world-population/bangladesh-population/" xr:uid="{A3174113-D846-468F-A9A7-9CBAA5A7020A}"/>
    <hyperlink ref="BF10" r:id="rId29" display="https://www.worldometers.info/world-population/russia-population/" xr:uid="{63E66681-4549-4ADB-89ED-F8C5DF5C8526}"/>
    <hyperlink ref="BF11" r:id="rId30" display="https://www.worldometers.info/world-population/mexico-population/" xr:uid="{5049E52A-2728-4FF6-B110-31E57A8F14C6}"/>
    <hyperlink ref="BF12" r:id="rId31" display="https://www.worldometers.info/world-population/ethiopia-population/" xr:uid="{0CE77811-93BF-4661-A15E-29A2E971F613}"/>
    <hyperlink ref="BF13" r:id="rId32" display="https://www.worldometers.info/world-population/japan-population/" xr:uid="{42DEEC9A-F841-4357-A57E-6C5CFCD8BE75}"/>
    <hyperlink ref="BF14" r:id="rId33" display="https://www.worldometers.info/world-population/philippines-population/" xr:uid="{BA7C98CA-8BA0-4ADD-8DC7-654500546526}"/>
    <hyperlink ref="BF15" r:id="rId34" display="https://www.worldometers.info/world-population/egypt-population/" xr:uid="{49A89AFC-0CD6-4C80-83DA-844144C3D260}"/>
    <hyperlink ref="BF17" r:id="rId35" display="https://www.worldometers.info/world-population/vietnam-population/" xr:uid="{8DA9901B-6033-4B5E-89A0-26CFFCD39E85}"/>
    <hyperlink ref="BF18" r:id="rId36" display="https://www.worldometers.info/world-population/iran-population/" xr:uid="{4B03DDD5-7439-4FB9-811D-03BF91C1394B}"/>
    <hyperlink ref="BF19" r:id="rId37" display="https://www.worldometers.info/world-population/turkey-population/" xr:uid="{DE92A332-FED2-4C19-A8DC-DAC528F743A9}"/>
    <hyperlink ref="BF20" r:id="rId38" display="https://www.worldometers.info/world-population/germany-population/" xr:uid="{54E82A2D-C901-45A5-98BA-6431041B7D06}"/>
    <hyperlink ref="BF21" r:id="rId39" display="https://www.worldometers.info/world-population/thailand-population/" xr:uid="{8142A0F9-467E-4AC8-9A60-2A2ED64BB255}"/>
    <hyperlink ref="BF22" r:id="rId40" display="https://www.worldometers.info/world-population/uk-population/" xr:uid="{A291E1C1-14B3-4ED6-A93E-A468F78538D2}"/>
    <hyperlink ref="BF23" r:id="rId41" display="https://www.worldometers.info/world-population/tanzania-population/" xr:uid="{F3F89B75-B58F-4758-A42B-3093DE33B372}"/>
    <hyperlink ref="BF24" r:id="rId42" display="https://www.worldometers.info/world-population/france-population/" xr:uid="{05B3B49E-3DB2-4503-BE3B-7A92764EFF5C}"/>
    <hyperlink ref="BF25" r:id="rId43" display="https://www.worldometers.info/world-population/south-africa-population/" xr:uid="{3CD2E411-EB42-45CE-A545-F07C78F52BA9}"/>
    <hyperlink ref="BF26" r:id="rId44" display="https://www.worldometers.info/world-population/italy-population/" xr:uid="{9BF8B9E5-182E-4850-B0B3-FC9379E48170}"/>
    <hyperlink ref="BF27" r:id="rId45" display="https://www.worldometers.info/world-population/kenya-population/" xr:uid="{3F85916E-2B9F-407B-8033-15FD27AC33D4}"/>
    <hyperlink ref="BF28" r:id="rId46" display="https://www.worldometers.info/world-population/myanmar-population/" xr:uid="{A702F09B-F3D3-4711-9E48-D4837ADDEB21}"/>
    <hyperlink ref="BF29" r:id="rId47" display="https://www.worldometers.info/world-population/colombia-population/" xr:uid="{9CEABBE4-F9A3-44B7-889D-641950CB54D1}"/>
    <hyperlink ref="BF30" r:id="rId48" display="https://www.worldometers.info/world-population/south-korea-population/" xr:uid="{39CADD74-0F60-4B3D-A038-E2142C2C8020}"/>
    <hyperlink ref="BF31" r:id="rId49" display="https://www.worldometers.info/world-population/uganda-population/" xr:uid="{9AD34505-2D23-432B-B847-5600AD02C644}"/>
    <hyperlink ref="BF32" r:id="rId50" display="https://www.worldometers.info/world-population/sudan-population/" xr:uid="{0DC2B8E1-702B-463F-BC83-B01465C5D9A2}"/>
    <hyperlink ref="BF33" r:id="rId51" display="https://www.worldometers.info/world-population/spain-population/" xr:uid="{C35D1ACC-1B09-49DB-A9ED-E8050BF65534}"/>
    <hyperlink ref="BF34" r:id="rId52" display="https://www.worldometers.info/world-population/argentina-population/" xr:uid="{09A7C487-AED7-451D-84E8-A7EC1601C95A}"/>
    <hyperlink ref="BF35" r:id="rId53" display="https://www.worldometers.info/world-population/algeria-population/" xr:uid="{CDB1C951-9754-49A1-B6BA-1EBD9D55AEC7}"/>
    <hyperlink ref="BF36" r:id="rId54" display="https://www.worldometers.info/world-population/iraq-population/" xr:uid="{9DD252D6-4072-4CC3-BF6C-B9CB626C299F}"/>
    <hyperlink ref="BF37" r:id="rId55" display="https://www.worldometers.info/world-population/afghanistan-population/" xr:uid="{57033362-6F3F-49FE-8530-9DBB5909D843}"/>
    <hyperlink ref="BF38" r:id="rId56" display="https://www.worldometers.info/world-population/poland-population/" xr:uid="{EAEF3D3B-BD65-44D7-89F4-E5BAFD8584E5}"/>
    <hyperlink ref="BF39" r:id="rId57" display="https://www.worldometers.info/world-population/canada-population/" xr:uid="{666497CF-7E00-4F98-A53B-87E7A4EF8091}"/>
    <hyperlink ref="BF40" r:id="rId58" display="https://www.worldometers.info/world-population/morocco-population/" xr:uid="{748C7270-6DA9-4D80-9F10-43586B70F281}"/>
    <hyperlink ref="BF41" r:id="rId59" display="https://www.worldometers.info/world-population/saudi-arabia-population/" xr:uid="{35E0D2BD-3846-40C6-93A1-A1E6319BE294}"/>
    <hyperlink ref="BF42" r:id="rId60" display="https://www.worldometers.info/world-population/ukraine-population/" xr:uid="{A07AB220-2E8C-48D9-82BC-714EB2C8F4A1}"/>
    <hyperlink ref="BF43" r:id="rId61" display="https://www.worldometers.info/world-population/angola-population/" xr:uid="{6B06D2B9-E99C-48C1-9E78-84B4DB0EBD7B}"/>
    <hyperlink ref="BF44" r:id="rId62" display="https://www.worldometers.info/world-population/uzbekistan-population/" xr:uid="{B3D83966-BFDA-4260-B217-40F6FB63AA6A}"/>
    <hyperlink ref="BF45" r:id="rId63" display="https://www.worldometers.info/world-population/yemen-population/" xr:uid="{AD72CEF8-1DAB-4927-8F8B-1EED3122DFC6}"/>
    <hyperlink ref="BF46" r:id="rId64" display="https://www.worldometers.info/world-population/peru-population/" xr:uid="{EF67BF49-58CC-44C1-BF13-EAAE03ACDF63}"/>
    <hyperlink ref="BF47" r:id="rId65" display="https://www.worldometers.info/world-population/malaysia-population/" xr:uid="{19B97E04-2435-42BA-893D-81C4D51F91C7}"/>
    <hyperlink ref="BF48" r:id="rId66" display="https://www.worldometers.info/world-population/ghana-population/" xr:uid="{F382DEA0-8C67-4A22-9939-5A30F4217563}"/>
    <hyperlink ref="BF49" r:id="rId67" display="https://www.worldometers.info/world-population/mozambique-population/" xr:uid="{E618187E-DE7C-415F-AB30-4F022FD38C2A}"/>
    <hyperlink ref="BF50" r:id="rId68" display="https://www.worldometers.info/world-population/nepal-population/" xr:uid="{653E5078-54AD-4DE3-89C9-3E09996DBA66}"/>
    <hyperlink ref="BF51" r:id="rId69" display="https://www.worldometers.info/world-population/madagascar-population/" xr:uid="{6189F215-7BA6-489B-A169-EADEED4AEF26}"/>
    <hyperlink ref="BF52" r:id="rId70" display="https://www.worldometers.info/world-population/cote-d-ivoire-population/" xr:uid="{85091AB4-B9DD-46D8-A010-BDF83AEFD332}"/>
    <hyperlink ref="BF53" r:id="rId71" display="https://www.worldometers.info/world-population/venezuela-population/" xr:uid="{8305FE20-98E8-471A-8075-27C7A89E4BE8}"/>
    <hyperlink ref="BF54" r:id="rId72" display="https://www.worldometers.info/world-population/cameroon-population/" xr:uid="{A8658AAC-414A-4769-B913-D3AC59498CEB}"/>
    <hyperlink ref="BF55" r:id="rId73" display="https://www.worldometers.info/world-population/niger-population/" xr:uid="{E93C0F4A-6528-4920-B5B6-497C10B93F73}"/>
    <hyperlink ref="BF56" r:id="rId74" display="https://www.worldometers.info/world-population/australia-population/" xr:uid="{255F1949-21E7-483C-8811-731CD67404EC}"/>
    <hyperlink ref="BF57" r:id="rId75" display="https://www.worldometers.info/world-population/north-korea-population/" xr:uid="{5E175490-D517-4CB6-8FA3-A505770B7432}"/>
    <hyperlink ref="BF58" r:id="rId76" display="https://www.worldometers.info/world-population/taiwan-population/" xr:uid="{891043D3-9648-42C1-8770-87A3A0BEC2B2}"/>
    <hyperlink ref="BF59" r:id="rId77" display="https://www.worldometers.info/world-population/mali-population/" xr:uid="{470AC76F-543F-4056-81C3-C8D2B78C6893}"/>
    <hyperlink ref="BF60" r:id="rId78" display="https://www.worldometers.info/world-population/burkina-faso-population/" xr:uid="{1ABD746D-553A-4DC5-914D-189606C91F73}"/>
    <hyperlink ref="BF61" r:id="rId79" display="https://www.worldometers.info/world-population/syria-population/" xr:uid="{B4E8446F-169A-4832-AC53-536E761A3B03}"/>
    <hyperlink ref="BF62" r:id="rId80" display="https://www.worldometers.info/world-population/sri-lanka-population/" xr:uid="{E7828F52-54EE-41D6-ABFE-3DEF5800C7D3}"/>
    <hyperlink ref="BF63" r:id="rId81" display="https://www.worldometers.info/world-population/malawi-population/" xr:uid="{9E61DD24-A958-4CF5-949A-E58A42CAD260}"/>
    <hyperlink ref="BF64" r:id="rId82" display="https://www.worldometers.info/world-population/zambia-population/" xr:uid="{597C14EE-A874-4C3F-B1FA-B07B09E620B2}"/>
    <hyperlink ref="BF65" r:id="rId83" display="https://www.worldometers.info/world-population/romania-population/" xr:uid="{9BCC7CD9-5028-4E0B-8AC7-DE795D0AA99E}"/>
    <hyperlink ref="BF66" r:id="rId84" display="https://www.worldometers.info/world-population/chile-population/" xr:uid="{DA862FE1-7FD5-4476-8663-9340221B3BF9}"/>
    <hyperlink ref="BF67" r:id="rId85" display="https://www.worldometers.info/world-population/kazakhstan-population/" xr:uid="{BB118FE9-3E39-45C3-AB56-28B8B625291A}"/>
    <hyperlink ref="BF68" r:id="rId86" display="https://www.worldometers.info/world-population/chad-population/" xr:uid="{86A090AA-6728-45F4-BCCD-9858D87D7BF7}"/>
    <hyperlink ref="BF69" r:id="rId87" display="https://www.worldometers.info/world-population/ecuador-population/" xr:uid="{FEED5686-083E-4E95-B991-46F4F373BB4E}"/>
    <hyperlink ref="BF70" r:id="rId88" display="https://www.worldometers.info/world-population/somalia-population/" xr:uid="{5C25A72D-918B-4C55-9EAD-A2626E7DBCC5}"/>
    <hyperlink ref="BF71" r:id="rId89" display="https://www.worldometers.info/world-population/guatemala-population/" xr:uid="{6B2E25BB-3E6B-4142-8660-78D0B9FC764C}"/>
    <hyperlink ref="BF72" r:id="rId90" display="https://www.worldometers.info/world-population/senegal-population/" xr:uid="{943DC74D-6198-49E6-85BB-DD6B69FEB94E}"/>
    <hyperlink ref="BF73" r:id="rId91" display="https://www.worldometers.info/world-population/netherlands-population/" xr:uid="{34C9D67A-1883-4D44-AB11-B3B0AE2AF876}"/>
    <hyperlink ref="BF74" r:id="rId92" display="https://www.worldometers.info/world-population/cambodia-population/" xr:uid="{F8FD04AB-F3A7-4F43-9612-8A98C7BD9B8B}"/>
    <hyperlink ref="BF75" r:id="rId93" display="https://www.worldometers.info/world-population/zimbabwe-population/" xr:uid="{CBD90C56-5775-49FB-864C-65D95A258A7F}"/>
    <hyperlink ref="BF76" r:id="rId94" display="https://www.worldometers.info/world-population/guinea-population/" xr:uid="{DFC601EC-79BF-4CA8-A6DE-E3042E118B38}"/>
    <hyperlink ref="BF77" r:id="rId95" display="https://www.worldometers.info/world-population/rwanda-population/" xr:uid="{33AABC7D-7922-4CE2-BD3D-E50A97DDE0AB}"/>
    <hyperlink ref="BF78" r:id="rId96" display="https://www.worldometers.info/world-population/benin-population/" xr:uid="{2AE0225E-146C-4275-ABA4-8B1B955F6382}"/>
    <hyperlink ref="BF79" r:id="rId97" display="https://www.worldometers.info/world-population/burundi-population/" xr:uid="{2DDED173-5DD7-4AF7-8A2E-722298CD2183}"/>
    <hyperlink ref="BF80" r:id="rId98" display="https://www.worldometers.info/world-population/tunisia-population/" xr:uid="{57AA739F-BF94-429A-946E-A516835E0F39}"/>
    <hyperlink ref="BF81" r:id="rId99" display="https://www.worldometers.info/world-population/bolivia-population/" xr:uid="{C8FB4DE1-CA25-40AA-B142-A67F8702A33D}"/>
    <hyperlink ref="BF82" r:id="rId100" display="https://www.worldometers.info/world-population/haiti-population/" xr:uid="{312844EE-E427-4E0F-976B-7751FE823EF4}"/>
    <hyperlink ref="BF83" r:id="rId101" display="https://www.worldometers.info/world-population/belgium-population/" xr:uid="{86D2A84B-E56B-44DC-B095-804A94657D8C}"/>
    <hyperlink ref="BF84" r:id="rId102" display="https://www.worldometers.info/world-population/jordan-population/" xr:uid="{13DB44EC-634D-44A5-AB58-8D6BBC1EED72}"/>
    <hyperlink ref="BF85" r:id="rId103" display="https://www.worldometers.info/world-population/dominican-republic-population/" xr:uid="{7BCC0D16-6CD9-4F4A-80BA-F1D076F246CE}"/>
    <hyperlink ref="BF86" r:id="rId104" display="https://www.worldometers.info/world-population/cuba-population/" xr:uid="{4688D977-89FF-4E86-8D82-6DA7A6F9687A}"/>
    <hyperlink ref="BF87" r:id="rId105" display="https://www.worldometers.info/world-population/south-sudan-population/" xr:uid="{4EA317DE-2417-4E64-AA65-1D4246496B48}"/>
    <hyperlink ref="BF88" r:id="rId106" display="https://www.worldometers.info/world-population/sweden-population/" xr:uid="{B8E995D1-C3DA-4386-9A52-C050288CBFEF}"/>
    <hyperlink ref="BF89" r:id="rId107" display="https://www.worldometers.info/world-population/honduras-population/" xr:uid="{8D808B99-53D7-4853-8E2E-5C387CED7EDF}"/>
    <hyperlink ref="BF90" r:id="rId108" display="https://www.worldometers.info/world-population/czech-republic-population/" xr:uid="{EB1D869E-5AFE-463A-A11D-CAB3A0AB0DBB}"/>
    <hyperlink ref="BF91" r:id="rId109" display="https://www.worldometers.info/world-population/azerbaijan-population/" xr:uid="{0E2ACAEC-C0AD-40CC-902C-C9D6D3095BE5}"/>
    <hyperlink ref="BF92" r:id="rId110" display="https://www.worldometers.info/world-population/greece-population/" xr:uid="{DF523801-F59C-4A4A-B2AF-37DE030A5067}"/>
    <hyperlink ref="BF93" r:id="rId111" display="https://www.worldometers.info/world-population/papua-new-guinea-population/" xr:uid="{6FAF798C-C5B0-444D-998D-0394EB27B18E}"/>
    <hyperlink ref="BF94" r:id="rId112" display="https://www.worldometers.info/world-population/portugal-population/" xr:uid="{644BFCB1-1FE2-4586-8AE0-652357DEE9C2}"/>
    <hyperlink ref="BF95" r:id="rId113" display="https://www.worldometers.info/world-population/hungary-population/" xr:uid="{A6C05D16-2B46-42C5-96EC-0B7374A96190}"/>
    <hyperlink ref="BF96" r:id="rId114" display="https://www.worldometers.info/world-population/tajikistan-population/" xr:uid="{4094E39D-A3B0-4CB2-879C-B5198EFDEBD9}"/>
    <hyperlink ref="BF97" r:id="rId115" display="https://www.worldometers.info/world-population/united-arab-emirates-population/" xr:uid="{2D215C51-C536-4AF2-83E6-50FCFA9C2C5C}"/>
    <hyperlink ref="BF98" r:id="rId116" display="https://www.worldometers.info/world-population/belarus-population/" xr:uid="{2BD2C542-893B-40E5-9A63-B53D4B0136F1}"/>
    <hyperlink ref="BF99" r:id="rId117" display="https://www.worldometers.info/world-population/israel-population/" xr:uid="{55608317-94D0-493E-838B-B77409894F43}"/>
    <hyperlink ref="BF100" r:id="rId118" display="https://www.worldometers.info/world-population/togo-population/" xr:uid="{03E3CEA2-8A3C-4913-A7B5-577796985489}"/>
    <hyperlink ref="BF101" r:id="rId119" display="https://www.worldometers.info/world-population/austria-population/" xr:uid="{30F84693-AA30-4137-B716-F8FD71EBB3E2}"/>
    <hyperlink ref="BF102" r:id="rId120" display="https://www.worldometers.info/world-population/switzerland-population/" xr:uid="{D006F244-8C6F-415B-B7A0-219421741879}"/>
    <hyperlink ref="BF103" r:id="rId121" display="https://www.worldometers.info/world-population/sierra-leone-population/" xr:uid="{F14DE731-EF9B-4F76-9931-69FE70526BFB}"/>
    <hyperlink ref="BF104" r:id="rId122" display="https://www.worldometers.info/world-population/laos-population/" xr:uid="{608D9373-3C4F-4084-A547-5890D372B944}"/>
    <hyperlink ref="BF105" r:id="rId123" display="https://www.worldometers.info/world-population/china-hong-kong-sar-population/" xr:uid="{CD4ABCB7-E571-4656-B5A3-C69675252C1E}"/>
    <hyperlink ref="BF106" r:id="rId124" display="https://www.worldometers.info/world-population/serbia-population/" xr:uid="{8E65CC84-90AB-4877-8BA7-B92EDE94441C}"/>
    <hyperlink ref="BF107" r:id="rId125" display="https://www.worldometers.info/world-population/nicaragua-population/" xr:uid="{AD1EB3DE-A9FD-4D47-B602-7599454CF2C0}"/>
    <hyperlink ref="BF108" r:id="rId126" display="https://www.worldometers.info/world-population/libya-population/" xr:uid="{58DDD4DD-00A8-4EF7-9A32-940F617EA35D}"/>
    <hyperlink ref="BF109" r:id="rId127" display="https://www.worldometers.info/world-population/paraguay-population/" xr:uid="{751E6807-8B72-47CE-A31A-0A94F383BDB4}"/>
    <hyperlink ref="BF110" r:id="rId128" display="https://www.worldometers.info/world-population/kyrgyzstan-population/" xr:uid="{1211D79F-A6BF-4F79-8C29-B8666F25FE01}"/>
    <hyperlink ref="BF111" r:id="rId129" display="https://www.worldometers.info/world-population/bulgaria-population/" xr:uid="{B3C6CE25-B3C9-4184-ABDE-297C0C5427E2}"/>
    <hyperlink ref="BF112" r:id="rId130" display="https://www.worldometers.info/world-population/turkmenistan-population/" xr:uid="{D0067C56-033E-4ADE-B83D-22172D64F198}"/>
    <hyperlink ref="BF113" r:id="rId131" display="https://www.worldometers.info/world-population/el-salvador-population/" xr:uid="{09C107DA-82E0-40C3-B656-547BE191C711}"/>
    <hyperlink ref="BF114" r:id="rId132" display="https://www.worldometers.info/world-population/congo-population/" xr:uid="{C69B4C61-77D2-46AF-8875-7FBFE8A675FB}"/>
    <hyperlink ref="BF115" r:id="rId133" display="https://www.worldometers.info/world-population/singapore-population/" xr:uid="{64320EF2-41B0-41EA-878B-DD59670DC106}"/>
    <hyperlink ref="BF116" r:id="rId134" display="https://www.worldometers.info/world-population/denmark-population/" xr:uid="{E7E1B960-AD9F-493B-AC53-B6F5B75E6FA6}"/>
    <hyperlink ref="BF117" r:id="rId135" display="https://www.worldometers.info/world-population/slovakia-population/" xr:uid="{D49174E3-FD65-4A7D-B724-08FE06D890A3}"/>
    <hyperlink ref="BF118" r:id="rId136" display="https://www.worldometers.info/world-population/central-african-republic-population/" xr:uid="{415B4182-5598-4FB3-960C-E42D40D01A7D}"/>
    <hyperlink ref="BF119" r:id="rId137" display="https://www.worldometers.info/world-population/finland-population/" xr:uid="{1ACF5B6A-0944-47B0-A812-84876515218B}"/>
    <hyperlink ref="BF120" r:id="rId138" display="https://www.worldometers.info/world-population/norway-population/" xr:uid="{AFA2D2B9-2716-4DA3-879C-BD8202A5A061}"/>
    <hyperlink ref="BF121" r:id="rId139" display="https://www.worldometers.info/world-population/liberia-population/" xr:uid="{B6F2851C-0FBF-47BE-9A44-BF3A6BBAA9A1}"/>
    <hyperlink ref="BF122" r:id="rId140" display="https://www.worldometers.info/world-population/state-of-palestine-population/" xr:uid="{4F1C77E6-2D34-475C-BD7A-F00EEBBEF6A1}"/>
    <hyperlink ref="BF123" r:id="rId141" display="https://www.worldometers.info/world-population/lebanon-population/" xr:uid="{5A79C8A8-F054-4729-B57B-5D5E70FF09A1}"/>
    <hyperlink ref="BF124" r:id="rId142" display="https://www.worldometers.info/world-population/new-zealand-population/" xr:uid="{517AF76C-CB21-44E9-B311-832197D034A9}"/>
    <hyperlink ref="BF125" r:id="rId143" display="https://www.worldometers.info/world-population/costa-rica-population/" xr:uid="{DD9847EC-41A4-4703-8727-3A0749DFAEDF}"/>
    <hyperlink ref="BF126" r:id="rId144" display="https://www.worldometers.info/world-population/ireland-population/" xr:uid="{71A4083F-6374-46FC-8DF5-AA9F9BE66843}"/>
    <hyperlink ref="BF127" r:id="rId145" display="https://www.worldometers.info/world-population/mauritania-population/" xr:uid="{533986A0-9148-4417-8D24-98312D9087D8}"/>
    <hyperlink ref="BF128" r:id="rId146" display="https://www.worldometers.info/world-population/oman-population/" xr:uid="{195133E7-CC6E-44D1-8B9F-818E702D91B0}"/>
    <hyperlink ref="BF129" r:id="rId147" display="https://www.worldometers.info/world-population/panama-population/" xr:uid="{94827124-7C06-44EE-B9CC-9FA85CCE2051}"/>
    <hyperlink ref="BF130" r:id="rId148" display="https://www.worldometers.info/world-population/kuwait-population/" xr:uid="{96A0B778-F25E-41DC-A13B-CEFE3850D226}"/>
    <hyperlink ref="BF131" r:id="rId149" display="https://www.worldometers.info/world-population/croatia-population/" xr:uid="{CA3C57DC-F2B0-46CB-B5C8-33AE03375108}"/>
    <hyperlink ref="BF132" r:id="rId150" display="https://www.worldometers.info/world-population/eritrea-population/" xr:uid="{95608EDB-5302-4A19-ACE6-D0A65DB2E37D}"/>
    <hyperlink ref="BF133" r:id="rId151" display="https://www.worldometers.info/world-population/georgia-population/" xr:uid="{78888DB4-C62E-4754-B5F1-BB5B03EFCE1F}"/>
    <hyperlink ref="BF134" r:id="rId152" display="https://www.worldometers.info/world-population/mongolia-population/" xr:uid="{8D1C3EA6-FBF2-4767-B40D-592DC0B58DAC}"/>
    <hyperlink ref="BF135" r:id="rId153" display="https://www.worldometers.info/world-population/moldova-population/" xr:uid="{491BE36D-203E-47F2-8C19-DE778A617E71}"/>
    <hyperlink ref="BF136" r:id="rId154" display="https://www.worldometers.info/world-population/uruguay-population/" xr:uid="{AC01B4AA-9AA1-4297-B23B-8CE5631B4EBF}"/>
    <hyperlink ref="BF137" r:id="rId155" display="https://www.worldometers.info/world-population/puerto-rico-population/" xr:uid="{82D4D6B6-07E3-48C2-9B38-1CA91EC1F847}"/>
    <hyperlink ref="BF138" r:id="rId156" display="https://www.worldometers.info/world-population/bosnia-and-herzegovina-population/" xr:uid="{BD1BB063-FBB9-46F7-8258-D42A4180040F}"/>
    <hyperlink ref="BF139" r:id="rId157" display="https://www.worldometers.info/world-population/albania-population/" xr:uid="{66431ED3-7417-43FF-BAB0-15714EAD2B01}"/>
    <hyperlink ref="BF140" r:id="rId158" display="https://www.worldometers.info/world-population/jamaica-population/" xr:uid="{69A44D5A-9913-4158-AE8B-6E5F130E2400}"/>
    <hyperlink ref="BF141" r:id="rId159" display="https://www.worldometers.info/world-population/armenia-population/" xr:uid="{984ADCF2-A068-46FF-8F3C-6545D3B53CBA}"/>
    <hyperlink ref="BF142" r:id="rId160" display="https://www.worldometers.info/world-population/gambia-population/" xr:uid="{B0A85FDC-8F4D-4D57-83AE-A963D431D172}"/>
    <hyperlink ref="BF143" r:id="rId161" display="https://www.worldometers.info/world-population/lithuania-population/" xr:uid="{361E1041-FB6B-42C9-9798-364EC5655E57}"/>
    <hyperlink ref="BF144" r:id="rId162" display="https://www.worldometers.info/world-population/qatar-population/" xr:uid="{8D88A8FE-4199-4A3D-85C3-562A3695DA4A}"/>
    <hyperlink ref="BF145" r:id="rId163" display="https://www.worldometers.info/world-population/botswana-population/" xr:uid="{690E6D37-A534-48CA-8399-B8092F9E5795}"/>
    <hyperlink ref="BF146" r:id="rId164" display="https://www.worldometers.info/world-population/namibia-population/" xr:uid="{602FA49F-0E61-4FD8-981D-7883055F8605}"/>
    <hyperlink ref="BF147" r:id="rId165" display="https://www.worldometers.info/world-population/gabon-population/" xr:uid="{0089ED27-7A29-43DD-92E3-0E498F111F51}"/>
    <hyperlink ref="BF148" r:id="rId166" display="https://www.worldometers.info/world-population/lesotho-population/" xr:uid="{AC6BF6BE-BAC0-4E2A-974A-70D7E6E77110}"/>
    <hyperlink ref="BF149" r:id="rId167" display="https://www.worldometers.info/world-population/guinea-bissau-population/" xr:uid="{F4AD2C16-88F5-413A-9093-327E97F434CB}"/>
    <hyperlink ref="BF150" r:id="rId168" display="https://www.worldometers.info/world-population/slovenia-population/" xr:uid="{36AF1934-4BC0-4E22-A91D-9BD2F8558E15}"/>
    <hyperlink ref="BF151" r:id="rId169" display="https://www.worldometers.info/world-population/macedonia-population/" xr:uid="{CED211F8-D72D-4722-9830-2E4035A1E63F}"/>
    <hyperlink ref="BF152" r:id="rId170" display="https://www.worldometers.info/world-population/latvia-population/" xr:uid="{931BF64E-574C-4A3C-8630-E8CA1C6DB8E2}"/>
    <hyperlink ref="BF153" r:id="rId171" display="https://www.worldometers.info/world-population/equatorial-guinea-population/" xr:uid="{7295F556-B6EB-486C-A0A2-84E0291864D5}"/>
    <hyperlink ref="BF154" r:id="rId172" display="https://www.worldometers.info/world-population/trinidad-and-tobago-population/" xr:uid="{C53860FD-8927-4652-92C0-3BC87CCDF00F}"/>
    <hyperlink ref="BF155" r:id="rId173" display="https://www.worldometers.info/world-population/bahrain-population/" xr:uid="{CF39F453-86ED-45B5-89BF-5F0D415DB175}"/>
    <hyperlink ref="BF156" r:id="rId174" display="https://www.worldometers.info/world-population/timor-leste-population/" xr:uid="{2992E6BE-8723-433F-BDAC-56B2324733FD}"/>
    <hyperlink ref="BF157" r:id="rId175" display="https://www.worldometers.info/world-population/estonia-population/" xr:uid="{12E587A5-16DB-42DA-BF85-2906C505EA23}"/>
    <hyperlink ref="BF158" r:id="rId176" display="https://www.worldometers.info/world-population/mauritius-population/" xr:uid="{090E4825-32FA-43EC-A92D-EA21E993D0EC}"/>
    <hyperlink ref="BF159" r:id="rId177" display="https://www.worldometers.info/world-population/cyprus-population/" xr:uid="{7FCA5B1F-0806-4058-B92D-D1B267E652B8}"/>
    <hyperlink ref="BF160" r:id="rId178" display="https://www.worldometers.info/world-population/swaziland-population/" xr:uid="{F0669255-CFE6-47BD-9848-E0BECA82E1A1}"/>
    <hyperlink ref="BF161" r:id="rId179" display="https://www.worldometers.info/world-population/djibouti-population/" xr:uid="{C0BC8C0A-3170-476B-B171-892D96BD2028}"/>
    <hyperlink ref="BF162" r:id="rId180" display="https://www.worldometers.info/world-population/reunion-population/" xr:uid="{793C019A-2026-44F5-9B6F-3FCB41FD23FB}"/>
    <hyperlink ref="BF163" r:id="rId181" display="https://www.worldometers.info/world-population/fiji-population/" xr:uid="{63DC76C9-2CAF-4D8E-B10E-0C218F64AE0D}"/>
    <hyperlink ref="BF164" r:id="rId182" display="https://www.worldometers.info/world-population/comoros-population/" xr:uid="{C8E83F5D-255D-40BC-8ABC-A637F57E09D8}"/>
    <hyperlink ref="BF165" r:id="rId183" display="https://www.worldometers.info/world-population/guyana-population/" xr:uid="{355886FF-8814-4AEF-B1C1-AC821516C569}"/>
    <hyperlink ref="BF166" r:id="rId184" display="https://www.worldometers.info/world-population/bhutan-population/" xr:uid="{EF01AD41-EB22-43F2-97AC-907048EF5A2B}"/>
    <hyperlink ref="BF167" r:id="rId185" display="https://www.worldometers.info/world-population/solomon-islands-population/" xr:uid="{11BD8CD5-CCC4-49EB-97D4-0169C1A2D76E}"/>
    <hyperlink ref="BF168" r:id="rId186" display="https://www.worldometers.info/world-population/china-macao-sar-population/" xr:uid="{9A474D59-1C02-40D3-81D0-9568CFDB30DE}"/>
    <hyperlink ref="BF169" r:id="rId187" display="https://www.worldometers.info/world-population/luxembourg-population/" xr:uid="{4F285A5C-D529-4CD5-8382-F79AD324708C}"/>
    <hyperlink ref="BF170" r:id="rId188" display="https://www.worldometers.info/world-population/montenegro-population/" xr:uid="{2F151AA9-C298-4624-88F0-183081F57EF8}"/>
    <hyperlink ref="BF171" r:id="rId189" display="https://www.worldometers.info/world-population/suriname-population/" xr:uid="{767118E2-B112-449D-A8DD-7F0C250EEBB6}"/>
    <hyperlink ref="BF172" r:id="rId190" display="https://www.worldometers.info/world-population/cabo-verde-population/" xr:uid="{D656377B-FCC1-4220-9792-821C33FE7435}"/>
    <hyperlink ref="BF173" r:id="rId191" display="https://www.worldometers.info/world-population/western-sahara-population/" xr:uid="{3FA5C1E4-0B79-43F9-BF48-0B9AE0D3F1B4}"/>
    <hyperlink ref="BF174" r:id="rId192" display="https://www.worldometers.info/world-population/micronesia-population/" xr:uid="{E5992E92-F866-4332-979A-04E2D6D726A5}"/>
    <hyperlink ref="BF175" r:id="rId193" display="https://www.worldometers.info/world-population/malta-population/" xr:uid="{09BEDCA8-441F-45B0-A9F9-46C21447B9E8}"/>
    <hyperlink ref="BF176" r:id="rId194" display="https://www.worldometers.info/world-population/maldives-population/" xr:uid="{B8A84408-F647-46AA-8AF0-904E3DAFA128}"/>
    <hyperlink ref="BF177" r:id="rId195" display="https://www.worldometers.info/world-population/brunei-darussalam-population/" xr:uid="{600713B8-4E42-4170-BD0C-CA8F6BA20B79}"/>
    <hyperlink ref="BF178" r:id="rId196" display="https://www.worldometers.info/world-population/bahamas-population/" xr:uid="{CD72B023-BA20-41B2-8475-8B7C6AD4CC62}"/>
    <hyperlink ref="BF179" r:id="rId197" display="https://www.worldometers.info/world-population/belize-population/" xr:uid="{B614695D-E0AC-4D70-B125-CDA3D4BB2188}"/>
    <hyperlink ref="BF180" r:id="rId198" display="https://www.worldometers.info/world-population/guadeloupe-population/" xr:uid="{28E9B5DC-39DA-4B08-A410-E55084F79A72}"/>
    <hyperlink ref="BF181" r:id="rId199" display="https://www.worldometers.info/world-population/iceland-population/" xr:uid="{C83DA91B-4F02-4F9D-A475-8FD9EF69E366}"/>
    <hyperlink ref="BF182" r:id="rId200" display="https://www.worldometers.info/world-population/martinique-population/" xr:uid="{1A064D7E-5E72-43E8-816A-57EEF746A531}"/>
    <hyperlink ref="BF183" r:id="rId201" display="https://www.worldometers.info/world-population/mayotte-population/" xr:uid="{B5784356-37D2-47FA-AE8A-AB7020352EDE}"/>
    <hyperlink ref="BF184" r:id="rId202" display="https://www.worldometers.info/world-population/vanuatu-population/" xr:uid="{1EF410C7-CCF3-4788-9F19-05C3FE5CC59F}"/>
    <hyperlink ref="BF185" r:id="rId203" display="https://www.worldometers.info/world-population/french-guiana-population/" xr:uid="{3397518B-DB7F-432E-BE08-8CE267ADD72D}"/>
    <hyperlink ref="BF186" r:id="rId204" display="https://www.worldometers.info/world-population/french-polynesia-population/" xr:uid="{E4B2AE6B-1275-4105-9A3A-33B4EC14D11E}"/>
    <hyperlink ref="BF187" r:id="rId205" display="https://www.worldometers.info/world-population/new-caledonia-population/" xr:uid="{9781998F-82D0-4B82-AFB8-BE54D437E4F8}"/>
    <hyperlink ref="BF188" r:id="rId206" display="https://www.worldometers.info/world-population/barbados-population/" xr:uid="{0570BA83-EC85-488A-8C72-C57662D2CE0E}"/>
    <hyperlink ref="BF189" r:id="rId207" display="https://www.worldometers.info/world-population/sao-tome-and-principe-population/" xr:uid="{A66D16C9-1786-4BAF-9C3E-8D924A502871}"/>
    <hyperlink ref="BF190" r:id="rId208" display="https://www.worldometers.info/world-population/samoa-population/" xr:uid="{12232967-4A01-4BFD-B895-AD9714CEC99A}"/>
    <hyperlink ref="BF191" r:id="rId209" display="https://www.worldometers.info/world-population/curacao-population/" xr:uid="{954A0EA2-B675-4B5A-9AB5-50DB9FF536E3}"/>
    <hyperlink ref="BF192" r:id="rId210" display="https://www.worldometers.info/world-population/saint-lucia-population/" xr:uid="{199D7719-17C7-46BB-A973-157820CA5879}"/>
    <hyperlink ref="BF193" r:id="rId211" display="https://www.worldometers.info/world-population/guam-population/" xr:uid="{D7BE82DE-1368-4A0B-A26A-44724656B0CF}"/>
    <hyperlink ref="BF194" r:id="rId212" display="https://www.worldometers.info/world-population/kiribati-population/" xr:uid="{CDE966F8-4B24-464B-AF3E-C3A6766ED620}"/>
    <hyperlink ref="BF195" r:id="rId213" display="https://www.worldometers.info/world-population/grenada-population/" xr:uid="{E5F7A69D-9E39-419C-B5FC-A9552E8A3B94}"/>
    <hyperlink ref="BF196" r:id="rId214" display="https://www.worldometers.info/world-population/tonga-population/" xr:uid="{188C49CE-3D5F-4229-B28A-5825302FEC53}"/>
    <hyperlink ref="BF197" r:id="rId215" display="https://www.worldometers.info/world-population/seychelles-population/" xr:uid="{1C752454-0AA2-43AE-8272-786AED0D5635}"/>
    <hyperlink ref="BF198" r:id="rId216" display="https://www.worldometers.info/world-population/aruba-population/" xr:uid="{9A0B9B1B-21E1-450A-A245-BAFB850C739C}"/>
    <hyperlink ref="BF199" r:id="rId217" display="https://www.worldometers.info/world-population/saint-vincent-and-the-grenadines-population/" xr:uid="{04ACF151-A27F-44CC-AB45-91A56E352883}"/>
    <hyperlink ref="BF200" r:id="rId218" display="https://www.worldometers.info/world-population/united-states-virgin-islands-population/" xr:uid="{CC746BCE-1490-4354-A2DA-C84F0BF04BB0}"/>
    <hyperlink ref="BF201" r:id="rId219" display="https://www.worldometers.info/world-population/antigua-and-barbuda-population/" xr:uid="{F8D5B261-FBDE-4DA3-AE99-01D29636FC80}"/>
    <hyperlink ref="BF202" r:id="rId220" display="https://www.worldometers.info/world-population/isle-of-man-population/" xr:uid="{38D17D4A-5AC9-447B-A9DB-455970140D0B}"/>
    <hyperlink ref="BF203" r:id="rId221" display="https://www.worldometers.info/world-population/andorra-population/" xr:uid="{219B4FE6-1709-40DE-A8A6-808C37D02A0D}"/>
    <hyperlink ref="BF204" r:id="rId222" display="https://www.worldometers.info/world-population/dominica-population/" xr:uid="{C71E66E8-FA7A-419A-A355-26CB51C25738}"/>
    <hyperlink ref="BF205" r:id="rId223" display="https://www.worldometers.info/world-population/cayman-islands-population/" xr:uid="{5C2A9933-2C20-4443-A087-CC478F0EDEBC}"/>
    <hyperlink ref="BF206" r:id="rId224" display="https://www.worldometers.info/world-population/bermuda-population/" xr:uid="{738B7D3B-555B-416B-811E-3E743D2298BD}"/>
    <hyperlink ref="BF207" r:id="rId225" display="https://www.worldometers.info/world-population/greenland-population/" xr:uid="{6E91A174-5207-408F-B1C6-86A8728F74E8}"/>
    <hyperlink ref="BF208" r:id="rId226" display="https://www.worldometers.info/world-population/faeroe-islands-population/" xr:uid="{4C5B8C03-C408-4EA7-A548-C0C0C1CE4CF8}"/>
    <hyperlink ref="BF209" r:id="rId227" display="https://www.worldometers.info/world-population/northern-mariana-islands-population/" xr:uid="{37E5BC4B-DF61-4965-A27B-D1DAC162E4FC}"/>
    <hyperlink ref="BF210" r:id="rId228" display="https://www.worldometers.info/world-population/saint-kitts-and-nevis-population/" xr:uid="{97D6A018-451C-42F3-B9C8-A1E4CCA78B38}"/>
    <hyperlink ref="BF211" r:id="rId229" display="https://www.worldometers.info/world-population/turks-and-caicos-islands-population/" xr:uid="{3DD62B31-B4F4-4982-B776-2A6DFADB5A5E}"/>
    <hyperlink ref="BF212" r:id="rId230" display="https://www.worldometers.info/world-population/sint-maarten-population/" xr:uid="{3DB4AFE5-5971-4295-A531-1A67BA9E6BBB}"/>
    <hyperlink ref="BF213" r:id="rId231" display="https://www.worldometers.info/world-population/american-samoa-population/" xr:uid="{D7AE07B5-3CA9-4901-A889-7EDD62F6FE9A}"/>
    <hyperlink ref="BF214" r:id="rId232" display="https://www.worldometers.info/world-population/marshall-islands-population/" xr:uid="{CAA30860-EFCE-4281-A598-44C3F3B6A604}"/>
    <hyperlink ref="BF215" r:id="rId233" display="https://www.worldometers.info/world-population/liechtenstein-population/" xr:uid="{2E9FDD45-73FC-4FAE-A101-8F36CC19A0EF}"/>
    <hyperlink ref="BF216" r:id="rId234" display="https://www.worldometers.info/world-population/monaco-population/" xr:uid="{28BC3663-E85A-4EEB-AECB-452336E5DF60}"/>
    <hyperlink ref="BF217" r:id="rId235" display="https://www.worldometers.info/world-population/san-marino-population/" xr:uid="{1C507400-4037-44F4-9A74-8D280BF9C30E}"/>
    <hyperlink ref="BF218" r:id="rId236" display="https://www.worldometers.info/world-population/gibraltar-population/" xr:uid="{D22C8BD4-59B3-4C7F-80DA-58A1B2759ADB}"/>
    <hyperlink ref="BF219" r:id="rId237" display="https://www.worldometers.info/world-population/saint-martin-population/" xr:uid="{1F272BAA-5382-404F-8DF2-BBD70906905C}"/>
    <hyperlink ref="BF220" r:id="rId238" display="https://www.worldometers.info/world-population/british-virgin-islands-population/" xr:uid="{1CC2641F-76A2-47DA-9AB3-BD29A3F9B8D3}"/>
    <hyperlink ref="BF221" r:id="rId239" display="https://www.worldometers.info/world-population/caribbean-netherlands-population/" xr:uid="{15669FD2-BC29-4F82-A759-CCBF17F005C5}"/>
    <hyperlink ref="BF222" r:id="rId240" display="https://www.worldometers.info/world-population/palau-population/" xr:uid="{6290275E-5865-4201-922B-20BF0B7CDECB}"/>
    <hyperlink ref="BF223" r:id="rId241" display="https://www.worldometers.info/world-population/cook-islands-population/" xr:uid="{83C2B050-397E-40F2-9E74-EBE80554A819}"/>
    <hyperlink ref="BF224" r:id="rId242" display="https://www.worldometers.info/world-population/anguilla-population/" xr:uid="{8417FD1A-45C5-424D-827E-70140F0C0C3F}"/>
    <hyperlink ref="BF225" r:id="rId243" display="https://www.worldometers.info/world-population/nauru-population/" xr:uid="{5537C0CA-E59F-469A-A114-66D6E8AFA1AD}"/>
    <hyperlink ref="BF226" r:id="rId244" display="https://www.worldometers.info/world-population/wallis-and-futuna-islands-population/" xr:uid="{0F53D723-3879-497F-90C4-3254FB3FF679}"/>
    <hyperlink ref="BF227" r:id="rId245" display="https://www.worldometers.info/world-population/tuvalu-population/" xr:uid="{6CBD85E2-2424-4592-8406-545340A9909C}"/>
    <hyperlink ref="BF228" r:id="rId246" display="https://www.worldometers.info/world-population/saint-barthelemy-population/" xr:uid="{4B2B9F0F-1AC7-4232-9B91-F4505DFB141A}"/>
    <hyperlink ref="BF229" r:id="rId247" display="https://www.worldometers.info/world-population/saint-pierre-and-miquelon-population/" xr:uid="{AA75C726-B89E-4695-95EA-E8B87B5367CA}"/>
    <hyperlink ref="BF230" r:id="rId248" display="https://www.worldometers.info/world-population/saint-helena-population/" xr:uid="{8C7A9910-785A-4A50-865A-3531B9F837A4}"/>
    <hyperlink ref="BF231" r:id="rId249" display="https://www.worldometers.info/world-population/montserrat-population/" xr:uid="{F21D5B8B-F698-4831-8E63-E8A2ED859401}"/>
    <hyperlink ref="BF232" r:id="rId250" display="https://www.worldometers.info/world-population/falkland-islands-malvinas-population/" xr:uid="{2D5871A4-4D67-4361-A4BA-696E7394FBF0}"/>
    <hyperlink ref="BF233" r:id="rId251" display="https://www.worldometers.info/world-population/niue-population/" xr:uid="{64D4205D-A2A7-481D-87F0-FF10D8D1B952}"/>
    <hyperlink ref="BF234" r:id="rId252" display="https://www.worldometers.info/world-population/tokelau-population/" xr:uid="{5B193F88-089D-49C0-9117-E62D33DAA4A2}"/>
    <hyperlink ref="BF235" r:id="rId253" display="https://www.worldometers.info/world-population/holy-see-population/" xr:uid="{2A784FBC-68BA-4F37-9DBE-2E31664CBBF1}"/>
    <hyperlink ref="K3" r:id="rId254" display="https://journals.plos.org/plosone/article?id=10.1371/journal.pone.0197330" xr:uid="{5BDC7718-FA50-45EB-A7ED-FC87F4910BB1}"/>
    <hyperlink ref="K4" r:id="rId255" display="https://www.sciencedirect.com/science/article/pii/S0001706X19308307?via%3Dihub" xr:uid="{53E3E8ED-0D6E-4365-BDD6-523E802E4F7C}"/>
    <hyperlink ref="K10" r:id="rId256" display="https://journals.plos.org/plosntds/article?id=10.1371/journal.pntd.0012064" xr:uid="{7ECFB94E-CE7F-4093-AEA6-3CE87A68B21F}"/>
    <hyperlink ref="L8" r:id="rId257" display="https://www.sciencedirect.com/science/article/pii/S2468042720301135?via%3Dihub" xr:uid="{0D61A16B-8E1C-42E1-AD57-48444B299160}"/>
    <hyperlink ref="K12" r:id="rId258" display="https://www.sciencedirect.com/science/article/pii/S0001706X1931143X?via%3Dihub" xr:uid="{1B9A40BA-B432-487C-9418-1950D4FAE39C}"/>
    <hyperlink ref="K13" r:id="rId259" display="https://www.mdpi.com/2079-9721/8/1/5" xr:uid="{F083D17D-5E38-4C8F-BC4E-374CDF56A82C}"/>
    <hyperlink ref="K17" r:id="rId260" display="https://www.als-journal.com/634-19/" xr:uid="{5A461783-9452-4922-B070-B1AF6BA0D4F4}"/>
    <hyperlink ref="K9" r:id="rId261" display="https://www.ncbi.nlm.nih.gov/pmc/articles/PMC8266089/" xr:uid="{467CC243-300E-4011-B733-1BE9D51BA105}"/>
    <hyperlink ref="L3" r:id="rId262" display="https://pubmed.ncbi.nlm.nih.gov/30188891/" xr:uid="{76C42472-CDD9-432F-B55F-ECE570E279FC}"/>
    <hyperlink ref="L17" r:id="rId263" display="https://rabiesalliance.org/country/pakistan" xr:uid="{33D69C6E-0833-4278-9CDC-A5D5E1727B86}"/>
    <hyperlink ref="L16" r:id="rId264" display="https://rabiesalliance.org/country/nigeria" xr:uid="{A50AB2CD-72DE-4343-9FE7-214849B62DF0}"/>
    <hyperlink ref="L15" r:id="rId265" display="https://www.sciencedirect.com/science/article/pii/S0001706X19305789?via%3Dihub" xr:uid="{B61CE01E-910C-4865-8752-C61CCE508F13}"/>
    <hyperlink ref="L13" r:id="rId266" display="https://rabiesalliance.org/country/ethiopia" xr:uid="{61DB89D4-9937-4EC7-843A-D8E0BE4B4855}"/>
    <hyperlink ref="L12" r:id="rId267" display="https://rabiesalliance.org/country/chad" xr:uid="{4F3D033D-F255-4BF3-B837-D892DE51DFE7}"/>
    <hyperlink ref="K7" r:id="rId268" location="B3-vaccines-11-00088" display="https://www.mdpi.com/2076-393X/11/1/88 - B3-vaccines-11-00088" xr:uid="{0E91F7D1-A0DA-4045-ADDA-2E746F367306}"/>
    <hyperlink ref="L7" r:id="rId269" display="https://weather.com/en-IN/india/health/news/2022-10-03-india-faces-sudden-surge-in-rabies-cases" xr:uid="{42FDB428-84A1-45F4-95F0-C6F57C590788}"/>
    <hyperlink ref="L10" r:id="rId270" display="https://www.ncbi.nlm.nih.gov/pmc/articles/PMC8102000/" xr:uid="{5AE7D460-D4C9-4BA3-81AF-39F994BBA5C2}"/>
    <hyperlink ref="L9" r:id="rId271" display="https://www.sciencedirect.com/science/article/pii/S0264410X1831363X" xr:uid="{2F127F24-6E56-49C3-9A8B-5BFFED2C6830}"/>
  </hyperlinks>
  <pageMargins left="0.7" right="0.7" top="0.75" bottom="0.75" header="0.3" footer="0.3"/>
  <drawing r:id="rId2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1A77-2478-4E99-9538-5AB379F7F58B}">
  <dimension ref="A1:U38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25.1640625" customWidth="1"/>
    <col min="2" max="3" width="13.83203125" customWidth="1"/>
    <col min="4" max="6" width="9.83203125" customWidth="1"/>
    <col min="7" max="7" width="13.83203125" customWidth="1"/>
    <col min="8" max="8" width="17.6640625" customWidth="1"/>
    <col min="9" max="12" width="13.83203125" customWidth="1"/>
    <col min="13" max="13" width="17.6640625" customWidth="1"/>
    <col min="14" max="15" width="13.83203125" customWidth="1"/>
    <col min="16" max="16" width="20" customWidth="1"/>
    <col min="17" max="17" width="17.33203125" customWidth="1"/>
    <col min="18" max="18" width="12.83203125" bestFit="1" customWidth="1"/>
    <col min="19" max="20" width="11.5" bestFit="1" customWidth="1"/>
    <col min="21" max="21" width="11.33203125" bestFit="1" customWidth="1"/>
  </cols>
  <sheetData>
    <row r="1" spans="1:21" s="184" customFormat="1" thickBot="1" x14ac:dyDescent="0.25">
      <c r="A1" s="182"/>
      <c r="B1" s="291" t="s">
        <v>921</v>
      </c>
      <c r="C1" s="292"/>
      <c r="D1" s="292"/>
      <c r="E1" s="292"/>
      <c r="F1" s="293"/>
      <c r="G1" s="294" t="s">
        <v>922</v>
      </c>
      <c r="H1" s="295"/>
      <c r="I1" s="295"/>
      <c r="J1" s="296"/>
      <c r="K1" s="297" t="s">
        <v>923</v>
      </c>
      <c r="L1" s="298"/>
      <c r="M1" s="298"/>
      <c r="N1" s="298"/>
      <c r="O1" s="299"/>
      <c r="P1" s="183" t="s">
        <v>924</v>
      </c>
    </row>
    <row r="2" spans="1:21" s="193" customFormat="1" ht="56" x14ac:dyDescent="0.2">
      <c r="A2" s="185" t="s">
        <v>925</v>
      </c>
      <c r="B2" s="186" t="s">
        <v>36</v>
      </c>
      <c r="C2" s="88" t="s">
        <v>926</v>
      </c>
      <c r="D2" s="88" t="s">
        <v>927</v>
      </c>
      <c r="E2" s="88" t="s">
        <v>30</v>
      </c>
      <c r="F2" s="187" t="s">
        <v>31</v>
      </c>
      <c r="G2" s="188" t="s">
        <v>32</v>
      </c>
      <c r="H2" s="189" t="s">
        <v>33</v>
      </c>
      <c r="I2" s="189" t="s">
        <v>34</v>
      </c>
      <c r="J2" s="187" t="s">
        <v>35</v>
      </c>
      <c r="K2" s="190" t="s">
        <v>37</v>
      </c>
      <c r="L2" s="88" t="s">
        <v>928</v>
      </c>
      <c r="M2" s="88" t="s">
        <v>929</v>
      </c>
      <c r="N2" s="88" t="s">
        <v>34</v>
      </c>
      <c r="O2" s="187" t="s">
        <v>35</v>
      </c>
      <c r="P2" s="191" t="s">
        <v>41</v>
      </c>
      <c r="Q2" s="192" t="s">
        <v>42</v>
      </c>
      <c r="R2" s="192" t="s">
        <v>43</v>
      </c>
      <c r="S2" s="192" t="s">
        <v>44</v>
      </c>
      <c r="T2" s="192" t="s">
        <v>45</v>
      </c>
      <c r="U2" s="192" t="s">
        <v>46</v>
      </c>
    </row>
    <row r="3" spans="1:21" x14ac:dyDescent="0.2">
      <c r="A3" s="194" t="s">
        <v>113</v>
      </c>
      <c r="B3" s="195" t="s">
        <v>728</v>
      </c>
      <c r="C3" s="196" t="s">
        <v>768</v>
      </c>
      <c r="D3" s="197">
        <v>44.1</v>
      </c>
      <c r="E3" s="198">
        <v>0.10202624330537703</v>
      </c>
      <c r="F3" s="199">
        <v>332.44702724179842</v>
      </c>
      <c r="G3" s="200">
        <v>574981.49200179696</v>
      </c>
      <c r="H3" s="201">
        <f>G3/3.5</f>
        <v>164280.42628622771</v>
      </c>
      <c r="I3" s="201">
        <f>H3*0.7</f>
        <v>114996.29840035939</v>
      </c>
      <c r="J3" s="202">
        <f>I3*1.25</f>
        <v>143745.37300044924</v>
      </c>
      <c r="K3" s="203">
        <v>1030.2823537751956</v>
      </c>
      <c r="L3" s="204">
        <v>1781917.8287490604</v>
      </c>
      <c r="M3" s="204">
        <v>509119.37964258867</v>
      </c>
      <c r="N3" s="204">
        <v>356383.56574981206</v>
      </c>
      <c r="O3" s="199">
        <v>445479.45718726504</v>
      </c>
      <c r="P3" s="205">
        <f>J3+(O3/J3/5*2*J3)+(O3/J3/5*3*J3)+(O3/J3/5*4*J3)+O3</f>
        <v>1391087.8531247913</v>
      </c>
      <c r="Q3" s="98">
        <f>J3</f>
        <v>143745.37300044924</v>
      </c>
      <c r="R3" s="206">
        <f>(O3/J3/5*2*J3)</f>
        <v>178191.78287490603</v>
      </c>
      <c r="S3" s="206">
        <f>(O3/J3/5*3*J3)</f>
        <v>267287.67431235907</v>
      </c>
      <c r="T3" s="94">
        <f>(O3/J3/5*4*J3)</f>
        <v>356383.56574981206</v>
      </c>
      <c r="U3" s="94">
        <f>O3</f>
        <v>445479.45718726504</v>
      </c>
    </row>
    <row r="4" spans="1:21" x14ac:dyDescent="0.2">
      <c r="A4" s="194" t="s">
        <v>123</v>
      </c>
      <c r="B4" s="195" t="s">
        <v>755</v>
      </c>
      <c r="C4" s="196" t="s">
        <v>728</v>
      </c>
      <c r="D4" s="197">
        <v>31.4</v>
      </c>
      <c r="E4" s="198">
        <v>3.1385070689462606E-2</v>
      </c>
      <c r="F4" s="199">
        <v>101.44298412881062</v>
      </c>
      <c r="G4" s="200">
        <v>13910.7019316511</v>
      </c>
      <c r="H4" s="201">
        <f t="shared" ref="H4:H16" si="0">G4/3.5</f>
        <v>3974.4862661860284</v>
      </c>
      <c r="I4" s="201">
        <f t="shared" ref="I4:I16" si="1">H4*0.7</f>
        <v>2782.1403863302198</v>
      </c>
      <c r="J4" s="202">
        <f t="shared" ref="J4:J16" si="2">I4*1.25</f>
        <v>3477.6754829127749</v>
      </c>
      <c r="K4" s="203">
        <v>353.41940949344854</v>
      </c>
      <c r="L4" s="204">
        <v>48463.795742452268</v>
      </c>
      <c r="M4" s="204">
        <v>13846.798783557791</v>
      </c>
      <c r="N4" s="204">
        <v>9692.7591484904533</v>
      </c>
      <c r="O4" s="199">
        <v>12115.948935613067</v>
      </c>
      <c r="P4" s="205">
        <f t="shared" ref="P4:P16" si="3">J4+(O4/J4/5*2*J4)+(O4/J4/5*3*J4)+(O4/J4/5*4*J4)+O4</f>
        <v>37402.332502629361</v>
      </c>
      <c r="Q4" s="98">
        <f t="shared" ref="Q4:Q16" si="4">J4</f>
        <v>3477.6754829127749</v>
      </c>
      <c r="R4" s="206">
        <f t="shared" ref="R4:R16" si="5">(O4/J4/4*2*J4)</f>
        <v>6057.9744678065335</v>
      </c>
      <c r="S4" s="206">
        <f t="shared" ref="S4:S16" si="6">(O4/J4/5*3*J4)</f>
        <v>7269.5693613678404</v>
      </c>
      <c r="T4" s="94">
        <f t="shared" ref="T4:T16" si="7">(O4/J4/5*4*J4)</f>
        <v>9692.7591484904533</v>
      </c>
      <c r="U4" s="94">
        <f t="shared" ref="U4:U16" si="8">O4</f>
        <v>12115.948935613067</v>
      </c>
    </row>
    <row r="5" spans="1:21" x14ac:dyDescent="0.2">
      <c r="A5" s="194" t="s">
        <v>181</v>
      </c>
      <c r="B5" s="195" t="s">
        <v>728</v>
      </c>
      <c r="C5" s="196" t="s">
        <v>768</v>
      </c>
      <c r="D5" s="207">
        <v>38</v>
      </c>
      <c r="E5" s="198">
        <v>6.0855646590947332E-2</v>
      </c>
      <c r="F5" s="199">
        <v>231.19509895310921</v>
      </c>
      <c r="G5" s="200">
        <v>39175.607238132179</v>
      </c>
      <c r="H5" s="201">
        <f t="shared" si="0"/>
        <v>11193.030639466337</v>
      </c>
      <c r="I5" s="201">
        <f t="shared" si="1"/>
        <v>7835.1214476264349</v>
      </c>
      <c r="J5" s="202">
        <f t="shared" si="2"/>
        <v>9793.901809533043</v>
      </c>
      <c r="K5" s="203">
        <v>716.49379062563105</v>
      </c>
      <c r="L5" s="204">
        <v>121408.62612231748</v>
      </c>
      <c r="M5" s="204">
        <v>34688.178892090706</v>
      </c>
      <c r="N5" s="204">
        <v>24281.725224463491</v>
      </c>
      <c r="O5" s="199">
        <v>30352.156530579363</v>
      </c>
      <c r="P5" s="205">
        <f t="shared" si="3"/>
        <v>94779.940095155252</v>
      </c>
      <c r="Q5" s="98">
        <f t="shared" si="4"/>
        <v>9793.901809533043</v>
      </c>
      <c r="R5" s="206">
        <f t="shared" si="5"/>
        <v>15176.078265289681</v>
      </c>
      <c r="S5" s="206">
        <f t="shared" si="6"/>
        <v>18211.293918347616</v>
      </c>
      <c r="T5" s="94">
        <f t="shared" si="7"/>
        <v>24281.725224463491</v>
      </c>
      <c r="U5" s="94">
        <f t="shared" si="8"/>
        <v>30352.156530579363</v>
      </c>
    </row>
    <row r="6" spans="1:21" x14ac:dyDescent="0.2">
      <c r="A6" s="194" t="s">
        <v>297</v>
      </c>
      <c r="B6" s="195" t="s">
        <v>755</v>
      </c>
      <c r="C6" s="196" t="s">
        <v>728</v>
      </c>
      <c r="D6" s="197">
        <v>31.2</v>
      </c>
      <c r="E6" s="198">
        <v>3.0696663683365058E-2</v>
      </c>
      <c r="F6" s="199">
        <v>97.097154645874525</v>
      </c>
      <c r="G6" s="200">
        <v>122854.17511707846</v>
      </c>
      <c r="H6" s="201">
        <f t="shared" si="0"/>
        <v>35101.192890593848</v>
      </c>
      <c r="I6" s="201">
        <f t="shared" si="1"/>
        <v>24570.835023415693</v>
      </c>
      <c r="J6" s="202">
        <f t="shared" si="2"/>
        <v>30713.543779269618</v>
      </c>
      <c r="K6" s="203">
        <v>338.27888003437596</v>
      </c>
      <c r="L6" s="204">
        <v>428014.32150842284</v>
      </c>
      <c r="M6" s="204">
        <v>122289.80614526368</v>
      </c>
      <c r="N6" s="204">
        <v>85602.864301684574</v>
      </c>
      <c r="O6" s="199">
        <v>107003.58037710571</v>
      </c>
      <c r="P6" s="205">
        <f t="shared" si="3"/>
        <v>330323.56883516558</v>
      </c>
      <c r="Q6" s="98">
        <f t="shared" si="4"/>
        <v>30713.543779269618</v>
      </c>
      <c r="R6" s="206">
        <f t="shared" si="5"/>
        <v>53501.790188552855</v>
      </c>
      <c r="S6" s="206">
        <f t="shared" si="6"/>
        <v>64202.148226263416</v>
      </c>
      <c r="T6" s="94">
        <f t="shared" si="7"/>
        <v>85602.86430168456</v>
      </c>
      <c r="U6" s="94">
        <f t="shared" si="8"/>
        <v>107003.58037710571</v>
      </c>
    </row>
    <row r="7" spans="1:21" x14ac:dyDescent="0.2">
      <c r="A7" s="194" t="s">
        <v>316</v>
      </c>
      <c r="B7" s="195" t="s">
        <v>755</v>
      </c>
      <c r="C7" s="196" t="s">
        <v>728</v>
      </c>
      <c r="D7" s="197">
        <v>36.1</v>
      </c>
      <c r="E7" s="198">
        <v>5.0930945982188273E-2</v>
      </c>
      <c r="F7" s="199">
        <v>196.30950357424854</v>
      </c>
      <c r="G7" s="200">
        <v>66984.699363179563</v>
      </c>
      <c r="H7" s="201">
        <f t="shared" si="0"/>
        <v>19138.485532337018</v>
      </c>
      <c r="I7" s="201">
        <f t="shared" si="1"/>
        <v>13396.939872635912</v>
      </c>
      <c r="J7" s="202">
        <f t="shared" si="2"/>
        <v>16746.174840794891</v>
      </c>
      <c r="K7" s="203">
        <v>683.92693124115806</v>
      </c>
      <c r="L7" s="204">
        <v>233369.44488906825</v>
      </c>
      <c r="M7" s="204">
        <v>66676.984254019495</v>
      </c>
      <c r="N7" s="204">
        <v>46673.888977813644</v>
      </c>
      <c r="O7" s="199">
        <v>58342.361222267056</v>
      </c>
      <c r="P7" s="205">
        <f t="shared" si="3"/>
        <v>180104.78626314265</v>
      </c>
      <c r="Q7" s="98">
        <f t="shared" si="4"/>
        <v>16746.174840794891</v>
      </c>
      <c r="R7" s="206">
        <f t="shared" si="5"/>
        <v>29171.180611133528</v>
      </c>
      <c r="S7" s="206">
        <f t="shared" si="6"/>
        <v>35005.416733360231</v>
      </c>
      <c r="T7" s="94">
        <f t="shared" si="7"/>
        <v>46673.888977813644</v>
      </c>
      <c r="U7" s="94">
        <f t="shared" si="8"/>
        <v>58342.361222267056</v>
      </c>
    </row>
    <row r="8" spans="1:21" x14ac:dyDescent="0.2">
      <c r="A8" s="194" t="s">
        <v>339</v>
      </c>
      <c r="B8" s="195" t="s">
        <v>731</v>
      </c>
      <c r="C8" s="196" t="s">
        <v>755</v>
      </c>
      <c r="D8" s="197">
        <v>24.5</v>
      </c>
      <c r="E8" s="198">
        <v>1.3264367867517392E-2</v>
      </c>
      <c r="F8" s="199">
        <v>10</v>
      </c>
      <c r="G8" s="200">
        <v>1172.4763</v>
      </c>
      <c r="H8" s="201">
        <f t="shared" si="0"/>
        <v>334.99322857142857</v>
      </c>
      <c r="I8" s="201">
        <f t="shared" si="1"/>
        <v>234.49525999999997</v>
      </c>
      <c r="J8" s="202">
        <f t="shared" si="2"/>
        <v>293.11907499999995</v>
      </c>
      <c r="K8" s="203">
        <v>42.303962558874574</v>
      </c>
      <c r="L8" s="204">
        <v>4960.0393496367797</v>
      </c>
      <c r="M8" s="204">
        <v>1417.1540998962228</v>
      </c>
      <c r="N8" s="204">
        <v>992.00786992735584</v>
      </c>
      <c r="O8" s="199">
        <v>1240.0098374091949</v>
      </c>
      <c r="P8" s="205">
        <f t="shared" si="3"/>
        <v>3765.1466197457457</v>
      </c>
      <c r="Q8" s="98">
        <f t="shared" si="4"/>
        <v>293.11907499999995</v>
      </c>
      <c r="R8" s="206">
        <f t="shared" si="5"/>
        <v>620.00491870459746</v>
      </c>
      <c r="S8" s="206">
        <f t="shared" si="6"/>
        <v>744.00590244551699</v>
      </c>
      <c r="T8" s="94">
        <f t="shared" si="7"/>
        <v>992.00786992735596</v>
      </c>
      <c r="U8" s="94">
        <f t="shared" si="8"/>
        <v>1240.0098374091949</v>
      </c>
    </row>
    <row r="9" spans="1:21" x14ac:dyDescent="0.2">
      <c r="A9" s="194" t="s">
        <v>408</v>
      </c>
      <c r="B9" s="195" t="s">
        <v>755</v>
      </c>
      <c r="C9" s="196" t="s">
        <v>728</v>
      </c>
      <c r="D9" s="197">
        <v>33.4</v>
      </c>
      <c r="E9" s="198">
        <v>3.8886746352379167E-2</v>
      </c>
      <c r="F9" s="199">
        <v>143.43903869620272</v>
      </c>
      <c r="G9" s="200">
        <v>79035.750874374455</v>
      </c>
      <c r="H9" s="201">
        <f t="shared" si="0"/>
        <v>22581.643106964129</v>
      </c>
      <c r="I9" s="201">
        <f t="shared" si="1"/>
        <v>15807.150174874889</v>
      </c>
      <c r="J9" s="202">
        <f t="shared" si="2"/>
        <v>19758.93771859361</v>
      </c>
      <c r="K9" s="203">
        <v>499.73037356579829</v>
      </c>
      <c r="L9" s="204">
        <v>275354.36425474397</v>
      </c>
      <c r="M9" s="204">
        <v>78672.675501355421</v>
      </c>
      <c r="N9" s="204">
        <v>55070.872850948792</v>
      </c>
      <c r="O9" s="199">
        <v>68838.591063685992</v>
      </c>
      <c r="P9" s="205">
        <f t="shared" si="3"/>
        <v>212506.99269691436</v>
      </c>
      <c r="Q9" s="98">
        <f t="shared" si="4"/>
        <v>19758.93771859361</v>
      </c>
      <c r="R9" s="206">
        <f t="shared" si="5"/>
        <v>34419.295531842996</v>
      </c>
      <c r="S9" s="206">
        <f t="shared" si="6"/>
        <v>41303.154638211592</v>
      </c>
      <c r="T9" s="94">
        <f t="shared" si="7"/>
        <v>55070.872850948792</v>
      </c>
      <c r="U9" s="94">
        <f t="shared" si="8"/>
        <v>68838.591063685992</v>
      </c>
    </row>
    <row r="10" spans="1:21" x14ac:dyDescent="0.2">
      <c r="A10" s="194" t="s">
        <v>432</v>
      </c>
      <c r="B10" s="195" t="s">
        <v>731</v>
      </c>
      <c r="C10" s="196" t="s">
        <v>755</v>
      </c>
      <c r="D10" s="197">
        <v>26.3</v>
      </c>
      <c r="E10" s="198">
        <v>1.6965021059691207E-2</v>
      </c>
      <c r="F10" s="199">
        <v>10</v>
      </c>
      <c r="G10" s="200">
        <v>233.0318</v>
      </c>
      <c r="H10" s="201">
        <f t="shared" si="0"/>
        <v>66.580514285714287</v>
      </c>
      <c r="I10" s="201">
        <f t="shared" si="1"/>
        <v>46.606359999999995</v>
      </c>
      <c r="J10" s="202">
        <f t="shared" si="2"/>
        <v>58.257949999999994</v>
      </c>
      <c r="K10" s="203">
        <v>42.303962558874574</v>
      </c>
      <c r="L10" s="204">
        <v>985.81685422271482</v>
      </c>
      <c r="M10" s="204">
        <v>281.66195834934712</v>
      </c>
      <c r="N10" s="204">
        <v>197.16337084454298</v>
      </c>
      <c r="O10" s="199">
        <v>246.45421355567873</v>
      </c>
      <c r="P10" s="205">
        <f t="shared" si="3"/>
        <v>748.32974795590053</v>
      </c>
      <c r="Q10" s="98">
        <f t="shared" si="4"/>
        <v>58.257949999999994</v>
      </c>
      <c r="R10" s="206">
        <f t="shared" si="5"/>
        <v>123.22710677783937</v>
      </c>
      <c r="S10" s="206">
        <f t="shared" si="6"/>
        <v>147.87252813340726</v>
      </c>
      <c r="T10" s="94">
        <f t="shared" si="7"/>
        <v>197.16337084454298</v>
      </c>
      <c r="U10" s="94">
        <f t="shared" si="8"/>
        <v>246.45421355567873</v>
      </c>
    </row>
    <row r="11" spans="1:21" x14ac:dyDescent="0.2">
      <c r="A11" s="194" t="s">
        <v>437</v>
      </c>
      <c r="B11" s="195" t="s">
        <v>755</v>
      </c>
      <c r="C11" s="196" t="s">
        <v>728</v>
      </c>
      <c r="D11" s="197">
        <v>35.700000000000003</v>
      </c>
      <c r="E11" s="198">
        <v>4.8998874785693175E-2</v>
      </c>
      <c r="F11" s="199">
        <v>188.73148645685751</v>
      </c>
      <c r="G11" s="200">
        <v>10226.183453936483</v>
      </c>
      <c r="H11" s="201">
        <f t="shared" si="0"/>
        <v>2921.7667011247095</v>
      </c>
      <c r="I11" s="201">
        <f t="shared" si="1"/>
        <v>2045.2366907872965</v>
      </c>
      <c r="J11" s="202">
        <f t="shared" si="2"/>
        <v>2556.5458634841207</v>
      </c>
      <c r="K11" s="203">
        <v>657.52571327857504</v>
      </c>
      <c r="L11" s="204">
        <v>35627.222017372253</v>
      </c>
      <c r="M11" s="204">
        <v>10179.206290677786</v>
      </c>
      <c r="N11" s="204">
        <v>7125.4444034744502</v>
      </c>
      <c r="O11" s="199">
        <v>8906.8055043430631</v>
      </c>
      <c r="P11" s="205">
        <f t="shared" si="3"/>
        <v>27495.601275644702</v>
      </c>
      <c r="Q11" s="98">
        <f t="shared" si="4"/>
        <v>2556.5458634841207</v>
      </c>
      <c r="R11" s="206">
        <f t="shared" si="5"/>
        <v>4453.4027521715316</v>
      </c>
      <c r="S11" s="206">
        <f t="shared" si="6"/>
        <v>5344.083302605839</v>
      </c>
      <c r="T11" s="94">
        <f t="shared" si="7"/>
        <v>7125.4444034744511</v>
      </c>
      <c r="U11" s="94">
        <f t="shared" si="8"/>
        <v>8906.8055043430631</v>
      </c>
    </row>
    <row r="12" spans="1:21" x14ac:dyDescent="0.2">
      <c r="A12" s="194" t="s">
        <v>453</v>
      </c>
      <c r="B12" s="195" t="s">
        <v>731</v>
      </c>
      <c r="C12" s="196" t="s">
        <v>755</v>
      </c>
      <c r="D12" s="197">
        <v>29.9</v>
      </c>
      <c r="E12" s="198">
        <v>2.648116718795733E-2</v>
      </c>
      <c r="F12" s="199">
        <v>68.151509687363159</v>
      </c>
      <c r="G12" s="200">
        <v>14265.304310499734</v>
      </c>
      <c r="H12" s="201">
        <f t="shared" si="0"/>
        <v>4075.8012315713527</v>
      </c>
      <c r="I12" s="201">
        <f t="shared" si="1"/>
        <v>2853.0608620999469</v>
      </c>
      <c r="J12" s="202">
        <f t="shared" si="2"/>
        <v>3566.3260776249335</v>
      </c>
      <c r="K12" s="203">
        <v>288.3078914144989</v>
      </c>
      <c r="L12" s="204">
        <v>60347.889944233291</v>
      </c>
      <c r="M12" s="204">
        <v>17242.25426978094</v>
      </c>
      <c r="N12" s="204">
        <v>12069.577988846657</v>
      </c>
      <c r="O12" s="199">
        <v>15086.972486058321</v>
      </c>
      <c r="P12" s="205">
        <f t="shared" si="3"/>
        <v>45809.849038588232</v>
      </c>
      <c r="Q12" s="98">
        <f t="shared" si="4"/>
        <v>3566.3260776249335</v>
      </c>
      <c r="R12" s="206">
        <f t="shared" si="5"/>
        <v>7543.4862430291605</v>
      </c>
      <c r="S12" s="206">
        <f t="shared" si="6"/>
        <v>9052.1834916349926</v>
      </c>
      <c r="T12" s="94">
        <f t="shared" si="7"/>
        <v>12069.577988846657</v>
      </c>
      <c r="U12" s="94">
        <f t="shared" si="8"/>
        <v>15086.972486058321</v>
      </c>
    </row>
    <row r="13" spans="1:21" x14ac:dyDescent="0.2">
      <c r="A13" s="194" t="s">
        <v>468</v>
      </c>
      <c r="B13" s="195" t="s">
        <v>731</v>
      </c>
      <c r="C13" s="196" t="s">
        <v>755</v>
      </c>
      <c r="D13" s="197">
        <v>29.6</v>
      </c>
      <c r="E13" s="198">
        <v>2.5570333691214663E-2</v>
      </c>
      <c r="F13" s="199">
        <v>61.293098627769268</v>
      </c>
      <c r="G13" s="200">
        <v>14277.429289194717</v>
      </c>
      <c r="H13" s="201">
        <f t="shared" si="0"/>
        <v>4079.2655111984905</v>
      </c>
      <c r="I13" s="201">
        <f t="shared" si="1"/>
        <v>2855.485857838943</v>
      </c>
      <c r="J13" s="202">
        <f t="shared" si="2"/>
        <v>3569.3573222986788</v>
      </c>
      <c r="K13" s="203">
        <v>259.29409494665578</v>
      </c>
      <c r="L13" s="204">
        <v>60399.183408707257</v>
      </c>
      <c r="M13" s="204">
        <v>17256.90954534493</v>
      </c>
      <c r="N13" s="204">
        <v>12079.83668174145</v>
      </c>
      <c r="O13" s="199">
        <v>15099.795852176812</v>
      </c>
      <c r="P13" s="205">
        <f t="shared" si="3"/>
        <v>45848.785708393756</v>
      </c>
      <c r="Q13" s="98">
        <f t="shared" si="4"/>
        <v>3569.3573222986788</v>
      </c>
      <c r="R13" s="206">
        <f t="shared" si="5"/>
        <v>7549.8979260884062</v>
      </c>
      <c r="S13" s="206">
        <f t="shared" si="6"/>
        <v>9059.8775113060856</v>
      </c>
      <c r="T13" s="94">
        <f t="shared" si="7"/>
        <v>12079.83668174145</v>
      </c>
      <c r="U13" s="94">
        <f t="shared" si="8"/>
        <v>15099.795852176812</v>
      </c>
    </row>
    <row r="14" spans="1:21" x14ac:dyDescent="0.2">
      <c r="A14" s="194" t="s">
        <v>582</v>
      </c>
      <c r="B14" s="195" t="s">
        <v>731</v>
      </c>
      <c r="C14" s="196" t="s">
        <v>755</v>
      </c>
      <c r="D14" s="197">
        <v>30.9</v>
      </c>
      <c r="E14" s="198">
        <v>2.9684304772750206E-2</v>
      </c>
      <c r="F14" s="199">
        <v>90.525895796583882</v>
      </c>
      <c r="G14" s="200">
        <v>7958.2147833018225</v>
      </c>
      <c r="H14" s="201">
        <f t="shared" si="0"/>
        <v>2273.7756523719495</v>
      </c>
      <c r="I14" s="201">
        <f t="shared" si="1"/>
        <v>1591.6429566603645</v>
      </c>
      <c r="J14" s="202">
        <f t="shared" si="2"/>
        <v>1989.5536958254556</v>
      </c>
      <c r="K14" s="203">
        <v>382.96041063872661</v>
      </c>
      <c r="L14" s="204">
        <v>33666.402022828246</v>
      </c>
      <c r="M14" s="204">
        <v>9618.9720065223555</v>
      </c>
      <c r="N14" s="204">
        <v>6733.2804045656485</v>
      </c>
      <c r="O14" s="199">
        <v>8416.6005057070615</v>
      </c>
      <c r="P14" s="205">
        <f t="shared" si="3"/>
        <v>25556.035111805228</v>
      </c>
      <c r="Q14" s="98">
        <f t="shared" si="4"/>
        <v>1989.5536958254556</v>
      </c>
      <c r="R14" s="206">
        <f t="shared" si="5"/>
        <v>4208.3002528535308</v>
      </c>
      <c r="S14" s="206">
        <f t="shared" si="6"/>
        <v>5049.9603034242364</v>
      </c>
      <c r="T14" s="94">
        <f t="shared" si="7"/>
        <v>6733.2804045656485</v>
      </c>
      <c r="U14" s="94">
        <f t="shared" si="8"/>
        <v>8416.6005057070615</v>
      </c>
    </row>
    <row r="15" spans="1:21" x14ac:dyDescent="0.2">
      <c r="A15" s="194" t="s">
        <v>655</v>
      </c>
      <c r="B15" s="195" t="s">
        <v>755</v>
      </c>
      <c r="C15" s="196" t="s">
        <v>728</v>
      </c>
      <c r="D15" s="197">
        <v>32.4</v>
      </c>
      <c r="E15" s="198">
        <v>3.4992959295731367E-2</v>
      </c>
      <c r="F15" s="199">
        <v>122.7651065135683</v>
      </c>
      <c r="G15" s="200">
        <v>59642.15408187751</v>
      </c>
      <c r="H15" s="201">
        <f t="shared" si="0"/>
        <v>17040.615451965004</v>
      </c>
      <c r="I15" s="201">
        <f t="shared" si="1"/>
        <v>11928.430816375503</v>
      </c>
      <c r="J15" s="202">
        <f t="shared" si="2"/>
        <v>14910.538520469379</v>
      </c>
      <c r="K15" s="203">
        <v>427.70401347157537</v>
      </c>
      <c r="L15" s="204">
        <v>207788.59235616573</v>
      </c>
      <c r="M15" s="204">
        <v>59368.169244618781</v>
      </c>
      <c r="N15" s="204">
        <v>41557.718471233144</v>
      </c>
      <c r="O15" s="199">
        <v>51947.148089041431</v>
      </c>
      <c r="P15" s="205">
        <f t="shared" si="3"/>
        <v>160362.55316978539</v>
      </c>
      <c r="Q15" s="98">
        <f t="shared" si="4"/>
        <v>14910.538520469379</v>
      </c>
      <c r="R15" s="206">
        <f t="shared" si="5"/>
        <v>25973.574044520716</v>
      </c>
      <c r="S15" s="206">
        <f t="shared" si="6"/>
        <v>31168.288853424856</v>
      </c>
      <c r="T15" s="94">
        <f t="shared" si="7"/>
        <v>41557.718471233144</v>
      </c>
      <c r="U15" s="94">
        <f t="shared" si="8"/>
        <v>51947.148089041431</v>
      </c>
    </row>
    <row r="16" spans="1:21" ht="16" thickBot="1" x14ac:dyDescent="0.25">
      <c r="A16" s="194" t="s">
        <v>702</v>
      </c>
      <c r="B16" s="195" t="s">
        <v>731</v>
      </c>
      <c r="C16" s="196" t="s">
        <v>755</v>
      </c>
      <c r="D16" s="197">
        <v>28.6</v>
      </c>
      <c r="E16" s="198">
        <v>2.2695035167675581E-2</v>
      </c>
      <c r="F16" s="199">
        <v>37.918976927687709</v>
      </c>
      <c r="G16" s="208">
        <v>6319.3525936147917</v>
      </c>
      <c r="H16" s="209">
        <f t="shared" si="0"/>
        <v>1805.529312461369</v>
      </c>
      <c r="I16" s="209">
        <f t="shared" si="1"/>
        <v>1263.8705187229582</v>
      </c>
      <c r="J16" s="210">
        <f t="shared" si="2"/>
        <v>1579.8381484036977</v>
      </c>
      <c r="K16" s="203">
        <v>160.41229802197299</v>
      </c>
      <c r="L16" s="204">
        <v>26733.36555166071</v>
      </c>
      <c r="M16" s="204">
        <v>7638.104443331632</v>
      </c>
      <c r="N16" s="204">
        <v>5346.6731103321417</v>
      </c>
      <c r="O16" s="199">
        <v>6683.3413879151776</v>
      </c>
      <c r="P16" s="205">
        <f t="shared" si="3"/>
        <v>20293.194034566197</v>
      </c>
      <c r="Q16" s="98">
        <f t="shared" si="4"/>
        <v>1579.8381484036977</v>
      </c>
      <c r="R16" s="206">
        <f t="shared" si="5"/>
        <v>3341.6706939575888</v>
      </c>
      <c r="S16" s="206">
        <f t="shared" si="6"/>
        <v>4010.0048327491068</v>
      </c>
      <c r="T16" s="94">
        <f t="shared" si="7"/>
        <v>5346.6731103321426</v>
      </c>
      <c r="U16" s="94">
        <f t="shared" si="8"/>
        <v>6683.3413879151776</v>
      </c>
    </row>
    <row r="17" spans="1:21" ht="16" thickBot="1" x14ac:dyDescent="0.25">
      <c r="A17" s="211"/>
      <c r="B17" s="212"/>
      <c r="F17" s="213"/>
      <c r="G17" s="212"/>
      <c r="J17" s="213"/>
      <c r="K17" s="212"/>
      <c r="O17" s="213"/>
      <c r="P17" s="211"/>
    </row>
    <row r="18" spans="1:21" ht="16" thickBot="1" x14ac:dyDescent="0.25">
      <c r="A18" s="214" t="s">
        <v>930</v>
      </c>
      <c r="B18" s="215"/>
      <c r="C18" s="216"/>
      <c r="D18" s="217">
        <f>AVERAGE(D3:D16)</f>
        <v>32.292857142857137</v>
      </c>
      <c r="E18" s="218">
        <f>MEDIAN(E3:E16)</f>
        <v>3.1040867186413832E-2</v>
      </c>
      <c r="F18" s="219">
        <f>MEDIAN(F3:F16)</f>
        <v>99.270069387342573</v>
      </c>
      <c r="G18" s="220">
        <f>SUM(G3:G16)</f>
        <v>1011036.5731386378</v>
      </c>
      <c r="H18" s="221">
        <f t="shared" ref="H18:J18" si="9">SUM(H3:H16)</f>
        <v>288867.59232532507</v>
      </c>
      <c r="I18" s="221">
        <f t="shared" si="9"/>
        <v>202207.31462772755</v>
      </c>
      <c r="J18" s="219">
        <f t="shared" si="9"/>
        <v>252759.14328465945</v>
      </c>
      <c r="K18" s="220">
        <f>MEDIAN(K3:K16)</f>
        <v>368.18991006608758</v>
      </c>
      <c r="L18" s="221">
        <f>SUM(L3:L16)</f>
        <v>3319036.8927708925</v>
      </c>
      <c r="M18" s="221">
        <f t="shared" ref="M18:U18" si="10">SUM(M3:M16)</f>
        <v>948296.25507739768</v>
      </c>
      <c r="N18" s="221">
        <f t="shared" si="10"/>
        <v>663807.3785541784</v>
      </c>
      <c r="O18" s="219">
        <f t="shared" si="10"/>
        <v>829759.22319272312</v>
      </c>
      <c r="P18" s="222">
        <f t="shared" si="10"/>
        <v>2576084.9682242842</v>
      </c>
      <c r="Q18" s="222">
        <f t="shared" si="10"/>
        <v>252759.14328465945</v>
      </c>
      <c r="R18" s="222">
        <f t="shared" si="10"/>
        <v>370331.66587763507</v>
      </c>
      <c r="S18" s="222">
        <f t="shared" si="10"/>
        <v>497855.53391563374</v>
      </c>
      <c r="T18" s="222">
        <f t="shared" si="10"/>
        <v>663807.37855417829</v>
      </c>
      <c r="U18" s="222">
        <f t="shared" si="10"/>
        <v>829759.22319272312</v>
      </c>
    </row>
    <row r="24" spans="1:21" x14ac:dyDescent="0.2">
      <c r="G24" s="185" t="s">
        <v>925</v>
      </c>
      <c r="H24" s="192" t="s">
        <v>42</v>
      </c>
      <c r="I24" s="192" t="s">
        <v>43</v>
      </c>
      <c r="J24" s="192" t="s">
        <v>44</v>
      </c>
      <c r="K24" s="192" t="s">
        <v>45</v>
      </c>
      <c r="L24" s="192" t="s">
        <v>46</v>
      </c>
    </row>
    <row r="25" spans="1:21" x14ac:dyDescent="0.2">
      <c r="G25" s="194" t="s">
        <v>113</v>
      </c>
      <c r="H25" s="98">
        <v>143745.37300044924</v>
      </c>
      <c r="I25" s="206">
        <v>178191.78287490603</v>
      </c>
      <c r="J25" s="206">
        <v>267287.67431235907</v>
      </c>
      <c r="K25" s="94">
        <v>356383.56574981206</v>
      </c>
      <c r="L25" s="94">
        <v>445479.45718726504</v>
      </c>
    </row>
    <row r="26" spans="1:21" x14ac:dyDescent="0.2">
      <c r="G26" s="194" t="s">
        <v>123</v>
      </c>
      <c r="H26" s="98">
        <v>3477.6754829127749</v>
      </c>
      <c r="I26" s="206">
        <v>6057.9744678065335</v>
      </c>
      <c r="J26" s="206">
        <v>7269.5693613678404</v>
      </c>
      <c r="K26" s="94">
        <v>9692.7591484904533</v>
      </c>
      <c r="L26" s="94">
        <v>12115.948935613067</v>
      </c>
    </row>
    <row r="27" spans="1:21" x14ac:dyDescent="0.2">
      <c r="G27" s="194" t="s">
        <v>181</v>
      </c>
      <c r="H27" s="98">
        <v>9793.901809533043</v>
      </c>
      <c r="I27" s="206">
        <v>15176.078265289681</v>
      </c>
      <c r="J27" s="206">
        <v>18211.293918347616</v>
      </c>
      <c r="K27" s="94">
        <v>24281.725224463491</v>
      </c>
      <c r="L27" s="94">
        <v>30352.156530579363</v>
      </c>
    </row>
    <row r="28" spans="1:21" x14ac:dyDescent="0.2">
      <c r="G28" s="194" t="s">
        <v>297</v>
      </c>
      <c r="H28" s="98">
        <v>30713.543779269618</v>
      </c>
      <c r="I28" s="206">
        <v>53501.790188552855</v>
      </c>
      <c r="J28" s="206">
        <v>64202.148226263416</v>
      </c>
      <c r="K28" s="94">
        <v>85602.86430168456</v>
      </c>
      <c r="L28" s="94">
        <v>107003.58037710571</v>
      </c>
    </row>
    <row r="29" spans="1:21" x14ac:dyDescent="0.2">
      <c r="G29" s="194" t="s">
        <v>316</v>
      </c>
      <c r="H29" s="98">
        <v>16746.174840794891</v>
      </c>
      <c r="I29" s="206">
        <v>29171.180611133528</v>
      </c>
      <c r="J29" s="206">
        <v>35005.416733360231</v>
      </c>
      <c r="K29" s="94">
        <v>46673.888977813644</v>
      </c>
      <c r="L29" s="94">
        <v>58342.361222267056</v>
      </c>
    </row>
    <row r="30" spans="1:21" x14ac:dyDescent="0.2">
      <c r="G30" s="194" t="s">
        <v>339</v>
      </c>
      <c r="H30" s="98">
        <v>293.11907499999995</v>
      </c>
      <c r="I30" s="206">
        <v>620.00491870459746</v>
      </c>
      <c r="J30" s="206">
        <v>744.00590244551699</v>
      </c>
      <c r="K30" s="94">
        <v>992.00786992735596</v>
      </c>
      <c r="L30" s="94">
        <v>1240.0098374091949</v>
      </c>
    </row>
    <row r="31" spans="1:21" x14ac:dyDescent="0.2">
      <c r="G31" s="194" t="s">
        <v>408</v>
      </c>
      <c r="H31" s="98">
        <v>19758.93771859361</v>
      </c>
      <c r="I31" s="206">
        <v>34419.295531842996</v>
      </c>
      <c r="J31" s="206">
        <v>41303.154638211592</v>
      </c>
      <c r="K31" s="94">
        <v>55070.872850948792</v>
      </c>
      <c r="L31" s="94">
        <v>68838.591063685992</v>
      </c>
    </row>
    <row r="32" spans="1:21" x14ac:dyDescent="0.2">
      <c r="G32" s="194" t="s">
        <v>432</v>
      </c>
      <c r="H32" s="98">
        <v>58.257949999999994</v>
      </c>
      <c r="I32" s="206">
        <v>123.22710677783937</v>
      </c>
      <c r="J32" s="206">
        <v>147.87252813340726</v>
      </c>
      <c r="K32" s="94">
        <v>197.16337084454298</v>
      </c>
      <c r="L32" s="94">
        <v>246.45421355567873</v>
      </c>
    </row>
    <row r="33" spans="7:12" x14ac:dyDescent="0.2">
      <c r="G33" s="194" t="s">
        <v>437</v>
      </c>
      <c r="H33" s="98">
        <v>2556.5458634841207</v>
      </c>
      <c r="I33" s="206">
        <v>4453.4027521715316</v>
      </c>
      <c r="J33" s="206">
        <v>5344.083302605839</v>
      </c>
      <c r="K33" s="94">
        <v>7125.4444034744511</v>
      </c>
      <c r="L33" s="94">
        <v>8906.8055043430631</v>
      </c>
    </row>
    <row r="34" spans="7:12" x14ac:dyDescent="0.2">
      <c r="G34" s="194" t="s">
        <v>453</v>
      </c>
      <c r="H34" s="98">
        <v>3566.3260776249335</v>
      </c>
      <c r="I34" s="206">
        <v>7543.4862430291605</v>
      </c>
      <c r="J34" s="206">
        <v>9052.1834916349926</v>
      </c>
      <c r="K34" s="94">
        <v>12069.577988846657</v>
      </c>
      <c r="L34" s="94">
        <v>15086.972486058321</v>
      </c>
    </row>
    <row r="35" spans="7:12" x14ac:dyDescent="0.2">
      <c r="G35" s="194" t="s">
        <v>468</v>
      </c>
      <c r="H35" s="98">
        <v>3569.3573222986788</v>
      </c>
      <c r="I35" s="206">
        <v>7549.8979260884062</v>
      </c>
      <c r="J35" s="206">
        <v>9059.8775113060856</v>
      </c>
      <c r="K35" s="94">
        <v>12079.83668174145</v>
      </c>
      <c r="L35" s="94">
        <v>15099.795852176812</v>
      </c>
    </row>
    <row r="36" spans="7:12" x14ac:dyDescent="0.2">
      <c r="G36" s="194" t="s">
        <v>582</v>
      </c>
      <c r="H36" s="98">
        <v>1989.5536958254556</v>
      </c>
      <c r="I36" s="206">
        <v>4208.3002528535308</v>
      </c>
      <c r="J36" s="206">
        <v>5049.9603034242364</v>
      </c>
      <c r="K36" s="94">
        <v>6733.2804045656485</v>
      </c>
      <c r="L36" s="94">
        <v>8416.6005057070615</v>
      </c>
    </row>
    <row r="37" spans="7:12" x14ac:dyDescent="0.2">
      <c r="G37" s="194" t="s">
        <v>655</v>
      </c>
      <c r="H37" s="98">
        <v>14910.538520469379</v>
      </c>
      <c r="I37" s="206">
        <v>25973.574044520716</v>
      </c>
      <c r="J37" s="206">
        <v>31168.288853424856</v>
      </c>
      <c r="K37" s="94">
        <v>41557.718471233144</v>
      </c>
      <c r="L37" s="94">
        <v>51947.148089041431</v>
      </c>
    </row>
    <row r="38" spans="7:12" x14ac:dyDescent="0.2">
      <c r="G38" s="194" t="s">
        <v>702</v>
      </c>
      <c r="H38" s="98">
        <v>1579.8381484036977</v>
      </c>
      <c r="I38" s="206">
        <v>3341.6706939575888</v>
      </c>
      <c r="J38" s="206">
        <v>4010.0048327491068</v>
      </c>
      <c r="K38" s="94">
        <v>5346.6731103321426</v>
      </c>
      <c r="L38" s="94">
        <v>6683.3413879151776</v>
      </c>
    </row>
  </sheetData>
  <mergeCells count="3">
    <mergeCell ref="B1:F1"/>
    <mergeCell ref="G1:J1"/>
    <mergeCell ref="K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C24B-04A6-4465-90B4-5106729B75BF}">
  <dimension ref="A1:T56"/>
  <sheetViews>
    <sheetView workbookViewId="0">
      <selection activeCell="A56" sqref="A56"/>
    </sheetView>
  </sheetViews>
  <sheetFormatPr baseColWidth="10" defaultColWidth="8.83203125" defaultRowHeight="15" x14ac:dyDescent="0.2"/>
  <cols>
    <col min="1" max="1" width="21.5" style="4" customWidth="1"/>
    <col min="2" max="2" width="16.5" style="4" bestFit="1" customWidth="1"/>
    <col min="3" max="3" width="8.5" style="4" customWidth="1"/>
    <col min="4" max="5" width="9.1640625" style="4"/>
    <col min="6" max="9" width="16" style="4" customWidth="1"/>
    <col min="10" max="10" width="9.1640625" style="4"/>
    <col min="11" max="15" width="14.1640625" style="4" customWidth="1"/>
    <col min="16" max="20" width="12.5" style="4" customWidth="1"/>
  </cols>
  <sheetData>
    <row r="1" spans="1:20" s="193" customFormat="1" ht="85" thickBot="1" x14ac:dyDescent="0.25">
      <c r="A1" s="223" t="s">
        <v>931</v>
      </c>
      <c r="B1" s="25" t="s">
        <v>36</v>
      </c>
      <c r="C1" s="26" t="s">
        <v>927</v>
      </c>
      <c r="D1" s="26" t="s">
        <v>30</v>
      </c>
      <c r="E1" s="27" t="s">
        <v>31</v>
      </c>
      <c r="F1" s="26" t="s">
        <v>32</v>
      </c>
      <c r="G1" s="26" t="s">
        <v>33</v>
      </c>
      <c r="H1" s="26" t="s">
        <v>34</v>
      </c>
      <c r="I1" s="27" t="s">
        <v>35</v>
      </c>
      <c r="J1" s="224" t="s">
        <v>932</v>
      </c>
      <c r="K1" s="26" t="s">
        <v>933</v>
      </c>
      <c r="L1" s="26" t="s">
        <v>934</v>
      </c>
      <c r="M1" s="26" t="s">
        <v>34</v>
      </c>
      <c r="N1" s="27" t="s">
        <v>40</v>
      </c>
      <c r="O1" s="25" t="s">
        <v>935</v>
      </c>
      <c r="P1" s="26" t="s">
        <v>42</v>
      </c>
      <c r="Q1" s="26" t="s">
        <v>43</v>
      </c>
      <c r="R1" s="26" t="s">
        <v>44</v>
      </c>
      <c r="S1" s="26" t="s">
        <v>45</v>
      </c>
      <c r="T1" s="27" t="s">
        <v>46</v>
      </c>
    </row>
    <row r="2" spans="1:20" x14ac:dyDescent="0.2">
      <c r="A2" s="225" t="s">
        <v>201</v>
      </c>
      <c r="B2" s="43" t="s">
        <v>731</v>
      </c>
      <c r="C2" s="43">
        <v>23.8</v>
      </c>
      <c r="D2" s="44">
        <v>1.1994743240961463E-2</v>
      </c>
      <c r="E2" s="226">
        <v>10</v>
      </c>
      <c r="F2" s="227">
        <v>1827.8568</v>
      </c>
      <c r="G2" s="227">
        <v>522.24480000000005</v>
      </c>
      <c r="H2" s="227">
        <v>365.57136000000003</v>
      </c>
      <c r="I2" s="228">
        <v>456.96420000000001</v>
      </c>
      <c r="J2" s="229">
        <v>42.303962558874574</v>
      </c>
      <c r="K2" s="45">
        <v>7732.5585630184287</v>
      </c>
      <c r="L2" s="45">
        <v>2209.3024465766939</v>
      </c>
      <c r="M2" s="45">
        <v>1546.5117126036857</v>
      </c>
      <c r="N2" s="226">
        <v>1933.1396407546072</v>
      </c>
      <c r="O2" s="230">
        <v>5869.7551941129004</v>
      </c>
      <c r="P2" s="227">
        <v>456.96420000000001</v>
      </c>
      <c r="Q2" s="227">
        <v>773.25585630184287</v>
      </c>
      <c r="R2" s="227">
        <v>1159.8837844527643</v>
      </c>
      <c r="S2" s="227">
        <v>1546.5117126036857</v>
      </c>
      <c r="T2" s="228">
        <v>1933.1396407546072</v>
      </c>
    </row>
    <row r="3" spans="1:20" x14ac:dyDescent="0.2">
      <c r="A3" s="194" t="s">
        <v>333</v>
      </c>
      <c r="B3" s="43" t="s">
        <v>731</v>
      </c>
      <c r="C3" s="43">
        <v>24.3</v>
      </c>
      <c r="D3" s="44">
        <v>1.2892312106827898E-2</v>
      </c>
      <c r="E3" s="226">
        <v>10</v>
      </c>
      <c r="F3" s="227">
        <v>215.08420000000001</v>
      </c>
      <c r="G3" s="227">
        <v>61.452628571428576</v>
      </c>
      <c r="H3" s="227">
        <v>43.016840000000002</v>
      </c>
      <c r="I3" s="228">
        <v>53.771050000000002</v>
      </c>
      <c r="J3" s="229">
        <v>42.303962558874574</v>
      </c>
      <c r="K3" s="45">
        <v>909.89139438054906</v>
      </c>
      <c r="L3" s="45">
        <v>259.96896982301399</v>
      </c>
      <c r="M3" s="45">
        <v>181.97827887610978</v>
      </c>
      <c r="N3" s="226">
        <v>227.47284859513724</v>
      </c>
      <c r="O3" s="230">
        <v>690.69502606638434</v>
      </c>
      <c r="P3" s="227">
        <v>53.771050000000002</v>
      </c>
      <c r="Q3" s="227">
        <v>90.989139438054906</v>
      </c>
      <c r="R3" s="227">
        <v>136.48370915708236</v>
      </c>
      <c r="S3" s="227">
        <v>181.97827887610981</v>
      </c>
      <c r="T3" s="228">
        <v>227.47284859513724</v>
      </c>
    </row>
    <row r="4" spans="1:20" x14ac:dyDescent="0.2">
      <c r="A4" s="194" t="s">
        <v>488</v>
      </c>
      <c r="B4" s="43" t="s">
        <v>731</v>
      </c>
      <c r="C4" s="43">
        <v>25.1</v>
      </c>
      <c r="D4" s="44">
        <v>1.4426384914787579E-2</v>
      </c>
      <c r="E4" s="226">
        <v>10</v>
      </c>
      <c r="F4" s="227">
        <v>3389.7354</v>
      </c>
      <c r="G4" s="227">
        <v>968.49582857142855</v>
      </c>
      <c r="H4" s="227">
        <v>677.94707999999991</v>
      </c>
      <c r="I4" s="228">
        <v>847.43384999999989</v>
      </c>
      <c r="J4" s="229">
        <v>42.303962558874574</v>
      </c>
      <c r="K4" s="45">
        <v>14339.923944609172</v>
      </c>
      <c r="L4" s="45">
        <v>4097.1211270311924</v>
      </c>
      <c r="M4" s="45">
        <v>2867.9847889218345</v>
      </c>
      <c r="N4" s="226">
        <v>3584.9809861522931</v>
      </c>
      <c r="O4" s="230">
        <v>10885.380611226421</v>
      </c>
      <c r="P4" s="227">
        <v>847.43384999999989</v>
      </c>
      <c r="Q4" s="227">
        <v>1433.9923944609172</v>
      </c>
      <c r="R4" s="227">
        <v>2150.9885916913754</v>
      </c>
      <c r="S4" s="227">
        <v>2867.9847889218345</v>
      </c>
      <c r="T4" s="228">
        <v>3584.9809861522931</v>
      </c>
    </row>
    <row r="5" spans="1:20" x14ac:dyDescent="0.2">
      <c r="A5" s="194" t="s">
        <v>285</v>
      </c>
      <c r="B5" s="43" t="s">
        <v>731</v>
      </c>
      <c r="C5" s="43">
        <v>25.6</v>
      </c>
      <c r="D5" s="44">
        <v>1.5448634249639718E-2</v>
      </c>
      <c r="E5" s="226">
        <v>10</v>
      </c>
      <c r="F5" s="227">
        <v>374.89010000000002</v>
      </c>
      <c r="G5" s="227">
        <v>107.11145714285715</v>
      </c>
      <c r="H5" s="227">
        <v>74.978020000000001</v>
      </c>
      <c r="I5" s="228">
        <v>93.722525000000005</v>
      </c>
      <c r="J5" s="229">
        <v>42.303962558874574</v>
      </c>
      <c r="K5" s="45">
        <v>1585.9336754092744</v>
      </c>
      <c r="L5" s="45">
        <v>453.1239072597927</v>
      </c>
      <c r="M5" s="45">
        <v>317.18673508185486</v>
      </c>
      <c r="N5" s="226">
        <v>396.48341885231855</v>
      </c>
      <c r="O5" s="230">
        <v>1203.8760977864922</v>
      </c>
      <c r="P5" s="227">
        <v>93.722525000000005</v>
      </c>
      <c r="Q5" s="227">
        <v>158.59336754092743</v>
      </c>
      <c r="R5" s="227">
        <v>237.89005131139118</v>
      </c>
      <c r="S5" s="227">
        <v>317.18673508185486</v>
      </c>
      <c r="T5" s="228">
        <v>396.48341885231855</v>
      </c>
    </row>
    <row r="6" spans="1:20" x14ac:dyDescent="0.2">
      <c r="A6" s="194" t="s">
        <v>329</v>
      </c>
      <c r="B6" s="43" t="s">
        <v>731</v>
      </c>
      <c r="C6" s="43">
        <v>25.7</v>
      </c>
      <c r="D6" s="44">
        <v>1.5659102736064589E-2</v>
      </c>
      <c r="E6" s="226">
        <v>10</v>
      </c>
      <c r="F6" s="227">
        <v>1419.0612000000001</v>
      </c>
      <c r="G6" s="227">
        <v>405.44605714285717</v>
      </c>
      <c r="H6" s="227">
        <v>283.81223999999997</v>
      </c>
      <c r="I6" s="228">
        <v>354.76529999999997</v>
      </c>
      <c r="J6" s="229">
        <v>42.303962558874574</v>
      </c>
      <c r="K6" s="45">
        <v>6003.1911873551626</v>
      </c>
      <c r="L6" s="45">
        <v>1715.1974821014751</v>
      </c>
      <c r="M6" s="45">
        <v>1200.6382374710324</v>
      </c>
      <c r="N6" s="226">
        <v>1500.7977968387904</v>
      </c>
      <c r="O6" s="230">
        <v>4556.9991311486137</v>
      </c>
      <c r="P6" s="227">
        <v>354.76529999999997</v>
      </c>
      <c r="Q6" s="227">
        <v>600.31911873551621</v>
      </c>
      <c r="R6" s="227">
        <v>900.47867810327421</v>
      </c>
      <c r="S6" s="227">
        <v>1200.6382374710324</v>
      </c>
      <c r="T6" s="228">
        <v>1500.7977968387904</v>
      </c>
    </row>
    <row r="7" spans="1:20" x14ac:dyDescent="0.2">
      <c r="A7" s="194" t="s">
        <v>175</v>
      </c>
      <c r="B7" s="43" t="s">
        <v>731</v>
      </c>
      <c r="C7" s="43">
        <v>25.8</v>
      </c>
      <c r="D7" s="44">
        <v>1.5871604507584618E-2</v>
      </c>
      <c r="E7" s="226">
        <v>10</v>
      </c>
      <c r="F7" s="227">
        <v>1323.8559</v>
      </c>
      <c r="G7" s="227">
        <v>378.24454285714285</v>
      </c>
      <c r="H7" s="227">
        <v>264.77117999999996</v>
      </c>
      <c r="I7" s="228">
        <v>330.96397499999995</v>
      </c>
      <c r="J7" s="229">
        <v>42.303962558874574</v>
      </c>
      <c r="K7" s="45">
        <v>5600.4350426945202</v>
      </c>
      <c r="L7" s="45">
        <v>1600.1242979127201</v>
      </c>
      <c r="M7" s="45">
        <v>1120.087008538904</v>
      </c>
      <c r="N7" s="226">
        <v>1400.1087606736301</v>
      </c>
      <c r="O7" s="230">
        <v>4251.268504886164</v>
      </c>
      <c r="P7" s="227">
        <v>330.96397499999995</v>
      </c>
      <c r="Q7" s="227">
        <v>560.043504269452</v>
      </c>
      <c r="R7" s="227">
        <v>840.06525640417783</v>
      </c>
      <c r="S7" s="227">
        <v>1120.087008538904</v>
      </c>
      <c r="T7" s="228">
        <v>1400.1087606736301</v>
      </c>
    </row>
    <row r="8" spans="1:20" x14ac:dyDescent="0.2">
      <c r="A8" s="194" t="s">
        <v>169</v>
      </c>
      <c r="B8" s="43" t="s">
        <v>731</v>
      </c>
      <c r="C8" s="43">
        <v>28.5</v>
      </c>
      <c r="D8" s="44">
        <v>2.2420795642997104E-2</v>
      </c>
      <c r="E8" s="226">
        <v>35.536767837204025</v>
      </c>
      <c r="F8" s="227">
        <v>8262.8262431523181</v>
      </c>
      <c r="G8" s="227">
        <v>2360.8074980435194</v>
      </c>
      <c r="H8" s="227">
        <v>1652.5652486304634</v>
      </c>
      <c r="I8" s="228">
        <v>2065.7065607880795</v>
      </c>
      <c r="J8" s="229">
        <v>150.33460960484973</v>
      </c>
      <c r="K8" s="45">
        <v>34955.029202080193</v>
      </c>
      <c r="L8" s="45">
        <v>9987.1512005943405</v>
      </c>
      <c r="M8" s="45">
        <v>6991.0058404160382</v>
      </c>
      <c r="N8" s="226">
        <v>8738.7573005200484</v>
      </c>
      <c r="O8" s="230">
        <v>26534.22700224421</v>
      </c>
      <c r="P8" s="227">
        <v>2065.7065607880795</v>
      </c>
      <c r="Q8" s="227">
        <v>3495.5029202080191</v>
      </c>
      <c r="R8" s="227">
        <v>5243.2543803120288</v>
      </c>
      <c r="S8" s="227">
        <v>6991.0058404160382</v>
      </c>
      <c r="T8" s="228">
        <v>8738.7573005200484</v>
      </c>
    </row>
    <row r="9" spans="1:20" x14ac:dyDescent="0.2">
      <c r="A9" s="194" t="s">
        <v>57</v>
      </c>
      <c r="B9" s="43" t="s">
        <v>731</v>
      </c>
      <c r="C9" s="43">
        <v>28.9</v>
      </c>
      <c r="D9" s="44">
        <v>2.3532080104898909E-2</v>
      </c>
      <c r="E9" s="226">
        <v>45.015945671916597</v>
      </c>
      <c r="F9" s="227">
        <v>19014.66972853689</v>
      </c>
      <c r="G9" s="227">
        <v>5432.762779581969</v>
      </c>
      <c r="H9" s="227">
        <v>3802.9339457073779</v>
      </c>
      <c r="I9" s="228">
        <v>4753.6674321342225</v>
      </c>
      <c r="J9" s="229">
        <v>190.43528802570918</v>
      </c>
      <c r="K9" s="45">
        <v>80439.58762653904</v>
      </c>
      <c r="L9" s="45">
        <v>22982.739321868296</v>
      </c>
      <c r="M9" s="45">
        <v>16087.917525307806</v>
      </c>
      <c r="N9" s="226">
        <v>20109.896906634756</v>
      </c>
      <c r="O9" s="230">
        <v>61061.378770711541</v>
      </c>
      <c r="P9" s="227">
        <v>4753.6674321342225</v>
      </c>
      <c r="Q9" s="227">
        <v>8043.9587626539023</v>
      </c>
      <c r="R9" s="227">
        <v>12065.938143980855</v>
      </c>
      <c r="S9" s="227">
        <v>16087.917525307805</v>
      </c>
      <c r="T9" s="228">
        <v>20109.896906634756</v>
      </c>
    </row>
    <row r="10" spans="1:20" x14ac:dyDescent="0.2">
      <c r="A10" s="194" t="s">
        <v>448</v>
      </c>
      <c r="B10" s="43" t="s">
        <v>731</v>
      </c>
      <c r="C10" s="68">
        <v>29</v>
      </c>
      <c r="D10" s="44">
        <v>2.3815911432517503E-2</v>
      </c>
      <c r="E10" s="226">
        <v>47.365239890400517</v>
      </c>
      <c r="F10" s="227">
        <v>14363.855710319955</v>
      </c>
      <c r="G10" s="227">
        <v>4103.9587743771299</v>
      </c>
      <c r="H10" s="227">
        <v>2872.7711420639907</v>
      </c>
      <c r="I10" s="228">
        <v>3590.9639275799882</v>
      </c>
      <c r="J10" s="229">
        <v>200.37373349156161</v>
      </c>
      <c r="K10" s="45">
        <v>60764.801417045222</v>
      </c>
      <c r="L10" s="45">
        <v>17361.371833441492</v>
      </c>
      <c r="M10" s="45">
        <v>12152.960283409044</v>
      </c>
      <c r="N10" s="226">
        <v>15191.200354261306</v>
      </c>
      <c r="O10" s="230">
        <v>46126.324919511644</v>
      </c>
      <c r="P10" s="227">
        <v>3590.9639275799882</v>
      </c>
      <c r="Q10" s="227">
        <v>6076.4801417045219</v>
      </c>
      <c r="R10" s="227">
        <v>9114.7202125567837</v>
      </c>
      <c r="S10" s="227">
        <v>12152.960283409044</v>
      </c>
      <c r="T10" s="228">
        <v>15191.200354261306</v>
      </c>
    </row>
    <row r="11" spans="1:20" x14ac:dyDescent="0.2">
      <c r="A11" s="194" t="s">
        <v>522</v>
      </c>
      <c r="B11" s="43" t="s">
        <v>755</v>
      </c>
      <c r="C11" s="43">
        <v>31.6</v>
      </c>
      <c r="D11" s="44">
        <v>3.208439768187564E-2</v>
      </c>
      <c r="E11" s="226">
        <v>105.76122085762017</v>
      </c>
      <c r="F11" s="227">
        <v>236698.51113910408</v>
      </c>
      <c r="G11" s="227">
        <v>67628.146039744024</v>
      </c>
      <c r="H11" s="227">
        <v>47339.702227820817</v>
      </c>
      <c r="I11" s="228">
        <v>59174.627784776021</v>
      </c>
      <c r="J11" s="229">
        <v>368.46380795880634</v>
      </c>
      <c r="K11" s="45">
        <v>824639.06945539324</v>
      </c>
      <c r="L11" s="45">
        <v>235611.16270154092</v>
      </c>
      <c r="M11" s="45">
        <v>164927.81389107864</v>
      </c>
      <c r="N11" s="226">
        <v>206159.76736384828</v>
      </c>
      <c r="O11" s="230">
        <v>636421.97640355118</v>
      </c>
      <c r="P11" s="227">
        <v>59174.627784776021</v>
      </c>
      <c r="Q11" s="227">
        <v>82463.906945539304</v>
      </c>
      <c r="R11" s="227">
        <v>123695.86041830895</v>
      </c>
      <c r="S11" s="227">
        <v>164927.81389107861</v>
      </c>
      <c r="T11" s="228">
        <v>206159.76736384828</v>
      </c>
    </row>
    <row r="12" spans="1:20" x14ac:dyDescent="0.2">
      <c r="A12" s="194" t="s">
        <v>694</v>
      </c>
      <c r="B12" s="43" t="s">
        <v>755</v>
      </c>
      <c r="C12" s="43">
        <v>31.6</v>
      </c>
      <c r="D12" s="44">
        <v>3.208439768187564E-2</v>
      </c>
      <c r="E12" s="226">
        <v>105.76122085762017</v>
      </c>
      <c r="F12" s="227">
        <v>21754.804978401615</v>
      </c>
      <c r="G12" s="227">
        <v>6215.6585652576041</v>
      </c>
      <c r="H12" s="227">
        <v>4350.9609956803224</v>
      </c>
      <c r="I12" s="228">
        <v>5438.7012446004028</v>
      </c>
      <c r="J12" s="229">
        <v>368.46380795880634</v>
      </c>
      <c r="K12" s="45">
        <v>75792.036237311535</v>
      </c>
      <c r="L12" s="45">
        <v>21654.867496374725</v>
      </c>
      <c r="M12" s="45">
        <v>15158.407247462306</v>
      </c>
      <c r="N12" s="226">
        <v>18948.009059327884</v>
      </c>
      <c r="O12" s="230">
        <v>58493.126610718478</v>
      </c>
      <c r="P12" s="227">
        <v>5438.7012446004028</v>
      </c>
      <c r="Q12" s="227">
        <v>7579.203623731154</v>
      </c>
      <c r="R12" s="227">
        <v>11368.805435596729</v>
      </c>
      <c r="S12" s="227">
        <v>15158.407247462308</v>
      </c>
      <c r="T12" s="228">
        <v>18948.009059327884</v>
      </c>
    </row>
    <row r="13" spans="1:20" x14ac:dyDescent="0.2">
      <c r="A13" s="194" t="s">
        <v>566</v>
      </c>
      <c r="B13" s="43" t="s">
        <v>755</v>
      </c>
      <c r="C13" s="43">
        <v>31.8</v>
      </c>
      <c r="D13" s="44">
        <v>3.2794747120590946E-2</v>
      </c>
      <c r="E13" s="226">
        <v>110.05221300934318</v>
      </c>
      <c r="F13" s="227">
        <v>15511.51055815168</v>
      </c>
      <c r="G13" s="227">
        <v>4431.8601594719084</v>
      </c>
      <c r="H13" s="227">
        <v>3102.3021116303357</v>
      </c>
      <c r="I13" s="228">
        <v>3877.8776395379195</v>
      </c>
      <c r="J13" s="229">
        <v>383.41328845197989</v>
      </c>
      <c r="K13" s="45">
        <v>54040.887587182173</v>
      </c>
      <c r="L13" s="45">
        <v>15440.253596337763</v>
      </c>
      <c r="M13" s="45">
        <v>10808.177517436434</v>
      </c>
      <c r="N13" s="226">
        <v>13510.221896795541</v>
      </c>
      <c r="O13" s="230">
        <v>41706.498950565438</v>
      </c>
      <c r="P13" s="227">
        <v>3877.8776395379195</v>
      </c>
      <c r="Q13" s="227">
        <v>5404.0887587182169</v>
      </c>
      <c r="R13" s="227">
        <v>8106.1331380773245</v>
      </c>
      <c r="S13" s="227">
        <v>10808.177517436434</v>
      </c>
      <c r="T13" s="228">
        <v>13510.221896795541</v>
      </c>
    </row>
    <row r="14" spans="1:20" x14ac:dyDescent="0.2">
      <c r="A14" s="194" t="s">
        <v>543</v>
      </c>
      <c r="B14" s="43" t="s">
        <v>755</v>
      </c>
      <c r="C14" s="43">
        <v>32.4</v>
      </c>
      <c r="D14" s="44">
        <v>3.4992959295731367E-2</v>
      </c>
      <c r="E14" s="226">
        <v>122.7651065135683</v>
      </c>
      <c r="F14" s="227">
        <v>295232.47419355559</v>
      </c>
      <c r="G14" s="227">
        <v>84352.135483873033</v>
      </c>
      <c r="H14" s="227">
        <v>59046.494838711122</v>
      </c>
      <c r="I14" s="228">
        <v>73808.118548388898</v>
      </c>
      <c r="J14" s="229">
        <v>427.70401347157537</v>
      </c>
      <c r="K14" s="45">
        <v>1028566.8110895266</v>
      </c>
      <c r="L14" s="45">
        <v>293876.23173986474</v>
      </c>
      <c r="M14" s="45">
        <v>205713.36221790532</v>
      </c>
      <c r="N14" s="226">
        <v>257141.70277238166</v>
      </c>
      <c r="O14" s="230">
        <v>793804.88631105749</v>
      </c>
      <c r="P14" s="227">
        <v>73808.118548388898</v>
      </c>
      <c r="Q14" s="227">
        <v>102856.68110895267</v>
      </c>
      <c r="R14" s="227">
        <v>154285.02166342901</v>
      </c>
      <c r="S14" s="227">
        <v>205713.36221790535</v>
      </c>
      <c r="T14" s="228">
        <v>257141.70277238166</v>
      </c>
    </row>
    <row r="15" spans="1:20" x14ac:dyDescent="0.2">
      <c r="A15" s="194" t="s">
        <v>619</v>
      </c>
      <c r="B15" s="43" t="s">
        <v>755</v>
      </c>
      <c r="C15" s="43">
        <v>32.5</v>
      </c>
      <c r="D15" s="44">
        <v>3.5369258349866005E-2</v>
      </c>
      <c r="E15" s="226">
        <v>124.86100955899065</v>
      </c>
      <c r="F15" s="227">
        <v>84203.899979062247</v>
      </c>
      <c r="G15" s="227">
        <v>24058.257136874927</v>
      </c>
      <c r="H15" s="227">
        <v>16840.779995812449</v>
      </c>
      <c r="I15" s="228">
        <v>21050.974994765562</v>
      </c>
      <c r="J15" s="229">
        <v>435.00597548531221</v>
      </c>
      <c r="K15" s="45">
        <v>293359.79085411882</v>
      </c>
      <c r="L15" s="45">
        <v>83817.083101176802</v>
      </c>
      <c r="M15" s="45">
        <v>58671.95817082376</v>
      </c>
      <c r="N15" s="226">
        <v>73339.947713529706</v>
      </c>
      <c r="O15" s="230">
        <v>226402.82859264873</v>
      </c>
      <c r="P15" s="227">
        <v>21050.974994765562</v>
      </c>
      <c r="Q15" s="227">
        <v>29335.97908541188</v>
      </c>
      <c r="R15" s="227">
        <v>44003.968628117815</v>
      </c>
      <c r="S15" s="227">
        <v>58671.95817082376</v>
      </c>
      <c r="T15" s="228">
        <v>73339.947713529706</v>
      </c>
    </row>
    <row r="16" spans="1:20" x14ac:dyDescent="0.2">
      <c r="A16" s="194" t="s">
        <v>243</v>
      </c>
      <c r="B16" s="43" t="s">
        <v>755</v>
      </c>
      <c r="C16" s="43">
        <v>32.6</v>
      </c>
      <c r="D16" s="44">
        <v>3.5748429220851308E-2</v>
      </c>
      <c r="E16" s="226">
        <v>126.95047356801479</v>
      </c>
      <c r="F16" s="227">
        <v>1442.7350043873826</v>
      </c>
      <c r="G16" s="227">
        <v>412.21000125353788</v>
      </c>
      <c r="H16" s="227">
        <v>288.54700087747648</v>
      </c>
      <c r="I16" s="228">
        <v>360.68375109684558</v>
      </c>
      <c r="J16" s="229">
        <v>442.2855044006825</v>
      </c>
      <c r="K16" s="45">
        <v>5026.3757290367766</v>
      </c>
      <c r="L16" s="45">
        <v>1436.1073511533648</v>
      </c>
      <c r="M16" s="45">
        <v>1005.2751458073553</v>
      </c>
      <c r="N16" s="226">
        <v>1256.5939322591942</v>
      </c>
      <c r="O16" s="230">
        <v>3879.1467614225894</v>
      </c>
      <c r="P16" s="227">
        <v>360.68375109684558</v>
      </c>
      <c r="Q16" s="227">
        <v>502.63757290367772</v>
      </c>
      <c r="R16" s="227">
        <v>753.9563593555165</v>
      </c>
      <c r="S16" s="227">
        <v>1005.2751458073554</v>
      </c>
      <c r="T16" s="228">
        <v>1256.5939322591942</v>
      </c>
    </row>
    <row r="17" spans="1:20" x14ac:dyDescent="0.2">
      <c r="A17" s="194" t="s">
        <v>631</v>
      </c>
      <c r="B17" s="43" t="s">
        <v>755</v>
      </c>
      <c r="C17" s="43">
        <v>33.5</v>
      </c>
      <c r="D17" s="44">
        <v>3.9292351130980022E-2</v>
      </c>
      <c r="E17" s="226">
        <v>145.47228385775361</v>
      </c>
      <c r="F17" s="227">
        <v>13170.768181190457</v>
      </c>
      <c r="G17" s="227">
        <v>3763.0766231972734</v>
      </c>
      <c r="H17" s="227">
        <v>2634.1536362380912</v>
      </c>
      <c r="I17" s="228">
        <v>3292.6920452976137</v>
      </c>
      <c r="J17" s="229">
        <v>506.81404042084938</v>
      </c>
      <c r="K17" s="45">
        <v>45885.924523482456</v>
      </c>
      <c r="L17" s="45">
        <v>13110.264149566416</v>
      </c>
      <c r="M17" s="45">
        <v>9177.1849046964908</v>
      </c>
      <c r="N17" s="226">
        <v>11471.481130870614</v>
      </c>
      <c r="O17" s="230">
        <v>35412.839211735329</v>
      </c>
      <c r="P17" s="227">
        <v>3292.6920452976137</v>
      </c>
      <c r="Q17" s="227">
        <v>4588.5924523482454</v>
      </c>
      <c r="R17" s="227">
        <v>6882.8886785223676</v>
      </c>
      <c r="S17" s="227">
        <v>9177.1849046964908</v>
      </c>
      <c r="T17" s="228">
        <v>11471.481130870614</v>
      </c>
    </row>
    <row r="18" spans="1:20" x14ac:dyDescent="0.2">
      <c r="A18" s="194" t="s">
        <v>190</v>
      </c>
      <c r="B18" s="43" t="s">
        <v>755</v>
      </c>
      <c r="C18" s="43">
        <v>33.700000000000003</v>
      </c>
      <c r="D18" s="44">
        <v>4.0112582063630976E-2</v>
      </c>
      <c r="E18" s="226">
        <v>149.52062914413773</v>
      </c>
      <c r="F18" s="227">
        <v>42833.612726364532</v>
      </c>
      <c r="G18" s="227">
        <v>12238.175064675581</v>
      </c>
      <c r="H18" s="227">
        <v>8566.7225452729053</v>
      </c>
      <c r="I18" s="228">
        <v>10708.403181591131</v>
      </c>
      <c r="J18" s="229">
        <v>520.91815824453943</v>
      </c>
      <c r="K18" s="45">
        <v>149228.95108251687</v>
      </c>
      <c r="L18" s="45">
        <v>42636.843166433391</v>
      </c>
      <c r="M18" s="45">
        <v>29845.79021650337</v>
      </c>
      <c r="N18" s="226">
        <v>37307.23777062921</v>
      </c>
      <c r="O18" s="230">
        <v>115168.66893935291</v>
      </c>
      <c r="P18" s="227">
        <v>10708.403181591131</v>
      </c>
      <c r="Q18" s="227">
        <v>14922.895108251683</v>
      </c>
      <c r="R18" s="227">
        <v>22384.342662377527</v>
      </c>
      <c r="S18" s="227">
        <v>29845.790216503367</v>
      </c>
      <c r="T18" s="228">
        <v>37307.23777062921</v>
      </c>
    </row>
    <row r="19" spans="1:20" x14ac:dyDescent="0.2">
      <c r="A19" s="194" t="s">
        <v>578</v>
      </c>
      <c r="B19" s="43" t="s">
        <v>755</v>
      </c>
      <c r="C19" s="68">
        <v>34</v>
      </c>
      <c r="D19" s="44">
        <v>4.1365680080600056E-2</v>
      </c>
      <c r="E19" s="226">
        <v>155.54832000194347</v>
      </c>
      <c r="F19" s="227">
        <v>27630.301625706823</v>
      </c>
      <c r="G19" s="227">
        <v>7894.3718930590921</v>
      </c>
      <c r="H19" s="227">
        <v>5526.060325141364</v>
      </c>
      <c r="I19" s="228">
        <v>6907.5754064267048</v>
      </c>
      <c r="J19" s="229">
        <v>541.91816097385322</v>
      </c>
      <c r="K19" s="45">
        <v>96261.806260387937</v>
      </c>
      <c r="L19" s="45">
        <v>27503.373217253695</v>
      </c>
      <c r="M19" s="45">
        <v>19252.361252077586</v>
      </c>
      <c r="N19" s="226">
        <v>24065.451565096984</v>
      </c>
      <c r="O19" s="230">
        <v>74290.839788698257</v>
      </c>
      <c r="P19" s="227">
        <v>6907.5754064267048</v>
      </c>
      <c r="Q19" s="227">
        <v>9626.180626038793</v>
      </c>
      <c r="R19" s="227">
        <v>14439.270939058191</v>
      </c>
      <c r="S19" s="227">
        <v>19252.361252077586</v>
      </c>
      <c r="T19" s="228">
        <v>24065.451565096984</v>
      </c>
    </row>
    <row r="20" spans="1:20" x14ac:dyDescent="0.2">
      <c r="A20" s="194" t="s">
        <v>392</v>
      </c>
      <c r="B20" s="43" t="s">
        <v>755</v>
      </c>
      <c r="C20" s="43">
        <v>34.299999999999997</v>
      </c>
      <c r="D20" s="44">
        <v>4.2646398122522924E-2</v>
      </c>
      <c r="E20" s="226">
        <v>161.52305827938835</v>
      </c>
      <c r="F20" s="227">
        <v>46636.607534847615</v>
      </c>
      <c r="G20" s="227">
        <v>13324.745009956461</v>
      </c>
      <c r="H20" s="227">
        <v>9327.3215069695216</v>
      </c>
      <c r="I20" s="228">
        <v>11659.151883711902</v>
      </c>
      <c r="J20" s="229">
        <v>562.73368106158262</v>
      </c>
      <c r="K20" s="45">
        <v>162478.2870623623</v>
      </c>
      <c r="L20" s="45">
        <v>46422.367732103514</v>
      </c>
      <c r="M20" s="45">
        <v>32495.657412472458</v>
      </c>
      <c r="N20" s="226">
        <v>40619.571765590576</v>
      </c>
      <c r="O20" s="230">
        <v>125393.95282736552</v>
      </c>
      <c r="P20" s="227">
        <v>11659.151883711902</v>
      </c>
      <c r="Q20" s="227">
        <v>16247.828706236231</v>
      </c>
      <c r="R20" s="227">
        <v>24371.743059354347</v>
      </c>
      <c r="S20" s="227">
        <v>32495.657412472461</v>
      </c>
      <c r="T20" s="228">
        <v>40619.571765590576</v>
      </c>
    </row>
    <row r="21" spans="1:20" x14ac:dyDescent="0.2">
      <c r="A21" s="194" t="s">
        <v>306</v>
      </c>
      <c r="B21" s="43" t="s">
        <v>755</v>
      </c>
      <c r="C21" s="43">
        <v>34.700000000000003</v>
      </c>
      <c r="D21" s="44">
        <v>4.4397607729850602E-2</v>
      </c>
      <c r="E21" s="226">
        <v>169.40859589034744</v>
      </c>
      <c r="F21" s="227">
        <v>4697.9849704804301</v>
      </c>
      <c r="G21" s="227">
        <v>1342.2814201372657</v>
      </c>
      <c r="H21" s="227">
        <v>939.59699409608595</v>
      </c>
      <c r="I21" s="228">
        <v>1174.4962426201075</v>
      </c>
      <c r="J21" s="229">
        <v>590.20627633209222</v>
      </c>
      <c r="K21" s="45">
        <v>16367.411589233156</v>
      </c>
      <c r="L21" s="45">
        <v>4676.403311209473</v>
      </c>
      <c r="M21" s="45">
        <v>3273.4823178466308</v>
      </c>
      <c r="N21" s="226">
        <v>4091.8528973082884</v>
      </c>
      <c r="O21" s="230">
        <v>12631.684355083315</v>
      </c>
      <c r="P21" s="227">
        <v>1174.4962426201075</v>
      </c>
      <c r="Q21" s="227">
        <v>1636.7411589233152</v>
      </c>
      <c r="R21" s="227">
        <v>2455.1117383849728</v>
      </c>
      <c r="S21" s="227">
        <v>3273.4823178466304</v>
      </c>
      <c r="T21" s="228">
        <v>4091.8528973082884</v>
      </c>
    </row>
    <row r="22" spans="1:20" x14ac:dyDescent="0.2">
      <c r="A22" s="194" t="s">
        <v>495</v>
      </c>
      <c r="B22" s="43" t="s">
        <v>728</v>
      </c>
      <c r="C22" s="43">
        <v>37.5</v>
      </c>
      <c r="D22" s="44">
        <v>5.8121273664315569E-2</v>
      </c>
      <c r="E22" s="226">
        <v>222.18675533588521</v>
      </c>
      <c r="F22" s="227">
        <v>121265.08066161677</v>
      </c>
      <c r="G22" s="227">
        <v>34647.165903319074</v>
      </c>
      <c r="H22" s="227">
        <v>24253.016132323351</v>
      </c>
      <c r="I22" s="228">
        <v>30316.270165404188</v>
      </c>
      <c r="J22" s="229">
        <v>688.57614749742572</v>
      </c>
      <c r="K22" s="45">
        <v>375811.06912386062</v>
      </c>
      <c r="L22" s="45">
        <v>107374.59117824589</v>
      </c>
      <c r="M22" s="45">
        <v>75162.213824772116</v>
      </c>
      <c r="N22" s="226">
        <v>93952.767280965141</v>
      </c>
      <c r="O22" s="230">
        <v>293384.01855210657</v>
      </c>
      <c r="P22" s="227">
        <v>30316.270165404188</v>
      </c>
      <c r="Q22" s="227">
        <v>37581.106912386058</v>
      </c>
      <c r="R22" s="227">
        <v>56371.660368579083</v>
      </c>
      <c r="S22" s="227">
        <v>75162.213824772116</v>
      </c>
      <c r="T22" s="228">
        <v>93952.767280965141</v>
      </c>
    </row>
    <row r="23" spans="1:20" x14ac:dyDescent="0.2">
      <c r="A23" s="194" t="s">
        <v>504</v>
      </c>
      <c r="B23" s="43" t="s">
        <v>728</v>
      </c>
      <c r="C23" s="43">
        <v>38.799999999999997</v>
      </c>
      <c r="D23" s="44">
        <v>6.5419320976562681E-2</v>
      </c>
      <c r="E23" s="226">
        <v>245.36477813747024</v>
      </c>
      <c r="F23" s="227">
        <v>75809.349505543825</v>
      </c>
      <c r="G23" s="227">
        <v>21659.814144441094</v>
      </c>
      <c r="H23" s="227">
        <v>15161.869901108765</v>
      </c>
      <c r="I23" s="228">
        <v>18952.337376385956</v>
      </c>
      <c r="J23" s="229">
        <v>760.40686316360495</v>
      </c>
      <c r="K23" s="45">
        <v>234939.79084352005</v>
      </c>
      <c r="L23" s="45">
        <v>67125.654526720013</v>
      </c>
      <c r="M23" s="45">
        <v>46987.958168704004</v>
      </c>
      <c r="N23" s="226">
        <v>58734.947710880006</v>
      </c>
      <c r="O23" s="230">
        <v>183410.19096684997</v>
      </c>
      <c r="P23" s="227">
        <v>18952.337376385956</v>
      </c>
      <c r="Q23" s="227">
        <v>23493.979084352002</v>
      </c>
      <c r="R23" s="227">
        <v>35240.968626528003</v>
      </c>
      <c r="S23" s="227">
        <v>46987.958168704004</v>
      </c>
      <c r="T23" s="228">
        <v>58734.947710880006</v>
      </c>
    </row>
    <row r="24" spans="1:20" ht="16" thickBot="1" x14ac:dyDescent="0.25">
      <c r="A24" s="231" t="s">
        <v>418</v>
      </c>
      <c r="B24" s="232" t="s">
        <v>936</v>
      </c>
      <c r="C24" s="232">
        <v>54.2</v>
      </c>
      <c r="D24" s="233">
        <v>0.20872194796762075</v>
      </c>
      <c r="E24" s="234">
        <v>472.70213945202158</v>
      </c>
      <c r="F24" s="235">
        <v>31838.129368517551</v>
      </c>
      <c r="G24" s="235">
        <v>9096.6083910050147</v>
      </c>
      <c r="H24" s="235">
        <v>6367.6258737035096</v>
      </c>
      <c r="I24" s="236">
        <v>7959.532342129387</v>
      </c>
      <c r="J24" s="237">
        <v>472.70213945202158</v>
      </c>
      <c r="K24" s="238">
        <v>31838.129368517551</v>
      </c>
      <c r="L24" s="238">
        <v>9096.6083910050147</v>
      </c>
      <c r="M24" s="238">
        <v>6367.6258737035096</v>
      </c>
      <c r="N24" s="234">
        <v>7959.532342129387</v>
      </c>
      <c r="O24" s="239">
        <v>30246.22290009167</v>
      </c>
      <c r="P24" s="235">
        <v>7959.532342129387</v>
      </c>
      <c r="Q24" s="235">
        <v>7959.532342129387</v>
      </c>
      <c r="R24" s="235">
        <v>7959.532342129387</v>
      </c>
      <c r="S24" s="235">
        <v>7959.532342129387</v>
      </c>
      <c r="T24" s="236">
        <v>7959.532342129387</v>
      </c>
    </row>
    <row r="25" spans="1:20" s="244" customFormat="1" ht="16" x14ac:dyDescent="0.2">
      <c r="A25" s="240" t="s">
        <v>937</v>
      </c>
      <c r="B25" s="240"/>
      <c r="C25" s="240">
        <f>MEDIAN(C2:C24)</f>
        <v>31.8</v>
      </c>
      <c r="D25" s="241">
        <f t="shared" ref="D25:E25" si="0">MEDIAN(D2:D24)</f>
        <v>3.2794747120590946E-2</v>
      </c>
      <c r="E25" s="242">
        <f t="shared" si="0"/>
        <v>110.05221300934318</v>
      </c>
      <c r="F25" s="243">
        <f>SUM(F2:F24)</f>
        <v>1068917.6057089397</v>
      </c>
      <c r="G25" s="243">
        <f t="shared" ref="G25:I25" si="1">SUM(G2:G24)</f>
        <v>305405.03020255425</v>
      </c>
      <c r="H25" s="243">
        <f t="shared" si="1"/>
        <v>213783.52114178796</v>
      </c>
      <c r="I25" s="243">
        <f t="shared" si="1"/>
        <v>267229.40142723493</v>
      </c>
      <c r="J25" s="242">
        <f t="shared" ref="J25" si="2">MEDIAN(J2:J24)</f>
        <v>383.41328845197989</v>
      </c>
      <c r="K25" s="243">
        <f>SUM(K2:K24)</f>
        <v>3606567.6928595817</v>
      </c>
      <c r="L25" s="243">
        <f t="shared" ref="L25:O25" si="3">SUM(L2:L24)</f>
        <v>1030447.9122455948</v>
      </c>
      <c r="M25" s="243">
        <f t="shared" si="3"/>
        <v>721313.53857191629</v>
      </c>
      <c r="N25" s="243">
        <f t="shared" si="3"/>
        <v>901641.92321489542</v>
      </c>
      <c r="O25" s="243">
        <f t="shared" si="3"/>
        <v>2791826.7864289423</v>
      </c>
      <c r="P25" s="240"/>
      <c r="Q25" s="240"/>
      <c r="R25" s="240"/>
      <c r="S25" s="240"/>
      <c r="T25" s="240"/>
    </row>
    <row r="32" spans="1:20" ht="16" thickBot="1" x14ac:dyDescent="0.25"/>
    <row r="33" spans="1:8" ht="20" thickBot="1" x14ac:dyDescent="0.25">
      <c r="A33" s="223" t="s">
        <v>931</v>
      </c>
      <c r="B33" s="26" t="s">
        <v>42</v>
      </c>
      <c r="C33" s="26" t="s">
        <v>43</v>
      </c>
      <c r="D33" s="26" t="s">
        <v>44</v>
      </c>
      <c r="E33" s="26" t="s">
        <v>45</v>
      </c>
      <c r="F33" s="27" t="s">
        <v>46</v>
      </c>
      <c r="H33"/>
    </row>
    <row r="34" spans="1:8" x14ac:dyDescent="0.2">
      <c r="A34" s="225" t="s">
        <v>201</v>
      </c>
      <c r="B34" s="227">
        <v>456.96420000000001</v>
      </c>
      <c r="C34" s="227">
        <v>773.25585630184287</v>
      </c>
      <c r="D34" s="227">
        <v>1159.8837844527643</v>
      </c>
      <c r="E34" s="227">
        <v>1546.5117126036857</v>
      </c>
      <c r="F34" s="228">
        <v>1933.1396407546072</v>
      </c>
    </row>
    <row r="35" spans="1:8" x14ac:dyDescent="0.2">
      <c r="A35" s="194" t="s">
        <v>333</v>
      </c>
      <c r="B35" s="227">
        <v>53.771050000000002</v>
      </c>
      <c r="C35" s="227">
        <v>90.989139438054906</v>
      </c>
      <c r="D35" s="227">
        <v>136.48370915708236</v>
      </c>
      <c r="E35" s="227">
        <v>181.97827887610981</v>
      </c>
      <c r="F35" s="228">
        <v>227.47284859513724</v>
      </c>
    </row>
    <row r="36" spans="1:8" x14ac:dyDescent="0.2">
      <c r="A36" s="194" t="s">
        <v>488</v>
      </c>
      <c r="B36" s="227">
        <v>847.43384999999989</v>
      </c>
      <c r="C36" s="227">
        <v>1433.9923944609172</v>
      </c>
      <c r="D36" s="227">
        <v>2150.9885916913754</v>
      </c>
      <c r="E36" s="227">
        <v>2867.9847889218345</v>
      </c>
      <c r="F36" s="228">
        <v>3584.9809861522931</v>
      </c>
    </row>
    <row r="37" spans="1:8" x14ac:dyDescent="0.2">
      <c r="A37" s="194" t="s">
        <v>285</v>
      </c>
      <c r="B37" s="227">
        <v>93.722525000000005</v>
      </c>
      <c r="C37" s="227">
        <v>158.59336754092743</v>
      </c>
      <c r="D37" s="227">
        <v>237.89005131139118</v>
      </c>
      <c r="E37" s="227">
        <v>317.18673508185486</v>
      </c>
      <c r="F37" s="228">
        <v>396.48341885231855</v>
      </c>
    </row>
    <row r="38" spans="1:8" x14ac:dyDescent="0.2">
      <c r="A38" s="194" t="s">
        <v>329</v>
      </c>
      <c r="B38" s="227">
        <v>354.76529999999997</v>
      </c>
      <c r="C38" s="227">
        <v>600.31911873551621</v>
      </c>
      <c r="D38" s="227">
        <v>900.47867810327421</v>
      </c>
      <c r="E38" s="227">
        <v>1200.6382374710324</v>
      </c>
      <c r="F38" s="228">
        <v>1500.7977968387904</v>
      </c>
    </row>
    <row r="39" spans="1:8" x14ac:dyDescent="0.2">
      <c r="A39" s="194" t="s">
        <v>175</v>
      </c>
      <c r="B39" s="227">
        <v>330.96397499999995</v>
      </c>
      <c r="C39" s="227">
        <v>560.043504269452</v>
      </c>
      <c r="D39" s="227">
        <v>840.06525640417783</v>
      </c>
      <c r="E39" s="227">
        <v>1120.087008538904</v>
      </c>
      <c r="F39" s="228">
        <v>1400.1087606736301</v>
      </c>
    </row>
    <row r="40" spans="1:8" x14ac:dyDescent="0.2">
      <c r="A40" s="194" t="s">
        <v>169</v>
      </c>
      <c r="B40" s="227">
        <v>2065.7065607880795</v>
      </c>
      <c r="C40" s="227">
        <v>3495.5029202080191</v>
      </c>
      <c r="D40" s="227">
        <v>5243.2543803120288</v>
      </c>
      <c r="E40" s="227">
        <v>6991.0058404160382</v>
      </c>
      <c r="F40" s="228">
        <v>8738.7573005200484</v>
      </c>
    </row>
    <row r="41" spans="1:8" x14ac:dyDescent="0.2">
      <c r="A41" s="194" t="s">
        <v>57</v>
      </c>
      <c r="B41" s="227">
        <v>4753.6674321342225</v>
      </c>
      <c r="C41" s="227">
        <v>8043.9587626539023</v>
      </c>
      <c r="D41" s="227">
        <v>12065.938143980855</v>
      </c>
      <c r="E41" s="227">
        <v>16087.917525307805</v>
      </c>
      <c r="F41" s="228">
        <v>20109.896906634756</v>
      </c>
    </row>
    <row r="42" spans="1:8" x14ac:dyDescent="0.2">
      <c r="A42" s="194" t="s">
        <v>448</v>
      </c>
      <c r="B42" s="227">
        <v>3590.9639275799882</v>
      </c>
      <c r="C42" s="227">
        <v>6076.4801417045219</v>
      </c>
      <c r="D42" s="227">
        <v>9114.7202125567837</v>
      </c>
      <c r="E42" s="227">
        <v>12152.960283409044</v>
      </c>
      <c r="F42" s="228">
        <v>15191.200354261306</v>
      </c>
    </row>
    <row r="43" spans="1:8" x14ac:dyDescent="0.2">
      <c r="A43" s="194" t="s">
        <v>522</v>
      </c>
      <c r="B43" s="227">
        <v>59174.627784776021</v>
      </c>
      <c r="C43" s="227">
        <v>82463.906945539304</v>
      </c>
      <c r="D43" s="227">
        <v>123695.86041830895</v>
      </c>
      <c r="E43" s="227">
        <v>164927.81389107861</v>
      </c>
      <c r="F43" s="228">
        <v>206159.76736384828</v>
      </c>
    </row>
    <row r="44" spans="1:8" x14ac:dyDescent="0.2">
      <c r="A44" s="194" t="s">
        <v>694</v>
      </c>
      <c r="B44" s="227">
        <v>5438.7012446004028</v>
      </c>
      <c r="C44" s="227">
        <v>7579.203623731154</v>
      </c>
      <c r="D44" s="227">
        <v>11368.805435596729</v>
      </c>
      <c r="E44" s="227">
        <v>15158.407247462308</v>
      </c>
      <c r="F44" s="228">
        <v>18948.009059327884</v>
      </c>
    </row>
    <row r="45" spans="1:8" x14ac:dyDescent="0.2">
      <c r="A45" s="194" t="s">
        <v>566</v>
      </c>
      <c r="B45" s="227">
        <v>3877.8776395379195</v>
      </c>
      <c r="C45" s="227">
        <v>5404.0887587182169</v>
      </c>
      <c r="D45" s="227">
        <v>8106.1331380773245</v>
      </c>
      <c r="E45" s="227">
        <v>10808.177517436434</v>
      </c>
      <c r="F45" s="228">
        <v>13510.221896795541</v>
      </c>
    </row>
    <row r="46" spans="1:8" x14ac:dyDescent="0.2">
      <c r="A46" s="194" t="s">
        <v>543</v>
      </c>
      <c r="B46" s="227">
        <v>73808.118548388898</v>
      </c>
      <c r="C46" s="227">
        <v>102856.68110895267</v>
      </c>
      <c r="D46" s="227">
        <v>154285.02166342901</v>
      </c>
      <c r="E46" s="227">
        <v>205713.36221790535</v>
      </c>
      <c r="F46" s="228">
        <v>257141.70277238166</v>
      </c>
    </row>
    <row r="47" spans="1:8" x14ac:dyDescent="0.2">
      <c r="A47" s="194" t="s">
        <v>619</v>
      </c>
      <c r="B47" s="227">
        <v>21050.974994765562</v>
      </c>
      <c r="C47" s="227">
        <v>29335.97908541188</v>
      </c>
      <c r="D47" s="227">
        <v>44003.968628117815</v>
      </c>
      <c r="E47" s="227">
        <v>58671.95817082376</v>
      </c>
      <c r="F47" s="228">
        <v>73339.947713529706</v>
      </c>
    </row>
    <row r="48" spans="1:8" x14ac:dyDescent="0.2">
      <c r="A48" s="194" t="s">
        <v>243</v>
      </c>
      <c r="B48" s="227">
        <v>360.68375109684558</v>
      </c>
      <c r="C48" s="227">
        <v>502.63757290367772</v>
      </c>
      <c r="D48" s="227">
        <v>753.9563593555165</v>
      </c>
      <c r="E48" s="227">
        <v>1005.2751458073554</v>
      </c>
      <c r="F48" s="228">
        <v>1256.5939322591942</v>
      </c>
    </row>
    <row r="49" spans="1:6" x14ac:dyDescent="0.2">
      <c r="A49" s="194" t="s">
        <v>631</v>
      </c>
      <c r="B49" s="227">
        <v>3292.6920452976137</v>
      </c>
      <c r="C49" s="227">
        <v>4588.5924523482454</v>
      </c>
      <c r="D49" s="227">
        <v>6882.8886785223676</v>
      </c>
      <c r="E49" s="227">
        <v>9177.1849046964908</v>
      </c>
      <c r="F49" s="228">
        <v>11471.481130870614</v>
      </c>
    </row>
    <row r="50" spans="1:6" x14ac:dyDescent="0.2">
      <c r="A50" s="194" t="s">
        <v>190</v>
      </c>
      <c r="B50" s="227">
        <v>10708.403181591131</v>
      </c>
      <c r="C50" s="227">
        <v>14922.895108251683</v>
      </c>
      <c r="D50" s="227">
        <v>22384.342662377527</v>
      </c>
      <c r="E50" s="227">
        <v>29845.790216503367</v>
      </c>
      <c r="F50" s="228">
        <v>37307.23777062921</v>
      </c>
    </row>
    <row r="51" spans="1:6" x14ac:dyDescent="0.2">
      <c r="A51" s="194" t="s">
        <v>578</v>
      </c>
      <c r="B51" s="227">
        <v>6907.5754064267048</v>
      </c>
      <c r="C51" s="227">
        <v>9626.180626038793</v>
      </c>
      <c r="D51" s="227">
        <v>14439.270939058191</v>
      </c>
      <c r="E51" s="227">
        <v>19252.361252077586</v>
      </c>
      <c r="F51" s="228">
        <v>24065.451565096984</v>
      </c>
    </row>
    <row r="52" spans="1:6" x14ac:dyDescent="0.2">
      <c r="A52" s="194" t="s">
        <v>392</v>
      </c>
      <c r="B52" s="227">
        <v>11659.151883711902</v>
      </c>
      <c r="C52" s="227">
        <v>16247.828706236231</v>
      </c>
      <c r="D52" s="227">
        <v>24371.743059354347</v>
      </c>
      <c r="E52" s="227">
        <v>32495.657412472461</v>
      </c>
      <c r="F52" s="228">
        <v>40619.571765590576</v>
      </c>
    </row>
    <row r="53" spans="1:6" x14ac:dyDescent="0.2">
      <c r="A53" s="194" t="s">
        <v>306</v>
      </c>
      <c r="B53" s="227">
        <v>1174.4962426201075</v>
      </c>
      <c r="C53" s="227">
        <v>1636.7411589233152</v>
      </c>
      <c r="D53" s="227">
        <v>2455.1117383849728</v>
      </c>
      <c r="E53" s="227">
        <v>3273.4823178466304</v>
      </c>
      <c r="F53" s="228">
        <v>4091.8528973082884</v>
      </c>
    </row>
    <row r="54" spans="1:6" x14ac:dyDescent="0.2">
      <c r="A54" s="194" t="s">
        <v>495</v>
      </c>
      <c r="B54" s="227">
        <v>30316.270165404188</v>
      </c>
      <c r="C54" s="227">
        <v>37581.106912386058</v>
      </c>
      <c r="D54" s="227">
        <v>56371.660368579083</v>
      </c>
      <c r="E54" s="227">
        <v>75162.213824772116</v>
      </c>
      <c r="F54" s="228">
        <v>93952.767280965141</v>
      </c>
    </row>
    <row r="55" spans="1:6" x14ac:dyDescent="0.2">
      <c r="A55" s="194" t="s">
        <v>504</v>
      </c>
      <c r="B55" s="227">
        <v>18952.337376385956</v>
      </c>
      <c r="C55" s="227">
        <v>23493.979084352002</v>
      </c>
      <c r="D55" s="227">
        <v>35240.968626528003</v>
      </c>
      <c r="E55" s="227">
        <v>46987.958168704004</v>
      </c>
      <c r="F55" s="228">
        <v>58734.947710880006</v>
      </c>
    </row>
    <row r="56" spans="1:6" ht="16" thickBot="1" x14ac:dyDescent="0.25">
      <c r="A56" s="231" t="s">
        <v>418</v>
      </c>
      <c r="B56" s="235">
        <v>7959.532342129387</v>
      </c>
      <c r="C56" s="235">
        <v>7959.532342129387</v>
      </c>
      <c r="D56" s="235">
        <v>7959.532342129387</v>
      </c>
      <c r="E56" s="235">
        <v>7959.532342129387</v>
      </c>
      <c r="F56" s="236">
        <v>7959.532342129387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2B48-A218-440D-BA44-57793D5C3097}">
  <dimension ref="A1:T26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27" customWidth="1"/>
    <col min="2" max="2" width="16.5" bestFit="1" customWidth="1"/>
    <col min="5" max="5" width="9.6640625" bestFit="1" customWidth="1"/>
    <col min="6" max="6" width="11" hidden="1" customWidth="1"/>
    <col min="7" max="8" width="13" hidden="1" customWidth="1"/>
    <col min="9" max="9" width="13" customWidth="1"/>
    <col min="11" max="13" width="13.5" hidden="1" customWidth="1"/>
    <col min="14" max="20" width="13.5" customWidth="1"/>
  </cols>
  <sheetData>
    <row r="1" spans="1:20" s="193" customFormat="1" ht="85" thickBot="1" x14ac:dyDescent="0.25">
      <c r="A1" s="245" t="s">
        <v>938</v>
      </c>
      <c r="B1" s="25" t="s">
        <v>36</v>
      </c>
      <c r="C1" s="26" t="s">
        <v>927</v>
      </c>
      <c r="D1" s="27" t="s">
        <v>30</v>
      </c>
      <c r="E1" s="25" t="s">
        <v>31</v>
      </c>
      <c r="F1" s="26" t="s">
        <v>32</v>
      </c>
      <c r="G1" s="26" t="s">
        <v>33</v>
      </c>
      <c r="H1" s="26" t="s">
        <v>34</v>
      </c>
      <c r="I1" s="27" t="s">
        <v>939</v>
      </c>
      <c r="J1" s="224" t="s">
        <v>932</v>
      </c>
      <c r="K1" s="26" t="s">
        <v>933</v>
      </c>
      <c r="L1" s="26" t="s">
        <v>934</v>
      </c>
      <c r="M1" s="26" t="s">
        <v>34</v>
      </c>
      <c r="N1" s="27" t="s">
        <v>940</v>
      </c>
      <c r="O1" s="26" t="s">
        <v>935</v>
      </c>
      <c r="P1" s="26" t="s">
        <v>42</v>
      </c>
      <c r="Q1" s="26" t="s">
        <v>43</v>
      </c>
      <c r="R1" s="26" t="s">
        <v>44</v>
      </c>
      <c r="S1" s="26" t="s">
        <v>45</v>
      </c>
      <c r="T1" s="27" t="s">
        <v>46</v>
      </c>
    </row>
    <row r="2" spans="1:20" x14ac:dyDescent="0.2">
      <c r="A2" s="246" t="s">
        <v>196</v>
      </c>
      <c r="B2" s="247" t="s">
        <v>731</v>
      </c>
      <c r="C2" s="43">
        <v>15.2</v>
      </c>
      <c r="D2" s="248">
        <v>2.5298274760154858E-3</v>
      </c>
      <c r="E2" s="249">
        <v>10</v>
      </c>
      <c r="F2" s="250">
        <v>574.23149999999998</v>
      </c>
      <c r="G2" s="250">
        <v>164.06614285714286</v>
      </c>
      <c r="H2" s="250">
        <v>114.8463</v>
      </c>
      <c r="I2" s="251">
        <v>143.557875</v>
      </c>
      <c r="J2" s="229">
        <v>42.303962558874574</v>
      </c>
      <c r="K2" s="45">
        <v>2429.2267876126384</v>
      </c>
      <c r="L2" s="45">
        <v>694.06479646075388</v>
      </c>
      <c r="M2" s="45">
        <v>485.84535752252771</v>
      </c>
      <c r="N2" s="226">
        <v>607.3066969031596</v>
      </c>
      <c r="O2" s="227">
        <v>1844.016626328847</v>
      </c>
      <c r="P2" s="227">
        <v>143.557875</v>
      </c>
      <c r="Q2" s="227">
        <v>242.92267876126385</v>
      </c>
      <c r="R2" s="227">
        <v>364.38401814189575</v>
      </c>
      <c r="S2" s="227">
        <v>485.84535752252771</v>
      </c>
      <c r="T2" s="228">
        <v>607.3066969031596</v>
      </c>
    </row>
    <row r="3" spans="1:20" x14ac:dyDescent="0.2">
      <c r="A3" s="252" t="s">
        <v>585</v>
      </c>
      <c r="B3" s="247" t="s">
        <v>731</v>
      </c>
      <c r="C3" s="43">
        <v>16.7</v>
      </c>
      <c r="D3" s="248">
        <v>3.5071682056103839E-3</v>
      </c>
      <c r="E3" s="230">
        <v>10</v>
      </c>
      <c r="F3" s="227">
        <v>1814.3378</v>
      </c>
      <c r="G3" s="227">
        <v>518.38222857142853</v>
      </c>
      <c r="H3" s="227">
        <v>362.86755999999997</v>
      </c>
      <c r="I3" s="228">
        <v>453.58444999999995</v>
      </c>
      <c r="J3" s="229">
        <v>42.303962558874574</v>
      </c>
      <c r="K3" s="45">
        <v>7675.3678360350868</v>
      </c>
      <c r="L3" s="45">
        <v>2192.9622388671678</v>
      </c>
      <c r="M3" s="45">
        <v>1535.0735672070173</v>
      </c>
      <c r="N3" s="226">
        <v>1918.8419590087715</v>
      </c>
      <c r="O3" s="227">
        <v>5826.3419352245601</v>
      </c>
      <c r="P3" s="227">
        <v>453.58444999999995</v>
      </c>
      <c r="Q3" s="227">
        <v>767.53678360350852</v>
      </c>
      <c r="R3" s="227">
        <v>1151.3051754052628</v>
      </c>
      <c r="S3" s="227">
        <v>1535.073567207017</v>
      </c>
      <c r="T3" s="228">
        <v>1918.8419590087715</v>
      </c>
    </row>
    <row r="4" spans="1:20" x14ac:dyDescent="0.2">
      <c r="A4" s="252" t="s">
        <v>518</v>
      </c>
      <c r="B4" s="247" t="s">
        <v>731</v>
      </c>
      <c r="C4" s="43">
        <v>26.5</v>
      </c>
      <c r="D4" s="248">
        <v>1.7417029984726492E-2</v>
      </c>
      <c r="E4" s="230">
        <v>10</v>
      </c>
      <c r="F4" s="227">
        <v>2720.2843000000003</v>
      </c>
      <c r="G4" s="227">
        <v>777.22408571428582</v>
      </c>
      <c r="H4" s="227">
        <v>544.05686000000003</v>
      </c>
      <c r="I4" s="228">
        <v>680.07107500000006</v>
      </c>
      <c r="J4" s="229">
        <v>42.303962558874574</v>
      </c>
      <c r="K4" s="45">
        <v>11507.880517669433</v>
      </c>
      <c r="L4" s="45">
        <v>3287.9658621912668</v>
      </c>
      <c r="M4" s="45">
        <v>2301.5761035338865</v>
      </c>
      <c r="N4" s="226">
        <v>2876.9701294173583</v>
      </c>
      <c r="O4" s="227">
        <v>8735.587437368602</v>
      </c>
      <c r="P4" s="227">
        <v>680.07107500000006</v>
      </c>
      <c r="Q4" s="227">
        <v>1150.7880517669432</v>
      </c>
      <c r="R4" s="227">
        <v>1726.1820776504151</v>
      </c>
      <c r="S4" s="227">
        <v>2301.5761035338865</v>
      </c>
      <c r="T4" s="228">
        <v>2876.9701294173583</v>
      </c>
    </row>
    <row r="5" spans="1:20" x14ac:dyDescent="0.2">
      <c r="A5" s="252" t="s">
        <v>239</v>
      </c>
      <c r="B5" s="247" t="s">
        <v>731</v>
      </c>
      <c r="C5" s="68">
        <v>29</v>
      </c>
      <c r="D5" s="248">
        <v>2.3815911432517503E-2</v>
      </c>
      <c r="E5" s="230">
        <v>47.365239890400517</v>
      </c>
      <c r="F5" s="227">
        <v>48437.02432785969</v>
      </c>
      <c r="G5" s="227">
        <v>13839.149807959911</v>
      </c>
      <c r="H5" s="227">
        <v>9687.404865571938</v>
      </c>
      <c r="I5" s="228">
        <v>12109.256081964922</v>
      </c>
      <c r="J5" s="229">
        <v>200.37373349156161</v>
      </c>
      <c r="K5" s="45">
        <v>204907.80636290737</v>
      </c>
      <c r="L5" s="45">
        <v>58545.087532259247</v>
      </c>
      <c r="M5" s="45">
        <v>40981.561272581472</v>
      </c>
      <c r="N5" s="226">
        <v>51226.951590726836</v>
      </c>
      <c r="O5" s="227">
        <v>155544.72053600004</v>
      </c>
      <c r="P5" s="227">
        <v>12109.256081964922</v>
      </c>
      <c r="Q5" s="227">
        <v>20490.780636290732</v>
      </c>
      <c r="R5" s="227">
        <v>30736.170954436097</v>
      </c>
      <c r="S5" s="227">
        <v>40981.561272581464</v>
      </c>
      <c r="T5" s="228">
        <v>51226.951590726836</v>
      </c>
    </row>
    <row r="6" spans="1:20" x14ac:dyDescent="0.2">
      <c r="A6" s="252" t="s">
        <v>691</v>
      </c>
      <c r="B6" s="247" t="s">
        <v>728</v>
      </c>
      <c r="C6" s="43">
        <v>39.299999999999997</v>
      </c>
      <c r="D6" s="248">
        <v>6.8392282625313494E-2</v>
      </c>
      <c r="E6" s="230">
        <v>254.0732197774114</v>
      </c>
      <c r="F6" s="227">
        <v>87527.779585183613</v>
      </c>
      <c r="G6" s="227">
        <v>25007.937024338175</v>
      </c>
      <c r="H6" s="227">
        <v>17505.55591703672</v>
      </c>
      <c r="I6" s="228">
        <v>21881.9448962959</v>
      </c>
      <c r="J6" s="229">
        <v>787.39508388842671</v>
      </c>
      <c r="K6" s="45">
        <v>271256.22845816618</v>
      </c>
      <c r="L6" s="45">
        <v>77501.779559476054</v>
      </c>
      <c r="M6" s="45">
        <v>54251.245691633238</v>
      </c>
      <c r="N6" s="226">
        <v>67814.057114541545</v>
      </c>
      <c r="O6" s="227">
        <v>211761.30481701222</v>
      </c>
      <c r="P6" s="227">
        <v>21881.9448962959</v>
      </c>
      <c r="Q6" s="227">
        <v>27125.622845816619</v>
      </c>
      <c r="R6" s="227">
        <v>40688.43426872493</v>
      </c>
      <c r="S6" s="227">
        <v>54251.245691633238</v>
      </c>
      <c r="T6" s="228">
        <v>67814.057114541545</v>
      </c>
    </row>
    <row r="7" spans="1:20" x14ac:dyDescent="0.2">
      <c r="A7" s="252" t="s">
        <v>470</v>
      </c>
      <c r="B7" s="247" t="s">
        <v>728</v>
      </c>
      <c r="C7" s="43">
        <v>42.1</v>
      </c>
      <c r="D7" s="248">
        <v>8.6846180338644954E-2</v>
      </c>
      <c r="E7" s="230">
        <v>300.88126939695076</v>
      </c>
      <c r="F7" s="227">
        <v>14631.823033834082</v>
      </c>
      <c r="G7" s="227">
        <v>4180.5208668097375</v>
      </c>
      <c r="H7" s="227">
        <v>2926.364606766816</v>
      </c>
      <c r="I7" s="228">
        <v>3657.95575845852</v>
      </c>
      <c r="J7" s="229">
        <v>932.45731511893598</v>
      </c>
      <c r="K7" s="45">
        <v>45345.296663929199</v>
      </c>
      <c r="L7" s="45">
        <v>12955.799046836913</v>
      </c>
      <c r="M7" s="45">
        <v>9069.0593327858387</v>
      </c>
      <c r="N7" s="226">
        <v>11336.324165982298</v>
      </c>
      <c r="O7" s="227">
        <v>35399.663423208949</v>
      </c>
      <c r="P7" s="227">
        <v>3657.95575845852</v>
      </c>
      <c r="Q7" s="227">
        <v>4534.5296663929194</v>
      </c>
      <c r="R7" s="227">
        <v>6801.7944995893786</v>
      </c>
      <c r="S7" s="227">
        <v>9069.0593327858387</v>
      </c>
      <c r="T7" s="228">
        <v>11336.324165982298</v>
      </c>
    </row>
    <row r="8" spans="1:20" x14ac:dyDescent="0.2">
      <c r="A8" s="252" t="s">
        <v>610</v>
      </c>
      <c r="B8" s="247" t="s">
        <v>728</v>
      </c>
      <c r="C8" s="43">
        <v>42.5</v>
      </c>
      <c r="D8" s="248">
        <v>8.9743940137586603E-2</v>
      </c>
      <c r="E8" s="230">
        <v>307.31271212176398</v>
      </c>
      <c r="F8" s="227">
        <v>31172.397098537342</v>
      </c>
      <c r="G8" s="227">
        <v>8906.3991710106693</v>
      </c>
      <c r="H8" s="227">
        <v>6234.479419707468</v>
      </c>
      <c r="I8" s="228">
        <v>7793.0992746343345</v>
      </c>
      <c r="J8" s="229">
        <v>952.38891746673346</v>
      </c>
      <c r="K8" s="45">
        <v>96605.979370472618</v>
      </c>
      <c r="L8" s="45">
        <v>27601.708391563607</v>
      </c>
      <c r="M8" s="45">
        <v>19321.195874094523</v>
      </c>
      <c r="N8" s="226">
        <v>24151.494842618155</v>
      </c>
      <c r="O8" s="227">
        <v>75417.284833965168</v>
      </c>
      <c r="P8" s="227">
        <v>7793.0992746343345</v>
      </c>
      <c r="Q8" s="227">
        <v>9660.5979370472614</v>
      </c>
      <c r="R8" s="227">
        <v>14490.896905570891</v>
      </c>
      <c r="S8" s="227">
        <v>19321.195874094523</v>
      </c>
      <c r="T8" s="228">
        <v>24151.494842618155</v>
      </c>
    </row>
    <row r="9" spans="1:20" x14ac:dyDescent="0.2">
      <c r="A9" s="252" t="s">
        <v>602</v>
      </c>
      <c r="B9" s="247" t="s">
        <v>728</v>
      </c>
      <c r="C9" s="43">
        <v>43.9</v>
      </c>
      <c r="D9" s="248">
        <v>0.10042922214736329</v>
      </c>
      <c r="E9" s="230">
        <v>329.35556737357501</v>
      </c>
      <c r="F9" s="227">
        <v>158449.68966908724</v>
      </c>
      <c r="G9" s="227">
        <v>45271.339905453497</v>
      </c>
      <c r="H9" s="227">
        <v>31689.937933817444</v>
      </c>
      <c r="I9" s="228">
        <v>39612.422417271802</v>
      </c>
      <c r="J9" s="229">
        <v>1020.7016498174544</v>
      </c>
      <c r="K9" s="45">
        <v>491049.41795277817</v>
      </c>
      <c r="L9" s="45">
        <v>140299.83370079377</v>
      </c>
      <c r="M9" s="45">
        <v>98209.883590555633</v>
      </c>
      <c r="N9" s="226">
        <v>122762.35448819454</v>
      </c>
      <c r="O9" s="227">
        <v>383347.01498421654</v>
      </c>
      <c r="P9" s="227">
        <v>39612.422417271802</v>
      </c>
      <c r="Q9" s="227">
        <v>49104.941795277809</v>
      </c>
      <c r="R9" s="227">
        <v>73657.412692916711</v>
      </c>
      <c r="S9" s="227">
        <v>98209.883590555619</v>
      </c>
      <c r="T9" s="228">
        <v>122762.35448819454</v>
      </c>
    </row>
    <row r="10" spans="1:20" ht="16" thickBot="1" x14ac:dyDescent="0.25">
      <c r="A10" s="253" t="s">
        <v>531</v>
      </c>
      <c r="B10" s="254" t="s">
        <v>936</v>
      </c>
      <c r="C10" s="232">
        <v>50.1</v>
      </c>
      <c r="D10" s="255">
        <v>0.15885348915484659</v>
      </c>
      <c r="E10" s="239">
        <v>419.20396802272762</v>
      </c>
      <c r="F10" s="235">
        <v>109667.19969932301</v>
      </c>
      <c r="G10" s="235">
        <v>31333.485628378003</v>
      </c>
      <c r="H10" s="235">
        <v>21933.439939864602</v>
      </c>
      <c r="I10" s="236">
        <v>27416.799924830753</v>
      </c>
      <c r="J10" s="237">
        <v>419.20396802272762</v>
      </c>
      <c r="K10" s="238">
        <v>109667.19969932301</v>
      </c>
      <c r="L10" s="238">
        <v>31333.485628378003</v>
      </c>
      <c r="M10" s="238">
        <v>21933.439939864602</v>
      </c>
      <c r="N10" s="234">
        <v>27416.799924830753</v>
      </c>
      <c r="O10" s="235">
        <v>104183.83971435687</v>
      </c>
      <c r="P10" s="235">
        <v>27416.799924830753</v>
      </c>
      <c r="Q10" s="235">
        <v>27416.799924830753</v>
      </c>
      <c r="R10" s="235">
        <v>27416.799924830753</v>
      </c>
      <c r="S10" s="235">
        <v>27416.799924830753</v>
      </c>
      <c r="T10" s="236">
        <v>27416.799924830753</v>
      </c>
    </row>
    <row r="11" spans="1:20" s="244" customFormat="1" ht="16" x14ac:dyDescent="0.2">
      <c r="A11" s="240" t="s">
        <v>937</v>
      </c>
      <c r="B11" s="240"/>
      <c r="C11" s="240">
        <f>MEDIAN(C2:C10)</f>
        <v>39.299999999999997</v>
      </c>
      <c r="D11" s="256">
        <f>MEDIAN(D2:D10)</f>
        <v>6.8392282625313494E-2</v>
      </c>
      <c r="E11" s="242">
        <f>MEDIAN(E2:E10)</f>
        <v>254.0732197774114</v>
      </c>
      <c r="F11" s="243">
        <f>SUM(F2:F10)</f>
        <v>454994.76701382501</v>
      </c>
      <c r="G11" s="243">
        <f t="shared" ref="G11:I11" si="0">SUM(G2:G10)</f>
        <v>129998.50486109286</v>
      </c>
      <c r="H11" s="243">
        <f t="shared" si="0"/>
        <v>90998.953402764993</v>
      </c>
      <c r="I11" s="243">
        <f t="shared" si="0"/>
        <v>113748.69175345622</v>
      </c>
      <c r="J11" s="242">
        <f>MEDIAN(J2:J10)</f>
        <v>419.20396802272762</v>
      </c>
      <c r="K11" s="243">
        <f>SUM(K2:K10)</f>
        <v>1240444.4036488936</v>
      </c>
      <c r="L11" s="243">
        <f t="shared" ref="L11:T11" si="1">SUM(L2:L10)</f>
        <v>354412.68675682682</v>
      </c>
      <c r="M11" s="243">
        <f t="shared" si="1"/>
        <v>248088.88072977873</v>
      </c>
      <c r="N11" s="243">
        <f t="shared" si="1"/>
        <v>310111.1009122234</v>
      </c>
      <c r="O11" s="243">
        <f t="shared" si="1"/>
        <v>982059.77430768171</v>
      </c>
      <c r="P11" s="243">
        <f t="shared" si="1"/>
        <v>113748.69175345622</v>
      </c>
      <c r="Q11" s="243">
        <f t="shared" si="1"/>
        <v>140494.52031978781</v>
      </c>
      <c r="R11" s="243">
        <f t="shared" si="1"/>
        <v>197033.38051726631</v>
      </c>
      <c r="S11" s="243">
        <f t="shared" si="1"/>
        <v>253572.24071474487</v>
      </c>
      <c r="T11" s="243">
        <f t="shared" si="1"/>
        <v>310111.1009122234</v>
      </c>
    </row>
    <row r="16" spans="1:20" ht="16" thickBot="1" x14ac:dyDescent="0.25"/>
    <row r="17" spans="1:6" ht="20" thickBot="1" x14ac:dyDescent="0.25">
      <c r="A17" s="245" t="s">
        <v>938</v>
      </c>
      <c r="B17" s="26" t="s">
        <v>42</v>
      </c>
      <c r="C17" s="26" t="s">
        <v>43</v>
      </c>
      <c r="D17" s="26" t="s">
        <v>44</v>
      </c>
      <c r="E17" s="26" t="s">
        <v>45</v>
      </c>
      <c r="F17" s="27" t="s">
        <v>46</v>
      </c>
    </row>
    <row r="18" spans="1:6" x14ac:dyDescent="0.2">
      <c r="A18" s="246" t="s">
        <v>196</v>
      </c>
      <c r="B18" s="227">
        <v>143.557875</v>
      </c>
      <c r="C18" s="227">
        <v>242.92267876126385</v>
      </c>
      <c r="D18" s="227">
        <v>364.38401814189575</v>
      </c>
      <c r="E18" s="227">
        <v>485.84535752252771</v>
      </c>
      <c r="F18" s="228">
        <v>607.3066969031596</v>
      </c>
    </row>
    <row r="19" spans="1:6" x14ac:dyDescent="0.2">
      <c r="A19" s="252" t="s">
        <v>585</v>
      </c>
      <c r="B19" s="227">
        <v>453.58444999999995</v>
      </c>
      <c r="C19" s="227">
        <v>767.53678360350852</v>
      </c>
      <c r="D19" s="227">
        <v>1151.3051754052628</v>
      </c>
      <c r="E19" s="227">
        <v>1535.073567207017</v>
      </c>
      <c r="F19" s="228">
        <v>1918.8419590087715</v>
      </c>
    </row>
    <row r="20" spans="1:6" x14ac:dyDescent="0.2">
      <c r="A20" s="252" t="s">
        <v>518</v>
      </c>
      <c r="B20" s="227">
        <v>680.07107500000006</v>
      </c>
      <c r="C20" s="227">
        <v>1150.7880517669432</v>
      </c>
      <c r="D20" s="227">
        <v>1726.1820776504151</v>
      </c>
      <c r="E20" s="227">
        <v>2301.5761035338865</v>
      </c>
      <c r="F20" s="228">
        <v>2876.9701294173583</v>
      </c>
    </row>
    <row r="21" spans="1:6" x14ac:dyDescent="0.2">
      <c r="A21" s="252" t="s">
        <v>239</v>
      </c>
      <c r="B21" s="227">
        <v>12109.256081964922</v>
      </c>
      <c r="C21" s="227">
        <v>20490.780636290732</v>
      </c>
      <c r="D21" s="227">
        <v>30736.170954436097</v>
      </c>
      <c r="E21" s="227">
        <v>40981.561272581464</v>
      </c>
      <c r="F21" s="228">
        <v>51226.951590726836</v>
      </c>
    </row>
    <row r="22" spans="1:6" x14ac:dyDescent="0.2">
      <c r="A22" s="252" t="s">
        <v>691</v>
      </c>
      <c r="B22" s="227">
        <v>21881.9448962959</v>
      </c>
      <c r="C22" s="227">
        <v>27125.622845816619</v>
      </c>
      <c r="D22" s="227">
        <v>40688.43426872493</v>
      </c>
      <c r="E22" s="227">
        <v>54251.245691633238</v>
      </c>
      <c r="F22" s="228">
        <v>67814.057114541545</v>
      </c>
    </row>
    <row r="23" spans="1:6" x14ac:dyDescent="0.2">
      <c r="A23" s="252" t="s">
        <v>470</v>
      </c>
      <c r="B23" s="227">
        <v>3657.95575845852</v>
      </c>
      <c r="C23" s="227">
        <v>4534.5296663929194</v>
      </c>
      <c r="D23" s="227">
        <v>6801.7944995893786</v>
      </c>
      <c r="E23" s="227">
        <v>9069.0593327858387</v>
      </c>
      <c r="F23" s="228">
        <v>11336.324165982298</v>
      </c>
    </row>
    <row r="24" spans="1:6" x14ac:dyDescent="0.2">
      <c r="A24" s="252" t="s">
        <v>610</v>
      </c>
      <c r="B24" s="227">
        <v>7793.0992746343345</v>
      </c>
      <c r="C24" s="227">
        <v>9660.5979370472614</v>
      </c>
      <c r="D24" s="227">
        <v>14490.896905570891</v>
      </c>
      <c r="E24" s="227">
        <v>19321.195874094523</v>
      </c>
      <c r="F24" s="228">
        <v>24151.494842618155</v>
      </c>
    </row>
    <row r="25" spans="1:6" x14ac:dyDescent="0.2">
      <c r="A25" s="252" t="s">
        <v>602</v>
      </c>
      <c r="B25" s="227">
        <v>39612.422417271802</v>
      </c>
      <c r="C25" s="227">
        <v>49104.941795277809</v>
      </c>
      <c r="D25" s="227">
        <v>73657.412692916711</v>
      </c>
      <c r="E25" s="227">
        <v>98209.883590555619</v>
      </c>
      <c r="F25" s="228">
        <v>122762.35448819454</v>
      </c>
    </row>
    <row r="26" spans="1:6" ht="16" thickBot="1" x14ac:dyDescent="0.25">
      <c r="A26" s="253" t="s">
        <v>531</v>
      </c>
      <c r="B26" s="235">
        <v>27416.799924830753</v>
      </c>
      <c r="C26" s="235">
        <v>27416.799924830753</v>
      </c>
      <c r="D26" s="235">
        <v>27416.799924830753</v>
      </c>
      <c r="E26" s="235">
        <v>27416.799924830753</v>
      </c>
      <c r="F26" s="236">
        <v>27416.799924830753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 Data Sheet</vt:lpstr>
      <vt:lpstr>Srini.. Vax Access </vt:lpstr>
      <vt:lpstr>Phase I</vt:lpstr>
      <vt:lpstr>Phase II</vt:lpstr>
      <vt:lpstr>Phase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Wallace, Ryan (CDC/NCEZID/DHCPP/PRB)</dc:creator>
  <cp:lastModifiedBy>Katie Hampson</cp:lastModifiedBy>
  <dcterms:created xsi:type="dcterms:W3CDTF">2024-04-21T17:53:04Z</dcterms:created>
  <dcterms:modified xsi:type="dcterms:W3CDTF">2024-04-26T17:06:39Z</dcterms:modified>
</cp:coreProperties>
</file>