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12549741-81EB-4E47-BFC9-DEECFD932E22}" xr6:coauthVersionLast="47" xr6:coauthVersionMax="47" xr10:uidLastSave="{00000000-0000-0000-0000-000000000000}"/>
  <bookViews>
    <workbookView xWindow="57480" yWindow="14325" windowWidth="29040" windowHeight="15720" tabRatio="799" firstSheet="4" activeTab="13" xr2:uid="{00000000-000D-0000-FFFF-FFFF00000000}"/>
  </bookViews>
  <sheets>
    <sheet name="Ex5.1.2" sheetId="2" r:id="rId1"/>
    <sheet name="Ex5.4.1" sheetId="68" r:id="rId2"/>
    <sheet name="EX7.1.1" sheetId="3" r:id="rId3"/>
    <sheet name="EX7.1.2" sheetId="88" r:id="rId4"/>
    <sheet name="EX7.1.3" sheetId="4" r:id="rId5"/>
    <sheet name="EX7.2.1" sheetId="5" r:id="rId6"/>
    <sheet name="EX7.4.1" sheetId="50" r:id="rId7"/>
    <sheet name="EX8.3.1" sheetId="89" r:id="rId8"/>
    <sheet name="EX9.1.1" sheetId="6" r:id="rId9"/>
    <sheet name="EX9.2.3" sheetId="70" r:id="rId10"/>
    <sheet name="EX9.3.1" sheetId="8" r:id="rId11"/>
    <sheet name="EX9.4.2A" sheetId="53" r:id="rId12"/>
    <sheet name="EX9.4.2B" sheetId="52" r:id="rId13"/>
    <sheet name="EX9.5.1" sheetId="71" r:id="rId14"/>
    <sheet name="EX9.5.1Old" sheetId="13" r:id="rId15"/>
    <sheet name="correl" sheetId="90" r:id="rId16"/>
    <sheet name="7-Var" sheetId="7" r:id="rId17"/>
    <sheet name="7-Var and Corr" sheetId="54" r:id="rId18"/>
    <sheet name="7-Beta_and_Var" sheetId="69" r:id="rId19"/>
    <sheet name="7-Google and Tech" sheetId="11" r:id="rId20"/>
    <sheet name="8-Var1" sheetId="14" r:id="rId21"/>
    <sheet name="8-Efficient Frontier" sheetId="15" r:id="rId22"/>
    <sheet name="8-active portfolio" sheetId="16" r:id="rId23"/>
    <sheet name="8-alpha" sheetId="17" r:id="rId24"/>
    <sheet name="8-Rate of Change" sheetId="19" r:id="rId25"/>
    <sheet name="9-Systematic_Risk" sheetId="22" r:id="rId26"/>
    <sheet name="8-Var2" sheetId="18" r:id="rId27"/>
    <sheet name="9-Alpha" sheetId="23" r:id="rId28"/>
    <sheet name="9-max corr" sheetId="55" r:id="rId29"/>
    <sheet name="10-Out of Sample" sheetId="25" r:id="rId30"/>
    <sheet name="10-Tangent Indirect" sheetId="56" r:id="rId31"/>
    <sheet name="10-LoBeta" sheetId="61" r:id="rId32"/>
    <sheet name="10-Estimating Alpha" sheetId="62" r:id="rId33"/>
    <sheet name="10-Tweights5" sheetId="63" r:id="rId34"/>
    <sheet name="10-FF5" sheetId="60" r:id="rId35"/>
    <sheet name="12-PE_Metrics" sheetId="64" r:id="rId36"/>
    <sheet name="13-butterfly" sheetId="48" r:id="rId37"/>
    <sheet name="FI_IRR" sheetId="72" r:id="rId38"/>
    <sheet name="FI_coupon1" sheetId="78" r:id="rId39"/>
    <sheet name="FI_parbonds" sheetId="74" r:id="rId40"/>
    <sheet name="FI_duration" sheetId="75" r:id="rId41"/>
    <sheet name="FI_Convexity" sheetId="76" r:id="rId42"/>
    <sheet name="FI_real yields" sheetId="77" r:id="rId43"/>
    <sheet name="IR-IR" sheetId="79" r:id="rId44"/>
    <sheet name="14-IR0" sheetId="80" r:id="rId45"/>
    <sheet name="14-IR1" sheetId="66" r:id="rId46"/>
    <sheet name="IR-2" sheetId="81" r:id="rId47"/>
    <sheet name="IR-3" sheetId="82" r:id="rId48"/>
    <sheet name="PA-1" sheetId="83" r:id="rId49"/>
    <sheet name="PA-2" sheetId="86" r:id="rId50"/>
    <sheet name="PA-3" sheetId="87" r:id="rId51"/>
    <sheet name="IR-measuring active risk" sheetId="42" r:id="rId52"/>
    <sheet name="15-Accounting" sheetId="36" r:id="rId53"/>
    <sheet name="15-FCFF vs FCFE" sheetId="37" r:id="rId54"/>
    <sheet name="15-Consensus Model" sheetId="38" r:id="rId55"/>
    <sheet name="15-Thesis Model" sheetId="39" r:id="rId56"/>
    <sheet name="15-Summary" sheetId="40" r:id="rId57"/>
    <sheet name="14-alpha and leverage" sheetId="41" r:id="rId58"/>
    <sheet name="14-scaling h and active risk" sheetId="43" r:id="rId59"/>
    <sheet name="14-scaling h and IR" sheetId="44" r:id="rId60"/>
    <sheet name="14-Maximizing IR1" sheetId="45" r:id="rId61"/>
    <sheet name="14-Maximizing IR" sheetId="46" r:id="rId62"/>
    <sheet name="14-Maximizing IR with ETF" sheetId="47" r:id="rId63"/>
    <sheet name="16-Debt Value" sheetId="49" r:id="rId64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2" hidden="1">'10-Estimating Alpha'!$I$15:$J$15</definedName>
    <definedName name="solver_adj" localSheetId="29" hidden="1">'10-Out of Sample'!$E$13</definedName>
    <definedName name="solver_adj" localSheetId="33" hidden="1">'10-Tweights5'!$K$15:$N$15</definedName>
    <definedName name="solver_adj" localSheetId="45" hidden="1">'14-IR1'!$B$14</definedName>
    <definedName name="solver_adj" localSheetId="61" hidden="1">'14-Maximizing IR'!$B$22:$J$22</definedName>
    <definedName name="solver_adj" localSheetId="60" hidden="1">'14-Maximizing IR1'!$B$14:$E$14</definedName>
    <definedName name="solver_adj" localSheetId="54" hidden="1">'15-Consensus Model'!$S$22</definedName>
    <definedName name="solver_adj" localSheetId="55" hidden="1">'15-Thesis Model'!$S$22</definedName>
    <definedName name="solver_adj" localSheetId="63" hidden="1">'16-Debt Value'!$C$8</definedName>
    <definedName name="solver_adj" localSheetId="16" hidden="1">'7-Var'!$C$37:$C$62</definedName>
    <definedName name="solver_adj" localSheetId="22" hidden="1">'8-active portfolio'!$C$13:$E$13</definedName>
    <definedName name="solver_adj" localSheetId="23" hidden="1">'8-alpha'!$K$42:$L$42</definedName>
    <definedName name="solver_adj" localSheetId="21" hidden="1">'8-Efficient Frontier'!$B$27:$C$36</definedName>
    <definedName name="solver_adj" localSheetId="26" hidden="1">'8-Var2'!$B$16:$C$16</definedName>
    <definedName name="solver_adj" localSheetId="28" hidden="1">'9-max corr'!$B$27</definedName>
    <definedName name="solver_adj" localSheetId="41" hidden="1">FI_Convexity!$G$29:$G$30</definedName>
    <definedName name="solver_adj" localSheetId="46" hidden="1">'IR-2'!$B$22:$K$22</definedName>
    <definedName name="solver_adj" localSheetId="47" hidden="1">'IR-3'!$B$22:$K$22</definedName>
    <definedName name="solver_cvg" localSheetId="32" hidden="1">0.0001</definedName>
    <definedName name="solver_cvg" localSheetId="29" hidden="1">0.0001</definedName>
    <definedName name="solver_cvg" localSheetId="33" hidden="1">0.0001</definedName>
    <definedName name="solver_cvg" localSheetId="45" hidden="1">0.0001</definedName>
    <definedName name="solver_cvg" localSheetId="61" hidden="1">0.0001</definedName>
    <definedName name="solver_cvg" localSheetId="60" hidden="1">0.0001</definedName>
    <definedName name="solver_cvg" localSheetId="54" hidden="1">0.0001</definedName>
    <definedName name="solver_cvg" localSheetId="55" hidden="1">0.0001</definedName>
    <definedName name="solver_cvg" localSheetId="63" hidden="1">0.0001</definedName>
    <definedName name="solver_cvg" localSheetId="16" hidden="1">0.0001</definedName>
    <definedName name="solver_cvg" localSheetId="22" hidden="1">0.0001</definedName>
    <definedName name="solver_cvg" localSheetId="23" hidden="1">0.0001</definedName>
    <definedName name="solver_cvg" localSheetId="21" hidden="1">0.0001</definedName>
    <definedName name="solver_cvg" localSheetId="26" hidden="1">0.0001</definedName>
    <definedName name="solver_cvg" localSheetId="28" hidden="1">0.0001</definedName>
    <definedName name="solver_cvg" localSheetId="41" hidden="1">0.0001</definedName>
    <definedName name="solver_cvg" localSheetId="46" hidden="1">0.000001</definedName>
    <definedName name="solver_cvg" localSheetId="47" hidden="1">0.0001</definedName>
    <definedName name="solver_drv" localSheetId="32" hidden="1">1</definedName>
    <definedName name="solver_drv" localSheetId="29" hidden="1">1</definedName>
    <definedName name="solver_drv" localSheetId="33" hidden="1">1</definedName>
    <definedName name="solver_drv" localSheetId="45" hidden="1">1</definedName>
    <definedName name="solver_drv" localSheetId="61" hidden="1">2</definedName>
    <definedName name="solver_drv" localSheetId="60" hidden="1">2</definedName>
    <definedName name="solver_drv" localSheetId="54" hidden="1">1</definedName>
    <definedName name="solver_drv" localSheetId="55" hidden="1">1</definedName>
    <definedName name="solver_drv" localSheetId="63" hidden="1">1</definedName>
    <definedName name="solver_drv" localSheetId="16" hidden="1">1</definedName>
    <definedName name="solver_drv" localSheetId="22" hidden="1">1</definedName>
    <definedName name="solver_drv" localSheetId="23" hidden="1">1</definedName>
    <definedName name="solver_drv" localSheetId="21" hidden="1">1</definedName>
    <definedName name="solver_drv" localSheetId="26" hidden="1">1</definedName>
    <definedName name="solver_drv" localSheetId="28" hidden="1">1</definedName>
    <definedName name="solver_drv" localSheetId="41" hidden="1">1</definedName>
    <definedName name="solver_drv" localSheetId="46" hidden="1">2</definedName>
    <definedName name="solver_drv" localSheetId="47" hidden="1">2</definedName>
    <definedName name="solver_eng" localSheetId="32" hidden="1">1</definedName>
    <definedName name="solver_eng" localSheetId="29" hidden="1">1</definedName>
    <definedName name="solver_eng" localSheetId="33" hidden="1">1</definedName>
    <definedName name="solver_eng" localSheetId="45" hidden="1">1</definedName>
    <definedName name="solver_eng" localSheetId="61" hidden="1">1</definedName>
    <definedName name="solver_eng" localSheetId="60" hidden="1">1</definedName>
    <definedName name="solver_eng" localSheetId="54" hidden="1">1</definedName>
    <definedName name="solver_eng" localSheetId="55" hidden="1">1</definedName>
    <definedName name="solver_eng" localSheetId="63" hidden="1">1</definedName>
    <definedName name="solver_eng" localSheetId="16" hidden="1">1</definedName>
    <definedName name="solver_eng" localSheetId="22" hidden="1">1</definedName>
    <definedName name="solver_eng" localSheetId="23" hidden="1">1</definedName>
    <definedName name="solver_eng" localSheetId="21" hidden="1">1</definedName>
    <definedName name="solver_eng" localSheetId="26" hidden="1">1</definedName>
    <definedName name="solver_eng" localSheetId="28" hidden="1">1</definedName>
    <definedName name="solver_eng" localSheetId="41" hidden="1">2</definedName>
    <definedName name="solver_eng" localSheetId="46" hidden="1">1</definedName>
    <definedName name="solver_eng" localSheetId="47" hidden="1">1</definedName>
    <definedName name="solver_eng" localSheetId="49" hidden="1">1</definedName>
    <definedName name="solver_est" localSheetId="32" hidden="1">1</definedName>
    <definedName name="solver_est" localSheetId="29" hidden="1">1</definedName>
    <definedName name="solver_est" localSheetId="33" hidden="1">1</definedName>
    <definedName name="solver_est" localSheetId="45" hidden="1">1</definedName>
    <definedName name="solver_est" localSheetId="61" hidden="1">1</definedName>
    <definedName name="solver_est" localSheetId="60" hidden="1">1</definedName>
    <definedName name="solver_est" localSheetId="54" hidden="1">1</definedName>
    <definedName name="solver_est" localSheetId="55" hidden="1">1</definedName>
    <definedName name="solver_est" localSheetId="63" hidden="1">1</definedName>
    <definedName name="solver_est" localSheetId="16" hidden="1">1</definedName>
    <definedName name="solver_est" localSheetId="22" hidden="1">1</definedName>
    <definedName name="solver_est" localSheetId="23" hidden="1">1</definedName>
    <definedName name="solver_est" localSheetId="21" hidden="1">1</definedName>
    <definedName name="solver_est" localSheetId="26" hidden="1">1</definedName>
    <definedName name="solver_est" localSheetId="28" hidden="1">1</definedName>
    <definedName name="solver_est" localSheetId="41" hidden="1">1</definedName>
    <definedName name="solver_est" localSheetId="46" hidden="1">1</definedName>
    <definedName name="solver_est" localSheetId="47" hidden="1">1</definedName>
    <definedName name="solver_itr" localSheetId="32" hidden="1">2147483647</definedName>
    <definedName name="solver_itr" localSheetId="29" hidden="1">2147483647</definedName>
    <definedName name="solver_itr" localSheetId="33" hidden="1">2147483647</definedName>
    <definedName name="solver_itr" localSheetId="45" hidden="1">2147483647</definedName>
    <definedName name="solver_itr" localSheetId="61" hidden="1">2147483647</definedName>
    <definedName name="solver_itr" localSheetId="60" hidden="1">2147483647</definedName>
    <definedName name="solver_itr" localSheetId="54" hidden="1">2147483647</definedName>
    <definedName name="solver_itr" localSheetId="55" hidden="1">2147483647</definedName>
    <definedName name="solver_itr" localSheetId="63" hidden="1">2147483647</definedName>
    <definedName name="solver_itr" localSheetId="16" hidden="1">2147483647</definedName>
    <definedName name="solver_itr" localSheetId="22" hidden="1">2147483647</definedName>
    <definedName name="solver_itr" localSheetId="23" hidden="1">2147483647</definedName>
    <definedName name="solver_itr" localSheetId="21" hidden="1">2147483647</definedName>
    <definedName name="solver_itr" localSheetId="26" hidden="1">2147483647</definedName>
    <definedName name="solver_itr" localSheetId="28" hidden="1">2147483647</definedName>
    <definedName name="solver_itr" localSheetId="41" hidden="1">2147483647</definedName>
    <definedName name="solver_itr" localSheetId="46" hidden="1">2147483647</definedName>
    <definedName name="solver_itr" localSheetId="47" hidden="1">2147483647</definedName>
    <definedName name="solver_lhs1" localSheetId="61" hidden="1">'14-Maximizing IR'!$B$43</definedName>
    <definedName name="solver_lhs1" localSheetId="60" hidden="1">'14-Maximizing IR1'!$H$14</definedName>
    <definedName name="solver_lhs1" localSheetId="16" hidden="1">'7-Var'!$B$64</definedName>
    <definedName name="solver_lhs1" localSheetId="22" hidden="1">'8-active portfolio'!$B$16</definedName>
    <definedName name="solver_lhs1" localSheetId="21" hidden="1">'8-Efficient Frontier'!$E$27:$E$36</definedName>
    <definedName name="solver_lhs1" localSheetId="46" hidden="1">'IR-2'!$C$40</definedName>
    <definedName name="solver_lhs1" localSheetId="47" hidden="1">'IR-3'!$C$39</definedName>
    <definedName name="solver_lhs2" localSheetId="61" hidden="1">'14-Maximizing IR'!$C$41</definedName>
    <definedName name="solver_lhs2" localSheetId="16" hidden="1">'7-Var'!$B$65</definedName>
    <definedName name="solver_lhs2" localSheetId="46" hidden="1">'IR-2'!$I$27</definedName>
    <definedName name="solver_lhs2" localSheetId="47" hidden="1">'IR-3'!$H$27</definedName>
    <definedName name="solver_lhs3" localSheetId="61" hidden="1">'14-Maximizing IR'!$I$25</definedName>
    <definedName name="solver_lhs3" localSheetId="16" hidden="1">'7-Var'!$C$64</definedName>
    <definedName name="solver_lhs3" localSheetId="46" hidden="1">'IR-2'!$M$22</definedName>
    <definedName name="solver_lhs3" localSheetId="47" hidden="1">'IR-3'!$H$27</definedName>
    <definedName name="solver_lhs4" localSheetId="16" hidden="1">'7-Var'!$C$65</definedName>
    <definedName name="solver_lhs4" localSheetId="47" hidden="1">'IR-3'!$H$27</definedName>
    <definedName name="solver_lhs5" localSheetId="47" hidden="1">'IR-3'!$H$27</definedName>
    <definedName name="solver_mip" localSheetId="32" hidden="1">2147483647</definedName>
    <definedName name="solver_mip" localSheetId="29" hidden="1">2147483647</definedName>
    <definedName name="solver_mip" localSheetId="33" hidden="1">2147483647</definedName>
    <definedName name="solver_mip" localSheetId="45" hidden="1">2147483647</definedName>
    <definedName name="solver_mip" localSheetId="61" hidden="1">2147483647</definedName>
    <definedName name="solver_mip" localSheetId="60" hidden="1">2147483647</definedName>
    <definedName name="solver_mip" localSheetId="54" hidden="1">2147483647</definedName>
    <definedName name="solver_mip" localSheetId="55" hidden="1">2147483647</definedName>
    <definedName name="solver_mip" localSheetId="63" hidden="1">2147483647</definedName>
    <definedName name="solver_mip" localSheetId="16" hidden="1">2147483647</definedName>
    <definedName name="solver_mip" localSheetId="22" hidden="1">2147483647</definedName>
    <definedName name="solver_mip" localSheetId="23" hidden="1">2147483647</definedName>
    <definedName name="solver_mip" localSheetId="21" hidden="1">2147483647</definedName>
    <definedName name="solver_mip" localSheetId="26" hidden="1">2147483647</definedName>
    <definedName name="solver_mip" localSheetId="28" hidden="1">2147483647</definedName>
    <definedName name="solver_mip" localSheetId="41" hidden="1">2147483647</definedName>
    <definedName name="solver_mip" localSheetId="46" hidden="1">2147483647</definedName>
    <definedName name="solver_mip" localSheetId="47" hidden="1">2147483647</definedName>
    <definedName name="solver_mni" localSheetId="32" hidden="1">30</definedName>
    <definedName name="solver_mni" localSheetId="29" hidden="1">30</definedName>
    <definedName name="solver_mni" localSheetId="33" hidden="1">30</definedName>
    <definedName name="solver_mni" localSheetId="45" hidden="1">30</definedName>
    <definedName name="solver_mni" localSheetId="61" hidden="1">30</definedName>
    <definedName name="solver_mni" localSheetId="60" hidden="1">30</definedName>
    <definedName name="solver_mni" localSheetId="54" hidden="1">30</definedName>
    <definedName name="solver_mni" localSheetId="55" hidden="1">30</definedName>
    <definedName name="solver_mni" localSheetId="63" hidden="1">30</definedName>
    <definedName name="solver_mni" localSheetId="16" hidden="1">30</definedName>
    <definedName name="solver_mni" localSheetId="22" hidden="1">30</definedName>
    <definedName name="solver_mni" localSheetId="23" hidden="1">30</definedName>
    <definedName name="solver_mni" localSheetId="21" hidden="1">30</definedName>
    <definedName name="solver_mni" localSheetId="26" hidden="1">30</definedName>
    <definedName name="solver_mni" localSheetId="28" hidden="1">30</definedName>
    <definedName name="solver_mni" localSheetId="41" hidden="1">30</definedName>
    <definedName name="solver_mni" localSheetId="46" hidden="1">30</definedName>
    <definedName name="solver_mni" localSheetId="47" hidden="1">30</definedName>
    <definedName name="solver_mrt" localSheetId="32" hidden="1">0.075</definedName>
    <definedName name="solver_mrt" localSheetId="29" hidden="1">0.075</definedName>
    <definedName name="solver_mrt" localSheetId="33" hidden="1">0.075</definedName>
    <definedName name="solver_mrt" localSheetId="45" hidden="1">0.075</definedName>
    <definedName name="solver_mrt" localSheetId="61" hidden="1">0.075</definedName>
    <definedName name="solver_mrt" localSheetId="60" hidden="1">0.075</definedName>
    <definedName name="solver_mrt" localSheetId="54" hidden="1">0.075</definedName>
    <definedName name="solver_mrt" localSheetId="55" hidden="1">0.075</definedName>
    <definedName name="solver_mrt" localSheetId="63" hidden="1">0.075</definedName>
    <definedName name="solver_mrt" localSheetId="16" hidden="1">0.075</definedName>
    <definedName name="solver_mrt" localSheetId="22" hidden="1">0.075</definedName>
    <definedName name="solver_mrt" localSheetId="23" hidden="1">0.075</definedName>
    <definedName name="solver_mrt" localSheetId="21" hidden="1">0.075</definedName>
    <definedName name="solver_mrt" localSheetId="26" hidden="1">0.075</definedName>
    <definedName name="solver_mrt" localSheetId="28" hidden="1">0.075</definedName>
    <definedName name="solver_mrt" localSheetId="41" hidden="1">0.075</definedName>
    <definedName name="solver_mrt" localSheetId="46" hidden="1">0.075</definedName>
    <definedName name="solver_mrt" localSheetId="47" hidden="1">0.075</definedName>
    <definedName name="solver_msl" localSheetId="32" hidden="1">2</definedName>
    <definedName name="solver_msl" localSheetId="29" hidden="1">2</definedName>
    <definedName name="solver_msl" localSheetId="33" hidden="1">2</definedName>
    <definedName name="solver_msl" localSheetId="45" hidden="1">2</definedName>
    <definedName name="solver_msl" localSheetId="61" hidden="1">2</definedName>
    <definedName name="solver_msl" localSheetId="60" hidden="1">2</definedName>
    <definedName name="solver_msl" localSheetId="54" hidden="1">2</definedName>
    <definedName name="solver_msl" localSheetId="55" hidden="1">2</definedName>
    <definedName name="solver_msl" localSheetId="63" hidden="1">2</definedName>
    <definedName name="solver_msl" localSheetId="16" hidden="1">2</definedName>
    <definedName name="solver_msl" localSheetId="22" hidden="1">2</definedName>
    <definedName name="solver_msl" localSheetId="23" hidden="1">2</definedName>
    <definedName name="solver_msl" localSheetId="21" hidden="1">2</definedName>
    <definedName name="solver_msl" localSheetId="26" hidden="1">2</definedName>
    <definedName name="solver_msl" localSheetId="28" hidden="1">2</definedName>
    <definedName name="solver_msl" localSheetId="41" hidden="1">2</definedName>
    <definedName name="solver_msl" localSheetId="46" hidden="1">2</definedName>
    <definedName name="solver_msl" localSheetId="47" hidden="1">2</definedName>
    <definedName name="solver_neg" localSheetId="32" hidden="1">2</definedName>
    <definedName name="solver_neg" localSheetId="29" hidden="1">2</definedName>
    <definedName name="solver_neg" localSheetId="33" hidden="1">2</definedName>
    <definedName name="solver_neg" localSheetId="45" hidden="1">2</definedName>
    <definedName name="solver_neg" localSheetId="61" hidden="1">2</definedName>
    <definedName name="solver_neg" localSheetId="60" hidden="1">2</definedName>
    <definedName name="solver_neg" localSheetId="54" hidden="1">2</definedName>
    <definedName name="solver_neg" localSheetId="55" hidden="1">2</definedName>
    <definedName name="solver_neg" localSheetId="63" hidden="1">1</definedName>
    <definedName name="solver_neg" localSheetId="16" hidden="1">2</definedName>
    <definedName name="solver_neg" localSheetId="22" hidden="1">2</definedName>
    <definedName name="solver_neg" localSheetId="23" hidden="1">2</definedName>
    <definedName name="solver_neg" localSheetId="21" hidden="1">2</definedName>
    <definedName name="solver_neg" localSheetId="26" hidden="1">2</definedName>
    <definedName name="solver_neg" localSheetId="28" hidden="1">2</definedName>
    <definedName name="solver_neg" localSheetId="41" hidden="1">2</definedName>
    <definedName name="solver_neg" localSheetId="46" hidden="1">2</definedName>
    <definedName name="solver_neg" localSheetId="47" hidden="1">2</definedName>
    <definedName name="solver_neg" localSheetId="49" hidden="1">1</definedName>
    <definedName name="solver_nod" localSheetId="32" hidden="1">2147483647</definedName>
    <definedName name="solver_nod" localSheetId="29" hidden="1">2147483647</definedName>
    <definedName name="solver_nod" localSheetId="33" hidden="1">2147483647</definedName>
    <definedName name="solver_nod" localSheetId="45" hidden="1">2147483647</definedName>
    <definedName name="solver_nod" localSheetId="61" hidden="1">2147483647</definedName>
    <definedName name="solver_nod" localSheetId="60" hidden="1">2147483647</definedName>
    <definedName name="solver_nod" localSheetId="54" hidden="1">2147483647</definedName>
    <definedName name="solver_nod" localSheetId="55" hidden="1">2147483647</definedName>
    <definedName name="solver_nod" localSheetId="63" hidden="1">2147483647</definedName>
    <definedName name="solver_nod" localSheetId="16" hidden="1">2147483647</definedName>
    <definedName name="solver_nod" localSheetId="22" hidden="1">2147483647</definedName>
    <definedName name="solver_nod" localSheetId="23" hidden="1">2147483647</definedName>
    <definedName name="solver_nod" localSheetId="21" hidden="1">2147483647</definedName>
    <definedName name="solver_nod" localSheetId="26" hidden="1">2147483647</definedName>
    <definedName name="solver_nod" localSheetId="28" hidden="1">2147483647</definedName>
    <definedName name="solver_nod" localSheetId="41" hidden="1">2147483647</definedName>
    <definedName name="solver_nod" localSheetId="46" hidden="1">2147483647</definedName>
    <definedName name="solver_nod" localSheetId="47" hidden="1">2147483647</definedName>
    <definedName name="solver_num" localSheetId="32" hidden="1">0</definedName>
    <definedName name="solver_num" localSheetId="29" hidden="1">0</definedName>
    <definedName name="solver_num" localSheetId="33" hidden="1">0</definedName>
    <definedName name="solver_num" localSheetId="45" hidden="1">0</definedName>
    <definedName name="solver_num" localSheetId="61" hidden="1">2</definedName>
    <definedName name="solver_num" localSheetId="60" hidden="1">1</definedName>
    <definedName name="solver_num" localSheetId="54" hidden="1">0</definedName>
    <definedName name="solver_num" localSheetId="55" hidden="1">0</definedName>
    <definedName name="solver_num" localSheetId="63" hidden="1">0</definedName>
    <definedName name="solver_num" localSheetId="16" hidden="1">4</definedName>
    <definedName name="solver_num" localSheetId="22" hidden="1">0</definedName>
    <definedName name="solver_num" localSheetId="23" hidden="1">0</definedName>
    <definedName name="solver_num" localSheetId="21" hidden="1">1</definedName>
    <definedName name="solver_num" localSheetId="26" hidden="1">0</definedName>
    <definedName name="solver_num" localSheetId="28" hidden="1">0</definedName>
    <definedName name="solver_num" localSheetId="41" hidden="1">0</definedName>
    <definedName name="solver_num" localSheetId="46" hidden="1">3</definedName>
    <definedName name="solver_num" localSheetId="47" hidden="1">2</definedName>
    <definedName name="solver_num" localSheetId="49" hidden="1">0</definedName>
    <definedName name="solver_nwt" localSheetId="32" hidden="1">1</definedName>
    <definedName name="solver_nwt" localSheetId="29" hidden="1">1</definedName>
    <definedName name="solver_nwt" localSheetId="33" hidden="1">1</definedName>
    <definedName name="solver_nwt" localSheetId="45" hidden="1">1</definedName>
    <definedName name="solver_nwt" localSheetId="61" hidden="1">1</definedName>
    <definedName name="solver_nwt" localSheetId="60" hidden="1">1</definedName>
    <definedName name="solver_nwt" localSheetId="54" hidden="1">1</definedName>
    <definedName name="solver_nwt" localSheetId="55" hidden="1">1</definedName>
    <definedName name="solver_nwt" localSheetId="63" hidden="1">1</definedName>
    <definedName name="solver_nwt" localSheetId="16" hidden="1">1</definedName>
    <definedName name="solver_nwt" localSheetId="22" hidden="1">1</definedName>
    <definedName name="solver_nwt" localSheetId="23" hidden="1">1</definedName>
    <definedName name="solver_nwt" localSheetId="21" hidden="1">1</definedName>
    <definedName name="solver_nwt" localSheetId="26" hidden="1">1</definedName>
    <definedName name="solver_nwt" localSheetId="28" hidden="1">1</definedName>
    <definedName name="solver_nwt" localSheetId="41" hidden="1">1</definedName>
    <definedName name="solver_nwt" localSheetId="46" hidden="1">1</definedName>
    <definedName name="solver_nwt" localSheetId="47" hidden="1">1</definedName>
    <definedName name="solver_opt" localSheetId="32" hidden="1">'10-Estimating Alpha'!$M$15</definedName>
    <definedName name="solver_opt" localSheetId="29" hidden="1">'10-Out of Sample'!$J$13</definedName>
    <definedName name="solver_opt" localSheetId="33" hidden="1">'10-Tweights5'!$J$21</definedName>
    <definedName name="solver_opt" localSheetId="45" hidden="1">'14-IR1'!$H$9</definedName>
    <definedName name="solver_opt" localSheetId="61" hidden="1">'14-Maximizing IR'!$B$45</definedName>
    <definedName name="solver_opt" localSheetId="60" hidden="1">'14-Maximizing IR1'!$J$14</definedName>
    <definedName name="solver_opt" localSheetId="54" hidden="1">'15-Consensus Model'!$K$27</definedName>
    <definedName name="solver_opt" localSheetId="55" hidden="1">'15-Thesis Model'!$K$27</definedName>
    <definedName name="solver_opt" localSheetId="63" hidden="1">'16-Debt Value'!$C$9</definedName>
    <definedName name="solver_opt" localSheetId="16" hidden="1">'7-Var'!$A$66</definedName>
    <definedName name="solver_opt" localSheetId="22" hidden="1">'8-active portfolio'!$B$17</definedName>
    <definedName name="solver_opt" localSheetId="23" hidden="1">'8-alpha'!$N$46</definedName>
    <definedName name="solver_opt" localSheetId="21" hidden="1">'8-Efficient Frontier'!$F$38</definedName>
    <definedName name="solver_opt" localSheetId="26" hidden="1">'8-Var2'!$B$25</definedName>
    <definedName name="solver_opt" localSheetId="28" hidden="1">'9-max corr'!$F$27</definedName>
    <definedName name="solver_opt" localSheetId="41" hidden="1">FI_Convexity!$H$40</definedName>
    <definedName name="solver_opt" localSheetId="46" hidden="1">'IR-2'!$H$27</definedName>
    <definedName name="solver_opt" localSheetId="47" hidden="1">'IR-3'!$G$27</definedName>
    <definedName name="solver_opt" localSheetId="49" hidden="1">'PA-2'!$F$3</definedName>
    <definedName name="solver_pre" localSheetId="32" hidden="1">0.000001</definedName>
    <definedName name="solver_pre" localSheetId="29" hidden="1">0.000001</definedName>
    <definedName name="solver_pre" localSheetId="33" hidden="1">0.000001</definedName>
    <definedName name="solver_pre" localSheetId="45" hidden="1">0.000001</definedName>
    <definedName name="solver_pre" localSheetId="61" hidden="1">0.000001</definedName>
    <definedName name="solver_pre" localSheetId="60" hidden="1">0.000001</definedName>
    <definedName name="solver_pre" localSheetId="54" hidden="1">0.000001</definedName>
    <definedName name="solver_pre" localSheetId="55" hidden="1">0.000001</definedName>
    <definedName name="solver_pre" localSheetId="63" hidden="1">0.000001</definedName>
    <definedName name="solver_pre" localSheetId="16" hidden="1">0.000001</definedName>
    <definedName name="solver_pre" localSheetId="22" hidden="1">0.000001</definedName>
    <definedName name="solver_pre" localSheetId="23" hidden="1">0.000001</definedName>
    <definedName name="solver_pre" localSheetId="21" hidden="1">0.000001</definedName>
    <definedName name="solver_pre" localSheetId="26" hidden="1">0.000001</definedName>
    <definedName name="solver_pre" localSheetId="28" hidden="1">0.000001</definedName>
    <definedName name="solver_pre" localSheetId="41" hidden="1">0.000001</definedName>
    <definedName name="solver_pre" localSheetId="46" hidden="1">0.000000001</definedName>
    <definedName name="solver_pre" localSheetId="47" hidden="1">0.000001</definedName>
    <definedName name="solver_rbv" localSheetId="32" hidden="1">1</definedName>
    <definedName name="solver_rbv" localSheetId="29" hidden="1">1</definedName>
    <definedName name="solver_rbv" localSheetId="33" hidden="1">1</definedName>
    <definedName name="solver_rbv" localSheetId="45" hidden="1">1</definedName>
    <definedName name="solver_rbv" localSheetId="61" hidden="1">2</definedName>
    <definedName name="solver_rbv" localSheetId="60" hidden="1">2</definedName>
    <definedName name="solver_rbv" localSheetId="54" hidden="1">1</definedName>
    <definedName name="solver_rbv" localSheetId="55" hidden="1">1</definedName>
    <definedName name="solver_rbv" localSheetId="63" hidden="1">1</definedName>
    <definedName name="solver_rbv" localSheetId="16" hidden="1">1</definedName>
    <definedName name="solver_rbv" localSheetId="22" hidden="1">1</definedName>
    <definedName name="solver_rbv" localSheetId="23" hidden="1">1</definedName>
    <definedName name="solver_rbv" localSheetId="21" hidden="1">1</definedName>
    <definedName name="solver_rbv" localSheetId="26" hidden="1">1</definedName>
    <definedName name="solver_rbv" localSheetId="28" hidden="1">1</definedName>
    <definedName name="solver_rbv" localSheetId="41" hidden="1">1</definedName>
    <definedName name="solver_rbv" localSheetId="46" hidden="1">2</definedName>
    <definedName name="solver_rbv" localSheetId="47" hidden="1">2</definedName>
    <definedName name="solver_rel1" localSheetId="61" hidden="1">2</definedName>
    <definedName name="solver_rel1" localSheetId="60" hidden="1">2</definedName>
    <definedName name="solver_rel1" localSheetId="16" hidden="1">2</definedName>
    <definedName name="solver_rel1" localSheetId="22" hidden="1">2</definedName>
    <definedName name="solver_rel1" localSheetId="21" hidden="1">2</definedName>
    <definedName name="solver_rel1" localSheetId="46" hidden="1">2</definedName>
    <definedName name="solver_rel1" localSheetId="47" hidden="1">2</definedName>
    <definedName name="solver_rel2" localSheetId="61" hidden="1">2</definedName>
    <definedName name="solver_rel2" localSheetId="16" hidden="1">2</definedName>
    <definedName name="solver_rel2" localSheetId="46" hidden="1">2</definedName>
    <definedName name="solver_rel2" localSheetId="47" hidden="1">2</definedName>
    <definedName name="solver_rel3" localSheetId="61" hidden="1">2</definedName>
    <definedName name="solver_rel3" localSheetId="16" hidden="1">2</definedName>
    <definedName name="solver_rel3" localSheetId="46" hidden="1">2</definedName>
    <definedName name="solver_rel3" localSheetId="47" hidden="1">2</definedName>
    <definedName name="solver_rel4" localSheetId="16" hidden="1">2</definedName>
    <definedName name="solver_rel4" localSheetId="47" hidden="1">2</definedName>
    <definedName name="solver_rel5" localSheetId="47" hidden="1">2</definedName>
    <definedName name="solver_rhs1" localSheetId="61" hidden="1">0.05</definedName>
    <definedName name="solver_rhs1" localSheetId="60" hidden="1">0.05</definedName>
    <definedName name="solver_rhs1" localSheetId="16" hidden="1">0</definedName>
    <definedName name="solver_rhs1" localSheetId="22" hidden="1">0.2</definedName>
    <definedName name="solver_rhs1" localSheetId="21" hidden="1">'8-Efficient Frontier'!$G$27:$G$36</definedName>
    <definedName name="solver_rhs1" localSheetId="46" hidden="1">0</definedName>
    <definedName name="solver_rhs1" localSheetId="47" hidden="1">0</definedName>
    <definedName name="solver_rhs2" localSheetId="61" hidden="1">1</definedName>
    <definedName name="solver_rhs2" localSheetId="16" hidden="1">1</definedName>
    <definedName name="solver_rhs2" localSheetId="46" hidden="1">0.05</definedName>
    <definedName name="solver_rhs2" localSheetId="47" hidden="1">0.05</definedName>
    <definedName name="solver_rhs3" localSheetId="61" hidden="1">0</definedName>
    <definedName name="solver_rhs3" localSheetId="16" hidden="1">0</definedName>
    <definedName name="solver_rhs3" localSheetId="46" hidden="1">0</definedName>
    <definedName name="solver_rhs3" localSheetId="47" hidden="1">0.05</definedName>
    <definedName name="solver_rhs4" localSheetId="16" hidden="1">1</definedName>
    <definedName name="solver_rhs4" localSheetId="47" hidden="1">0.05</definedName>
    <definedName name="solver_rhs5" localSheetId="47" hidden="1">0.05</definedName>
    <definedName name="solver_rlx" localSheetId="32" hidden="1">2</definedName>
    <definedName name="solver_rlx" localSheetId="29" hidden="1">2</definedName>
    <definedName name="solver_rlx" localSheetId="33" hidden="1">2</definedName>
    <definedName name="solver_rlx" localSheetId="45" hidden="1">2</definedName>
    <definedName name="solver_rlx" localSheetId="61" hidden="1">2</definedName>
    <definedName name="solver_rlx" localSheetId="60" hidden="1">2</definedName>
    <definedName name="solver_rlx" localSheetId="54" hidden="1">2</definedName>
    <definedName name="solver_rlx" localSheetId="55" hidden="1">2</definedName>
    <definedName name="solver_rlx" localSheetId="63" hidden="1">2</definedName>
    <definedName name="solver_rlx" localSheetId="16" hidden="1">2</definedName>
    <definedName name="solver_rlx" localSheetId="22" hidden="1">2</definedName>
    <definedName name="solver_rlx" localSheetId="23" hidden="1">2</definedName>
    <definedName name="solver_rlx" localSheetId="21" hidden="1">2</definedName>
    <definedName name="solver_rlx" localSheetId="26" hidden="1">2</definedName>
    <definedName name="solver_rlx" localSheetId="28" hidden="1">2</definedName>
    <definedName name="solver_rlx" localSheetId="41" hidden="1">2</definedName>
    <definedName name="solver_rlx" localSheetId="46" hidden="1">2</definedName>
    <definedName name="solver_rlx" localSheetId="47" hidden="1">2</definedName>
    <definedName name="solver_rsd" localSheetId="32" hidden="1">0</definedName>
    <definedName name="solver_rsd" localSheetId="29" hidden="1">0</definedName>
    <definedName name="solver_rsd" localSheetId="33" hidden="1">0</definedName>
    <definedName name="solver_rsd" localSheetId="45" hidden="1">0</definedName>
    <definedName name="solver_rsd" localSheetId="61" hidden="1">0</definedName>
    <definedName name="solver_rsd" localSheetId="60" hidden="1">0</definedName>
    <definedName name="solver_rsd" localSheetId="54" hidden="1">0</definedName>
    <definedName name="solver_rsd" localSheetId="55" hidden="1">0</definedName>
    <definedName name="solver_rsd" localSheetId="63" hidden="1">0</definedName>
    <definedName name="solver_rsd" localSheetId="16" hidden="1">0</definedName>
    <definedName name="solver_rsd" localSheetId="22" hidden="1">0</definedName>
    <definedName name="solver_rsd" localSheetId="23" hidden="1">0</definedName>
    <definedName name="solver_rsd" localSheetId="21" hidden="1">0</definedName>
    <definedName name="solver_rsd" localSheetId="26" hidden="1">0</definedName>
    <definedName name="solver_rsd" localSheetId="28" hidden="1">0</definedName>
    <definedName name="solver_rsd" localSheetId="41" hidden="1">0</definedName>
    <definedName name="solver_rsd" localSheetId="46" hidden="1">0</definedName>
    <definedName name="solver_rsd" localSheetId="47" hidden="1">0</definedName>
    <definedName name="solver_scl" localSheetId="32" hidden="1">1</definedName>
    <definedName name="solver_scl" localSheetId="29" hidden="1">1</definedName>
    <definedName name="solver_scl" localSheetId="33" hidden="1">1</definedName>
    <definedName name="solver_scl" localSheetId="45" hidden="1">1</definedName>
    <definedName name="solver_scl" localSheetId="61" hidden="1">2</definedName>
    <definedName name="solver_scl" localSheetId="60" hidden="1">2</definedName>
    <definedName name="solver_scl" localSheetId="54" hidden="1">1</definedName>
    <definedName name="solver_scl" localSheetId="55" hidden="1">1</definedName>
    <definedName name="solver_scl" localSheetId="63" hidden="1">1</definedName>
    <definedName name="solver_scl" localSheetId="16" hidden="1">1</definedName>
    <definedName name="solver_scl" localSheetId="22" hidden="1">1</definedName>
    <definedName name="solver_scl" localSheetId="23" hidden="1">1</definedName>
    <definedName name="solver_scl" localSheetId="21" hidden="1">1</definedName>
    <definedName name="solver_scl" localSheetId="26" hidden="1">1</definedName>
    <definedName name="solver_scl" localSheetId="28" hidden="1">1</definedName>
    <definedName name="solver_scl" localSheetId="41" hidden="1">1</definedName>
    <definedName name="solver_scl" localSheetId="46" hidden="1">2</definedName>
    <definedName name="solver_scl" localSheetId="47" hidden="1">2</definedName>
    <definedName name="solver_sho" localSheetId="32" hidden="1">2</definedName>
    <definedName name="solver_sho" localSheetId="29" hidden="1">2</definedName>
    <definedName name="solver_sho" localSheetId="33" hidden="1">2</definedName>
    <definedName name="solver_sho" localSheetId="45" hidden="1">2</definedName>
    <definedName name="solver_sho" localSheetId="61" hidden="1">2</definedName>
    <definedName name="solver_sho" localSheetId="60" hidden="1">2</definedName>
    <definedName name="solver_sho" localSheetId="54" hidden="1">2</definedName>
    <definedName name="solver_sho" localSheetId="55" hidden="1">2</definedName>
    <definedName name="solver_sho" localSheetId="63" hidden="1">2</definedName>
    <definedName name="solver_sho" localSheetId="16" hidden="1">2</definedName>
    <definedName name="solver_sho" localSheetId="22" hidden="1">2</definedName>
    <definedName name="solver_sho" localSheetId="23" hidden="1">2</definedName>
    <definedName name="solver_sho" localSheetId="21" hidden="1">2</definedName>
    <definedName name="solver_sho" localSheetId="26" hidden="1">2</definedName>
    <definedName name="solver_sho" localSheetId="28" hidden="1">2</definedName>
    <definedName name="solver_sho" localSheetId="41" hidden="1">2</definedName>
    <definedName name="solver_sho" localSheetId="46" hidden="1">2</definedName>
    <definedName name="solver_sho" localSheetId="47" hidden="1">2</definedName>
    <definedName name="solver_ssz" localSheetId="32" hidden="1">100</definedName>
    <definedName name="solver_ssz" localSheetId="29" hidden="1">100</definedName>
    <definedName name="solver_ssz" localSheetId="33" hidden="1">100</definedName>
    <definedName name="solver_ssz" localSheetId="45" hidden="1">100</definedName>
    <definedName name="solver_ssz" localSheetId="61" hidden="1">100</definedName>
    <definedName name="solver_ssz" localSheetId="60" hidden="1">100</definedName>
    <definedName name="solver_ssz" localSheetId="54" hidden="1">100</definedName>
    <definedName name="solver_ssz" localSheetId="55" hidden="1">100</definedName>
    <definedName name="solver_ssz" localSheetId="63" hidden="1">100</definedName>
    <definedName name="solver_ssz" localSheetId="16" hidden="1">100</definedName>
    <definedName name="solver_ssz" localSheetId="22" hidden="1">100</definedName>
    <definedName name="solver_ssz" localSheetId="23" hidden="1">100</definedName>
    <definedName name="solver_ssz" localSheetId="21" hidden="1">100</definedName>
    <definedName name="solver_ssz" localSheetId="26" hidden="1">100</definedName>
    <definedName name="solver_ssz" localSheetId="28" hidden="1">100</definedName>
    <definedName name="solver_ssz" localSheetId="41" hidden="1">100</definedName>
    <definedName name="solver_ssz" localSheetId="46" hidden="1">100</definedName>
    <definedName name="solver_ssz" localSheetId="47" hidden="1">100</definedName>
    <definedName name="solver_tim" localSheetId="32" hidden="1">2147483647</definedName>
    <definedName name="solver_tim" localSheetId="29" hidden="1">2147483647</definedName>
    <definedName name="solver_tim" localSheetId="33" hidden="1">2147483647</definedName>
    <definedName name="solver_tim" localSheetId="45" hidden="1">2147483647</definedName>
    <definedName name="solver_tim" localSheetId="61" hidden="1">2147483647</definedName>
    <definedName name="solver_tim" localSheetId="60" hidden="1">2147483647</definedName>
    <definedName name="solver_tim" localSheetId="54" hidden="1">2147483647</definedName>
    <definedName name="solver_tim" localSheetId="55" hidden="1">2147483647</definedName>
    <definedName name="solver_tim" localSheetId="63" hidden="1">2147483647</definedName>
    <definedName name="solver_tim" localSheetId="16" hidden="1">2147483647</definedName>
    <definedName name="solver_tim" localSheetId="22" hidden="1">2147483647</definedName>
    <definedName name="solver_tim" localSheetId="23" hidden="1">2147483647</definedName>
    <definedName name="solver_tim" localSheetId="21" hidden="1">2147483647</definedName>
    <definedName name="solver_tim" localSheetId="26" hidden="1">2147483647</definedName>
    <definedName name="solver_tim" localSheetId="28" hidden="1">2147483647</definedName>
    <definedName name="solver_tim" localSheetId="41" hidden="1">2147483647</definedName>
    <definedName name="solver_tim" localSheetId="46" hidden="1">2147483647</definedName>
    <definedName name="solver_tim" localSheetId="47" hidden="1">2147483647</definedName>
    <definedName name="solver_tol" localSheetId="32" hidden="1">0.01</definedName>
    <definedName name="solver_tol" localSheetId="29" hidden="1">0.01</definedName>
    <definedName name="solver_tol" localSheetId="33" hidden="1">0.01</definedName>
    <definedName name="solver_tol" localSheetId="45" hidden="1">0.01</definedName>
    <definedName name="solver_tol" localSheetId="61" hidden="1">0.01</definedName>
    <definedName name="solver_tol" localSheetId="60" hidden="1">0.01</definedName>
    <definedName name="solver_tol" localSheetId="54" hidden="1">0.01</definedName>
    <definedName name="solver_tol" localSheetId="55" hidden="1">0.01</definedName>
    <definedName name="solver_tol" localSheetId="63" hidden="1">0.01</definedName>
    <definedName name="solver_tol" localSheetId="16" hidden="1">0.01</definedName>
    <definedName name="solver_tol" localSheetId="22" hidden="1">0.01</definedName>
    <definedName name="solver_tol" localSheetId="23" hidden="1">0.01</definedName>
    <definedName name="solver_tol" localSheetId="21" hidden="1">0.01</definedName>
    <definedName name="solver_tol" localSheetId="26" hidden="1">0.01</definedName>
    <definedName name="solver_tol" localSheetId="28" hidden="1">0.01</definedName>
    <definedName name="solver_tol" localSheetId="41" hidden="1">0.01</definedName>
    <definedName name="solver_tol" localSheetId="46" hidden="1">0.01</definedName>
    <definedName name="solver_tol" localSheetId="47" hidden="1">0.01</definedName>
    <definedName name="solver_typ" localSheetId="32" hidden="1">1</definedName>
    <definedName name="solver_typ" localSheetId="29" hidden="1">1</definedName>
    <definedName name="solver_typ" localSheetId="33" hidden="1">1</definedName>
    <definedName name="solver_typ" localSheetId="45" hidden="1">3</definedName>
    <definedName name="solver_typ" localSheetId="61" hidden="1">1</definedName>
    <definedName name="solver_typ" localSheetId="60" hidden="1">1</definedName>
    <definedName name="solver_typ" localSheetId="54" hidden="1">3</definedName>
    <definedName name="solver_typ" localSheetId="55" hidden="1">3</definedName>
    <definedName name="solver_typ" localSheetId="63" hidden="1">3</definedName>
    <definedName name="solver_typ" localSheetId="16" hidden="1">3</definedName>
    <definedName name="solver_typ" localSheetId="22" hidden="1">1</definedName>
    <definedName name="solver_typ" localSheetId="23" hidden="1">1</definedName>
    <definedName name="solver_typ" localSheetId="21" hidden="1">2</definedName>
    <definedName name="solver_typ" localSheetId="26" hidden="1">1</definedName>
    <definedName name="solver_typ" localSheetId="28" hidden="1">1</definedName>
    <definedName name="solver_typ" localSheetId="41" hidden="1">3</definedName>
    <definedName name="solver_typ" localSheetId="46" hidden="1">1</definedName>
    <definedName name="solver_typ" localSheetId="47" hidden="1">1</definedName>
    <definedName name="solver_typ" localSheetId="49" hidden="1">1</definedName>
    <definedName name="solver_val" localSheetId="32" hidden="1">0</definedName>
    <definedName name="solver_val" localSheetId="29" hidden="1">0</definedName>
    <definedName name="solver_val" localSheetId="33" hidden="1">0</definedName>
    <definedName name="solver_val" localSheetId="45" hidden="1">1</definedName>
    <definedName name="solver_val" localSheetId="61" hidden="1">0</definedName>
    <definedName name="solver_val" localSheetId="60" hidden="1">0</definedName>
    <definedName name="solver_val" localSheetId="54" hidden="1">12.15</definedName>
    <definedName name="solver_val" localSheetId="55" hidden="1">12.15</definedName>
    <definedName name="solver_val" localSheetId="63" hidden="1">30</definedName>
    <definedName name="solver_val" localSheetId="16" hidden="1">0</definedName>
    <definedName name="solver_val" localSheetId="22" hidden="1">0</definedName>
    <definedName name="solver_val" localSheetId="23" hidden="1">0</definedName>
    <definedName name="solver_val" localSheetId="21" hidden="1">-0.1</definedName>
    <definedName name="solver_val" localSheetId="26" hidden="1">0</definedName>
    <definedName name="solver_val" localSheetId="28" hidden="1">0</definedName>
    <definedName name="solver_val" localSheetId="41" hidden="1">0</definedName>
    <definedName name="solver_val" localSheetId="46" hidden="1">0</definedName>
    <definedName name="solver_val" localSheetId="47" hidden="1">0</definedName>
    <definedName name="solver_val" localSheetId="49" hidden="1">0</definedName>
    <definedName name="solver_ver" localSheetId="32" hidden="1">3</definedName>
    <definedName name="solver_ver" localSheetId="29" hidden="1">3</definedName>
    <definedName name="solver_ver" localSheetId="33" hidden="1">3</definedName>
    <definedName name="solver_ver" localSheetId="45" hidden="1">3</definedName>
    <definedName name="solver_ver" localSheetId="61" hidden="1">3</definedName>
    <definedName name="solver_ver" localSheetId="60" hidden="1">3</definedName>
    <definedName name="solver_ver" localSheetId="54" hidden="1">3</definedName>
    <definedName name="solver_ver" localSheetId="55" hidden="1">3</definedName>
    <definedName name="solver_ver" localSheetId="63" hidden="1">3</definedName>
    <definedName name="solver_ver" localSheetId="16" hidden="1">3</definedName>
    <definedName name="solver_ver" localSheetId="22" hidden="1">3</definedName>
    <definedName name="solver_ver" localSheetId="23" hidden="1">3</definedName>
    <definedName name="solver_ver" localSheetId="21" hidden="1">3</definedName>
    <definedName name="solver_ver" localSheetId="26" hidden="1">3</definedName>
    <definedName name="solver_ver" localSheetId="28" hidden="1">3</definedName>
    <definedName name="solver_ver" localSheetId="41" hidden="1">3</definedName>
    <definedName name="solver_ver" localSheetId="46" hidden="1">3</definedName>
    <definedName name="solver_ver" localSheetId="47" hidden="1">3</definedName>
    <definedName name="solver_ver" localSheetId="4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90" l="1"/>
  <c r="H24" i="90"/>
  <c r="H25" i="90"/>
  <c r="H26" i="90"/>
  <c r="H21" i="90"/>
  <c r="C19" i="90"/>
  <c r="F12" i="90" s="1"/>
  <c r="B19" i="90"/>
  <c r="E13" i="90" s="1"/>
  <c r="J6" i="89"/>
  <c r="L6" i="89"/>
  <c r="K6" i="89"/>
  <c r="K3" i="89"/>
  <c r="J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E7" i="50"/>
  <c r="E6" i="50"/>
  <c r="E5" i="50"/>
  <c r="G26" i="5"/>
  <c r="L66" i="5"/>
  <c r="L25" i="5"/>
  <c r="G25" i="5"/>
  <c r="G22" i="5"/>
  <c r="G21" i="5"/>
  <c r="G20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7" i="5"/>
  <c r="G1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G15" i="5" s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7" i="5"/>
  <c r="H10" i="5"/>
  <c r="G10" i="5"/>
  <c r="H9" i="5"/>
  <c r="G9" i="5"/>
  <c r="H8" i="5"/>
  <c r="G8" i="5"/>
  <c r="B16" i="4"/>
  <c r="B15" i="4"/>
  <c r="D18" i="88"/>
  <c r="D16" i="88"/>
  <c r="D13" i="88"/>
  <c r="D12" i="88"/>
  <c r="D11" i="88"/>
  <c r="D10" i="88"/>
  <c r="D9" i="88"/>
  <c r="D8" i="88"/>
  <c r="D7" i="88"/>
  <c r="D6" i="88"/>
  <c r="D5" i="88"/>
  <c r="D4" i="88"/>
  <c r="C5" i="88"/>
  <c r="C6" i="88"/>
  <c r="C7" i="88"/>
  <c r="C8" i="88"/>
  <c r="C9" i="88"/>
  <c r="C10" i="88"/>
  <c r="C11" i="88"/>
  <c r="C12" i="88"/>
  <c r="C13" i="88"/>
  <c r="C4" i="88"/>
  <c r="B15" i="88"/>
  <c r="C13" i="3"/>
  <c r="B8" i="3"/>
  <c r="C8" i="3" s="1"/>
  <c r="B7" i="3"/>
  <c r="C7" i="3" s="1"/>
  <c r="B6" i="3"/>
  <c r="C6" i="3" s="1"/>
  <c r="B5" i="3"/>
  <c r="C5" i="3" s="1"/>
  <c r="B4" i="3"/>
  <c r="B11" i="3" s="1"/>
  <c r="A11" i="3"/>
  <c r="E36" i="2"/>
  <c r="C26" i="2"/>
  <c r="C32" i="2"/>
  <c r="G22" i="83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F10" i="90" l="1"/>
  <c r="E6" i="90"/>
  <c r="F13" i="90"/>
  <c r="H13" i="90" s="1"/>
  <c r="F6" i="90"/>
  <c r="E14" i="90"/>
  <c r="H14" i="90" s="1"/>
  <c r="E7" i="90"/>
  <c r="F14" i="90"/>
  <c r="F7" i="90"/>
  <c r="E15" i="90"/>
  <c r="E8" i="90"/>
  <c r="F15" i="90"/>
  <c r="F8" i="90"/>
  <c r="E16" i="90"/>
  <c r="E9" i="90"/>
  <c r="F16" i="90"/>
  <c r="F9" i="90"/>
  <c r="E17" i="90"/>
  <c r="E10" i="90"/>
  <c r="H10" i="90" s="1"/>
  <c r="F17" i="90"/>
  <c r="F11" i="90"/>
  <c r="E12" i="90"/>
  <c r="H12" i="90" s="1"/>
  <c r="E11" i="90"/>
  <c r="L3" i="89"/>
  <c r="G22" i="89" s="1"/>
  <c r="G13" i="5"/>
  <c r="G14" i="5"/>
  <c r="C4" i="3"/>
  <c r="C11" i="3" s="1"/>
  <c r="X10" i="86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H17" i="90" l="1"/>
  <c r="H16" i="90"/>
  <c r="H7" i="90"/>
  <c r="H9" i="90"/>
  <c r="H8" i="90"/>
  <c r="H15" i="90"/>
  <c r="H6" i="90"/>
  <c r="H20" i="90" s="1"/>
  <c r="H11" i="90"/>
  <c r="G46" i="89"/>
  <c r="G38" i="89"/>
  <c r="G42" i="89"/>
  <c r="G21" i="89"/>
  <c r="G47" i="89"/>
  <c r="G26" i="89"/>
  <c r="G59" i="89"/>
  <c r="G3" i="89"/>
  <c r="G40" i="89"/>
  <c r="G25" i="89"/>
  <c r="G16" i="89"/>
  <c r="G29" i="89"/>
  <c r="G6" i="89"/>
  <c r="G28" i="89"/>
  <c r="G50" i="89"/>
  <c r="G51" i="89"/>
  <c r="G32" i="89"/>
  <c r="G54" i="89"/>
  <c r="G11" i="89"/>
  <c r="G4" i="89"/>
  <c r="G33" i="89"/>
  <c r="G12" i="89"/>
  <c r="G48" i="89"/>
  <c r="G34" i="89"/>
  <c r="G52" i="89"/>
  <c r="G56" i="89"/>
  <c r="G36" i="89"/>
  <c r="G13" i="89"/>
  <c r="G43" i="89"/>
  <c r="G14" i="89"/>
  <c r="G5" i="89"/>
  <c r="G15" i="89"/>
  <c r="G27" i="89"/>
  <c r="G49" i="89"/>
  <c r="G31" i="89"/>
  <c r="G60" i="89"/>
  <c r="G55" i="89"/>
  <c r="G17" i="89"/>
  <c r="G23" i="89"/>
  <c r="G57" i="89"/>
  <c r="G18" i="89"/>
  <c r="G45" i="89"/>
  <c r="G37" i="89"/>
  <c r="G62" i="89"/>
  <c r="G24" i="89"/>
  <c r="G39" i="89"/>
  <c r="G20" i="89"/>
  <c r="G19" i="89"/>
  <c r="G30" i="89"/>
  <c r="G8" i="89"/>
  <c r="G44" i="89"/>
  <c r="G35" i="89"/>
  <c r="G9" i="89"/>
  <c r="G7" i="89"/>
  <c r="G41" i="89"/>
  <c r="G53" i="89"/>
  <c r="G58" i="89"/>
  <c r="G10" i="89"/>
  <c r="G61" i="89"/>
  <c r="AG13" i="86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J7" i="89" l="1"/>
  <c r="K7" i="89"/>
  <c r="L7" i="89" s="1"/>
  <c r="AG24" i="86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F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G11" i="70"/>
  <c r="G10" i="70" s="1"/>
  <c r="G6" i="70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G2" i="11"/>
  <c r="G3" i="11"/>
  <c r="H6" i="11" s="1"/>
  <c r="H9" i="11" s="1"/>
  <c r="H10" i="11" s="1"/>
  <c r="H7" i="11"/>
  <c r="F7" i="52"/>
  <c r="G7" i="52"/>
  <c r="F8" i="52"/>
  <c r="G8" i="52"/>
  <c r="F9" i="52"/>
  <c r="G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F41" i="52"/>
  <c r="F42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G41" i="52"/>
  <c r="G42" i="52"/>
  <c r="M7" i="52"/>
  <c r="M8" i="52"/>
  <c r="D7" i="53"/>
  <c r="F7" i="53"/>
  <c r="G7" i="53"/>
  <c r="D8" i="53"/>
  <c r="F8" i="53"/>
  <c r="G8" i="53"/>
  <c r="D9" i="53"/>
  <c r="G9" i="53" s="1"/>
  <c r="D10" i="53"/>
  <c r="G10" i="53" s="1"/>
  <c r="F10" i="53"/>
  <c r="D11" i="53"/>
  <c r="F11" i="53" s="1"/>
  <c r="D12" i="53"/>
  <c r="G12" i="53" s="1"/>
  <c r="F12" i="53"/>
  <c r="D13" i="53"/>
  <c r="G13" i="53" s="1"/>
  <c r="F13" i="53"/>
  <c r="D14" i="53"/>
  <c r="G14" i="53" s="1"/>
  <c r="F14" i="53"/>
  <c r="D15" i="53"/>
  <c r="G15" i="53" s="1"/>
  <c r="D16" i="53"/>
  <c r="F16" i="53" s="1"/>
  <c r="D17" i="53"/>
  <c r="F17" i="53" s="1"/>
  <c r="D18" i="53"/>
  <c r="F18" i="53"/>
  <c r="D19" i="53"/>
  <c r="G19" i="53" s="1"/>
  <c r="F19" i="53"/>
  <c r="D20" i="53"/>
  <c r="G20" i="53" s="1"/>
  <c r="D21" i="53"/>
  <c r="G21" i="53" s="1"/>
  <c r="F21" i="53"/>
  <c r="D22" i="53"/>
  <c r="F22" i="53" s="1"/>
  <c r="D23" i="53"/>
  <c r="G23" i="53" s="1"/>
  <c r="F23" i="53"/>
  <c r="D24" i="53"/>
  <c r="G24" i="53" s="1"/>
  <c r="D25" i="53"/>
  <c r="G25" i="53" s="1"/>
  <c r="F25" i="53"/>
  <c r="D26" i="53"/>
  <c r="G26" i="53" s="1"/>
  <c r="D27" i="53"/>
  <c r="F27" i="53" s="1"/>
  <c r="D28" i="53"/>
  <c r="F28" i="53" s="1"/>
  <c r="D29" i="53"/>
  <c r="F29" i="53"/>
  <c r="D30" i="53"/>
  <c r="F30" i="53"/>
  <c r="D31" i="53"/>
  <c r="G31" i="53" s="1"/>
  <c r="F31" i="53"/>
  <c r="D32" i="53"/>
  <c r="G32" i="53" s="1"/>
  <c r="F32" i="53"/>
  <c r="D33" i="53"/>
  <c r="F33" i="53" s="1"/>
  <c r="D34" i="53"/>
  <c r="G34" i="53" s="1"/>
  <c r="F34" i="53"/>
  <c r="D35" i="53"/>
  <c r="G35" i="53" s="1"/>
  <c r="F35" i="53"/>
  <c r="D36" i="53"/>
  <c r="G36" i="53" s="1"/>
  <c r="F36" i="53"/>
  <c r="D37" i="53"/>
  <c r="G37" i="53" s="1"/>
  <c r="F37" i="53"/>
  <c r="D38" i="53"/>
  <c r="F38" i="53" s="1"/>
  <c r="D39" i="53"/>
  <c r="F39" i="53" s="1"/>
  <c r="D40" i="53"/>
  <c r="F40" i="53" s="1"/>
  <c r="D41" i="53"/>
  <c r="F41" i="53" s="1"/>
  <c r="D42" i="53"/>
  <c r="F42" i="53"/>
  <c r="G16" i="53"/>
  <c r="G17" i="53"/>
  <c r="G18" i="53"/>
  <c r="G27" i="53"/>
  <c r="G28" i="53"/>
  <c r="G29" i="53"/>
  <c r="G30" i="53"/>
  <c r="G40" i="53"/>
  <c r="G41" i="53"/>
  <c r="G42" i="53"/>
  <c r="M7" i="53"/>
  <c r="M8" i="53"/>
  <c r="E5" i="8"/>
  <c r="F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C17" i="6"/>
  <c r="F14" i="6" s="1"/>
  <c r="H19" i="6"/>
  <c r="G27" i="5"/>
  <c r="G7" i="3"/>
  <c r="G4" i="3" s="1"/>
  <c r="I5" i="68"/>
  <c r="J5" i="68" s="1"/>
  <c r="I6" i="68"/>
  <c r="J6" i="68" s="1"/>
  <c r="I7" i="68"/>
  <c r="J7" i="68" s="1"/>
  <c r="I8" i="68"/>
  <c r="J8" i="68"/>
  <c r="C10" i="68"/>
  <c r="D10" i="68"/>
  <c r="E10" i="68"/>
  <c r="C12" i="68"/>
  <c r="J13" i="68" s="1"/>
  <c r="D12" i="68"/>
  <c r="E12" i="68"/>
  <c r="C12" i="2"/>
  <c r="C13" i="2"/>
  <c r="C14" i="2"/>
  <c r="E32" i="2"/>
  <c r="E33" i="2"/>
  <c r="E34" i="2"/>
  <c r="J7" i="52" l="1"/>
  <c r="G39" i="53"/>
  <c r="F9" i="53"/>
  <c r="F20" i="53"/>
  <c r="G38" i="53"/>
  <c r="G22" i="53"/>
  <c r="F26" i="53"/>
  <c r="G11" i="53"/>
  <c r="K6" i="8"/>
  <c r="I34" i="70"/>
  <c r="I13" i="70"/>
  <c r="I14" i="70"/>
  <c r="I46" i="70"/>
  <c r="I35" i="70"/>
  <c r="F15" i="6"/>
  <c r="E9" i="6"/>
  <c r="E6" i="6"/>
  <c r="F5" i="6"/>
  <c r="H5" i="6"/>
  <c r="F13" i="6"/>
  <c r="F12" i="6"/>
  <c r="F10" i="6"/>
  <c r="E12" i="6"/>
  <c r="H12" i="6" s="1"/>
  <c r="F9" i="6"/>
  <c r="H9" i="6" s="1"/>
  <c r="I10" i="68"/>
  <c r="J12" i="68"/>
  <c r="C16" i="2"/>
  <c r="D14" i="2" s="1"/>
  <c r="C22" i="2" s="1"/>
  <c r="D22" i="2" s="1"/>
  <c r="C28" i="2" s="1"/>
  <c r="F32" i="2"/>
  <c r="F24" i="80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7" i="53"/>
  <c r="J10" i="68"/>
  <c r="K19" i="63"/>
  <c r="J20" i="63"/>
  <c r="K20" i="63" s="1"/>
  <c r="H4" i="3"/>
  <c r="E18" i="15"/>
  <c r="F18" i="15"/>
  <c r="G5" i="3"/>
  <c r="H5" i="3" s="1"/>
  <c r="E15" i="6"/>
  <c r="H15" i="6" s="1"/>
  <c r="N45" i="17"/>
  <c r="N43" i="17"/>
  <c r="K20" i="18"/>
  <c r="I26" i="36"/>
  <c r="I27" i="36"/>
  <c r="M7" i="36" s="1"/>
  <c r="M18" i="36" s="1"/>
  <c r="M36" i="36" s="1"/>
  <c r="E15" i="40"/>
  <c r="E16" i="40"/>
  <c r="F4" i="6"/>
  <c r="I43" i="17"/>
  <c r="I49" i="17" s="1"/>
  <c r="C20" i="18"/>
  <c r="E20" i="18" s="1"/>
  <c r="G33" i="53"/>
  <c r="E16" i="15"/>
  <c r="D41" i="46"/>
  <c r="J8" i="14"/>
  <c r="J13" i="14" s="1"/>
  <c r="G48" i="17"/>
  <c r="G50" i="17" s="1"/>
  <c r="N48" i="17"/>
  <c r="F34" i="2"/>
  <c r="I12" i="68"/>
  <c r="E14" i="6"/>
  <c r="H14" i="6" s="1"/>
  <c r="E7" i="6"/>
  <c r="E10" i="6"/>
  <c r="H10" i="6" s="1"/>
  <c r="E4" i="6"/>
  <c r="H4" i="6" s="1"/>
  <c r="E11" i="6"/>
  <c r="E13" i="6"/>
  <c r="H13" i="6" s="1"/>
  <c r="E65" i="7"/>
  <c r="J8" i="52"/>
  <c r="F42" i="15"/>
  <c r="G42" i="15" s="1"/>
  <c r="F46" i="15" s="1"/>
  <c r="E22" i="39"/>
  <c r="E23" i="39" s="1"/>
  <c r="N4" i="39" s="1"/>
  <c r="O6" i="41"/>
  <c r="F33" i="2"/>
  <c r="F15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N49" i="17"/>
  <c r="N51" i="17" s="1"/>
  <c r="I47" i="17"/>
  <c r="I48" i="17"/>
  <c r="I50" i="17" s="1"/>
  <c r="L8" i="41"/>
  <c r="M8" i="41"/>
  <c r="N8" i="41"/>
  <c r="O8" i="41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7" i="8"/>
  <c r="J7" i="8" s="1"/>
  <c r="J6" i="8"/>
  <c r="T9" i="25"/>
  <c r="F8" i="6"/>
  <c r="I45" i="17"/>
  <c r="I46" i="17" s="1"/>
  <c r="E19" i="38"/>
  <c r="E14" i="38"/>
  <c r="F24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J8" i="53" l="1"/>
  <c r="L6" i="70"/>
  <c r="G8" i="3"/>
  <c r="F36" i="2"/>
  <c r="D12" i="2"/>
  <c r="C20" i="2" s="1"/>
  <c r="D20" i="2" s="1"/>
  <c r="D13" i="2"/>
  <c r="C21" i="2" s="1"/>
  <c r="D21" i="2" s="1"/>
  <c r="C27" i="2" s="1"/>
  <c r="I10" i="78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7" i="8"/>
  <c r="H10" i="8"/>
  <c r="H58" i="8"/>
  <c r="H11" i="8"/>
  <c r="H63" i="8"/>
  <c r="H35" i="8"/>
  <c r="H36" i="8"/>
  <c r="H37" i="8"/>
  <c r="H33" i="8"/>
  <c r="H14" i="8"/>
  <c r="H38" i="8"/>
  <c r="H15" i="8"/>
  <c r="H44" i="8"/>
  <c r="H45" i="8"/>
  <c r="H16" i="8"/>
  <c r="H46" i="8"/>
  <c r="H5" i="8"/>
  <c r="H47" i="8"/>
  <c r="H19" i="8"/>
  <c r="H49" i="8"/>
  <c r="H24" i="8"/>
  <c r="H55" i="8"/>
  <c r="H25" i="8"/>
  <c r="H59" i="8"/>
  <c r="H7" i="8"/>
  <c r="H54" i="8"/>
  <c r="H41" i="8"/>
  <c r="H62" i="8"/>
  <c r="H30" i="8"/>
  <c r="H8" i="8"/>
  <c r="H28" i="8"/>
  <c r="H17" i="8"/>
  <c r="H61" i="8"/>
  <c r="H50" i="8"/>
  <c r="H39" i="8"/>
  <c r="H51" i="8"/>
  <c r="H60" i="8"/>
  <c r="H32" i="8"/>
  <c r="H6" i="8"/>
  <c r="H13" i="8"/>
  <c r="H48" i="8"/>
  <c r="H26" i="8"/>
  <c r="H20" i="8"/>
  <c r="H43" i="8"/>
  <c r="H12" i="8"/>
  <c r="H9" i="8"/>
  <c r="H57" i="8"/>
  <c r="H56" i="8"/>
  <c r="H23" i="8"/>
  <c r="H34" i="8"/>
  <c r="H22" i="8"/>
  <c r="H29" i="8"/>
  <c r="H64" i="8"/>
  <c r="H42" i="8"/>
  <c r="H31" i="8"/>
  <c r="H21" i="8"/>
  <c r="H52" i="8"/>
  <c r="H40" i="8"/>
  <c r="H53" i="8"/>
  <c r="H18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G9" i="3"/>
  <c r="G10" i="3" s="1"/>
  <c r="B19" i="38"/>
  <c r="B14" i="38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F18" i="66"/>
  <c r="I18" i="66"/>
  <c r="B19" i="66"/>
  <c r="F19" i="66" s="1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B19" i="47"/>
  <c r="C19" i="47"/>
  <c r="F22" i="47" a="1"/>
  <c r="F22" i="47" s="1"/>
  <c r="N46" i="17"/>
  <c r="O50" i="17"/>
  <c r="K18" i="63"/>
  <c r="K21" i="63" s="1"/>
  <c r="J21" i="63"/>
  <c r="E19" i="56"/>
  <c r="C33" i="2" l="1"/>
  <c r="C34" i="2"/>
  <c r="J18" i="66"/>
  <c r="Q34" i="76"/>
  <c r="Q36" i="76" s="1"/>
  <c r="P7" i="38"/>
  <c r="P16" i="38"/>
  <c r="D20" i="38"/>
  <c r="D21" i="38"/>
  <c r="M4" i="38" s="1"/>
  <c r="J10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C36" i="2" l="1"/>
  <c r="N12" i="38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<sst xmlns="http://schemas.openxmlformats.org/spreadsheetml/2006/main" count="2063" uniqueCount="873">
  <si>
    <t>A</t>
  </si>
  <si>
    <t>B</t>
  </si>
  <si>
    <t>C</t>
  </si>
  <si>
    <t>time t</t>
  </si>
  <si>
    <t>time t+1</t>
  </si>
  <si>
    <t>market cap</t>
  </si>
  <si>
    <t>weights</t>
  </si>
  <si>
    <t>Total</t>
  </si>
  <si>
    <t>shares</t>
  </si>
  <si>
    <t>actual weights</t>
  </si>
  <si>
    <t>value-weights</t>
  </si>
  <si>
    <t>Outcome</t>
  </si>
  <si>
    <t>Probability</t>
  </si>
  <si>
    <t>E[r]</t>
  </si>
  <si>
    <t>E[forecast error]</t>
  </si>
  <si>
    <t>(variance)</t>
  </si>
  <si>
    <t>Volatility</t>
  </si>
  <si>
    <t>Portfolio</t>
  </si>
  <si>
    <t>Portfolio:</t>
  </si>
  <si>
    <t>60% HOG</t>
  </si>
  <si>
    <t>80% ZION</t>
  </si>
  <si>
    <t>20% risk-free bonds</t>
  </si>
  <si>
    <t>HOG</t>
  </si>
  <si>
    <t>ZION</t>
  </si>
  <si>
    <t>Var[r]</t>
  </si>
  <si>
    <t>Std[r]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</si>
  <si>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</si>
  <si>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</si>
  <si>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</si>
  <si>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</si>
  <si>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</si>
  <si>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</si>
  <si>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</si>
  <si>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</si>
  <si>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</si>
  <si>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</si>
  <si>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</si>
  <si>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</si>
  <si>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</si>
  <si>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</si>
  <si>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</si>
  <si>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</si>
  <si>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</si>
  <si>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</si>
  <si>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</si>
  <si>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</si>
  <si>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</si>
  <si>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</si>
  <si>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</si>
  <si>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</si>
  <si>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</si>
  <si>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</si>
  <si>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</si>
  <si>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</si>
  <si>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</si>
  <si>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</si>
  <si>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</si>
  <si>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</si>
  <si>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</si>
  <si>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</si>
  <si>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</si>
  <si>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</si>
  <si>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</si>
  <si>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</si>
  <si>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</si>
  <si>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</si>
  <si>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</si>
  <si>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</si>
  <si>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</si>
  <si>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</si>
  <si>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</si>
  <si>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</si>
  <si>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</si>
  <si>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</si>
  <si>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</si>
  <si>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</si>
  <si>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</si>
  <si>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</si>
  <si>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</si>
  <si>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</si>
  <si>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</si>
  <si>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</si>
  <si>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</si>
  <si>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</si>
  <si>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</si>
  <si>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</si>
  <si>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</si>
  <si>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</si>
  <si>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</si>
  <si>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</si>
  <si>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</si>
  <si>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</si>
  <si>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</si>
  <si>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</si>
  <si>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</si>
  <si>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</si>
  <si>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</si>
  <si>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</si>
  <si>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</si>
  <si>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</si>
  <si>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</si>
  <si>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</si>
  <si>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</si>
  <si>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</si>
  <si>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</si>
  <si>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</si>
  <si>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</si>
  <si>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</si>
  <si>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</si>
  <si>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</si>
  <si>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</si>
  <si>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</si>
  <si>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</si>
  <si>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</si>
  <si>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</si>
  <si>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</si>
  <si>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</si>
  <si>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</si>
  <si>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</si>
  <si>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</si>
  <si>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</si>
  <si>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</si>
  <si>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</si>
  <si>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</si>
  <si>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</si>
  <si>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</si>
  <si>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</si>
  <si>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</si>
  <si>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</si>
  <si>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</si>
  <si>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</si>
  <si>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</si>
  <si>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</si>
  <si>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</si>
  <si>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</si>
  <si>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</si>
  <si>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</si>
  <si>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</si>
  <si>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</si>
  <si>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</si>
  <si>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</si>
  <si>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</si>
  <si>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</si>
  <si>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</si>
  <si>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</si>
  <si>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</si>
  <si>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</si>
  <si>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</si>
  <si>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</si>
  <si>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</si>
  <si>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</si>
  <si>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</si>
  <si>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</si>
  <si>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</si>
  <si>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</si>
  <si>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</si>
  <si>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</si>
  <si>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</si>
  <si>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</si>
  <si>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</si>
  <si>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</si>
  <si>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</si>
  <si>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</si>
  <si>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</si>
  <si>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</si>
  <si>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</si>
  <si>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</si>
  <si>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</si>
  <si>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</si>
  <si>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</si>
  <si>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</si>
  <si>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</si>
  <si>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</si>
  <si>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</si>
  <si>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</si>
  <si>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</si>
  <si>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</si>
  <si>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</si>
  <si>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</si>
  <si>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</si>
  <si>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</si>
  <si>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</si>
  <si>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</si>
  <si>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</si>
  <si>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</si>
  <si>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</si>
  <si>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</si>
  <si>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</si>
  <si>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</si>
  <si>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</si>
  <si>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</si>
  <si>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</si>
  <si>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</si>
  <si>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</si>
  <si>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</si>
  <si>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</si>
  <si>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</si>
  <si>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</si>
  <si>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</si>
  <si>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</si>
  <si>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</si>
  <si>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</si>
  <si>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</si>
  <si>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</si>
  <si>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</si>
  <si>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</si>
  <si>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</si>
  <si>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</si>
  <si>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</si>
  <si>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</si>
  <si>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</si>
  <si>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</si>
  <si>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</si>
  <si>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</si>
  <si>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</si>
  <si>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</si>
  <si>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</si>
  <si>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</si>
  <si>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</si>
  <si>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</si>
  <si>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</si>
  <si>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</si>
  <si>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</si>
  <si>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</si>
  <si>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</si>
  <si>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</si>
  <si>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</si>
  <si>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</si>
  <si>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</si>
  <si>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</si>
  <si>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</si>
  <si>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</si>
  <si>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</si>
  <si>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</si>
  <si>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</si>
  <si>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</si>
  <si>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</si>
  <si>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</si>
  <si>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</si>
  <si>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</si>
  <si>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</si>
  <si>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</si>
  <si>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</si>
  <si>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</si>
  <si>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</si>
  <si>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</si>
  <si>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</si>
  <si>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</si>
  <si>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</si>
  <si>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</si>
  <si>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</si>
  <si>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</si>
  <si>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</si>
  <si>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</si>
  <si>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</si>
  <si>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</si>
  <si>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</si>
  <si>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</si>
  <si>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</si>
  <si>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</si>
  <si>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</si>
  <si>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</si>
  <si>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</si>
  <si>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</si>
  <si>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</si>
  <si>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</si>
  <si>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</si>
  <si>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</si>
  <si>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</si>
  <si>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</si>
  <si>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</si>
  <si>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</si>
  <si>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</si>
  <si>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</si>
  <si>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</si>
  <si>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</si>
  <si>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</si>
  <si>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</si>
  <si>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</si>
  <si>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</si>
  <si>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</si>
  <si>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</si>
  <si>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</si>
  <si>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</si>
  <si>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</si>
  <si>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</si>
  <si>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</si>
  <si>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</si>
  <si>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</si>
  <si>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</si>
  <si>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</si>
  <si>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</si>
  <si>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</si>
  <si>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</si>
  <si>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</si>
  <si>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</si>
  <si>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</si>
  <si>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</si>
  <si>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</si>
  <si>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</si>
  <si>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</si>
  <si>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</si>
  <si>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</si>
  <si>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</si>
  <si>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</si>
  <si>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</si>
  <si>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</si>
  <si>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</si>
  <si>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</si>
  <si>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</si>
  <si>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</si>
  <si>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</si>
  <si>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</si>
  <si>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</si>
  <si>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</si>
  <si>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</si>
  <si>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</si>
  <si>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</si>
  <si>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</si>
  <si>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</si>
  <si>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</si>
  <si>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</si>
  <si>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</si>
  <si>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</si>
  <si>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</si>
  <si>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</si>
  <si>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</si>
  <si>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</si>
  <si>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</si>
  <si>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</si>
  <si>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</si>
  <si>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</si>
  <si>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</si>
  <si>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</si>
  <si>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</si>
  <si>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</si>
  <si>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</si>
  <si>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</si>
  <si>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</si>
  <si>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</si>
  <si>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</si>
  <si>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</si>
  <si>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</si>
  <si>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</si>
  <si>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</si>
  <si>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</si>
  <si>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</si>
  <si>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</si>
  <si>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</si>
  <si>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</si>
  <si>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</si>
  <si>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</si>
  <si>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</si>
  <si>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</si>
  <si>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</si>
  <si>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</si>
  <si>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</si>
  <si>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</si>
  <si>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</si>
  <si>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</si>
  <si>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</si>
  <si>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</si>
  <si>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</si>
  <si>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</si>
  <si>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</si>
  <si>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</si>
  <si>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</si>
  <si>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</si>
  <si>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</si>
  <si>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</si>
  <si>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</si>
  <si>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</si>
  <si>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</si>
  <si>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</si>
  <si>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</si>
  <si>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</si>
  <si>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</si>
  <si>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</si>
  <si>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</si>
  <si>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</si>
  <si>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</si>
  <si>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</si>
  <si>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</si>
  <si>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</si>
  <si>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</si>
  <si>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</si>
  <si>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</si>
  <si>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</si>
  <si>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</si>
  <si>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</si>
  <si>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</si>
  <si>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</si>
  <si>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</si>
  <si>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</si>
  <si>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</si>
  <si>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</si>
  <si>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</si>
  <si>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</si>
  <si>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</si>
  <si>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</si>
  <si>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</si>
  <si>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</si>
  <si>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</si>
  <si>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</si>
  <si>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</si>
  <si>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</si>
  <si>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</si>
  <si>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</si>
  <si>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</si>
  <si>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</si>
  <si>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</si>
  <si>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</si>
  <si>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</si>
  <si>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</si>
  <si>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</si>
  <si>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</si>
  <si>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</si>
  <si>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</si>
  <si>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</si>
  <si>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</si>
  <si>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</si>
  <si>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</si>
  <si>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</si>
  <si>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</si>
  <si>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</si>
  <si>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</si>
  <si>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</si>
  <si>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</si>
  <si>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</si>
  <si>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</si>
  <si>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</si>
  <si>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</si>
  <si>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</si>
  <si>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</si>
  <si>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</si>
  <si>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</si>
  <si>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</si>
  <si>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</si>
  <si>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</si>
  <si>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</si>
  <si>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</si>
  <si>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</si>
  <si>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</si>
  <si>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</si>
  <si>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</si>
  <si>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</si>
  <si>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</si>
  <si>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</si>
  <si>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</si>
  <si>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</si>
  <si>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</si>
  <si>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</si>
  <si>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</si>
  <si>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</si>
  <si>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</si>
  <si>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</si>
  <si>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</si>
  <si>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</si>
  <si>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</si>
  <si>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</si>
  <si>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</si>
  <si>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</si>
  <si>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</si>
  <si>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</si>
  <si>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</si>
  <si>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</si>
  <si>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</si>
  <si>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</si>
  <si>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</si>
  <si>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</si>
  <si>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</si>
  <si>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</si>
  <si>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</si>
  <si>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</si>
  <si>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</si>
  <si>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</si>
  <si>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</si>
  <si>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</si>
  <si>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</si>
  <si>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</si>
  <si>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</si>
  <si>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</si>
  <si>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</si>
  <si>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</si>
  <si>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</si>
  <si>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</si>
  <si>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</si>
  <si>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</si>
  <si>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</si>
  <si>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</si>
  <si>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</si>
  <si>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</si>
  <si>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</si>
  <si>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</si>
  <si>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</si>
  <si>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</si>
  <si>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</si>
  <si>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</si>
  <si>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</si>
  <si>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</si>
  <si>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</si>
  <si>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</si>
  <si>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</si>
  <si>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</si>
  <si>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</si>
  <si>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</si>
  <si>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</si>
  <si>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</si>
  <si>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</si>
  <si>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</si>
  <si>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</si>
  <si>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</si>
  <si>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</si>
  <si>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</si>
  <si>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</si>
  <si>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</si>
  <si>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</si>
  <si>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</si>
  <si>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</si>
  <si>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</si>
  <si>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</si>
  <si>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</si>
  <si>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</si>
  <si>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</si>
  <si>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</si>
  <si>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</si>
  <si>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</si>
  <si>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</si>
  <si>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</si>
  <si>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</si>
  <si>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</si>
  <si>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</si>
  <si>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</si>
  <si>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</si>
  <si>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</si>
  <si>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</si>
  <si>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</si>
  <si>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</si>
  <si>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</si>
  <si>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</si>
  <si>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</si>
  <si>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</si>
  <si>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</si>
  <si>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</si>
  <si>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</si>
  <si>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</si>
  <si>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</si>
  <si>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</si>
  <si>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</si>
  <si>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</si>
  <si>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</si>
  <si>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</si>
  <si>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</si>
  <si>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</si>
  <si>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</si>
  <si>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</si>
  <si>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</si>
  <si>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</si>
  <si>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</si>
  <si>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</si>
  <si>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</si>
  <si>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</si>
  <si>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</si>
  <si>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</si>
  <si>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</si>
  <si>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</si>
  <si>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</si>
  <si>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</si>
  <si>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Small/Value</t>
  </si>
  <si>
    <t>Small/Growth</t>
  </si>
  <si>
    <t>Large/Growth</t>
  </si>
  <si>
    <t>Active 1</t>
  </si>
  <si>
    <t>Active 2</t>
  </si>
  <si>
    <t>Total Active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</si>
  <si>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</si>
  <si>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</si>
  <si>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</si>
  <si>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</si>
  <si>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</si>
  <si>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</si>
  <si>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</si>
  <si>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</si>
  <si>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</si>
  <si>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</si>
  <si>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</si>
  <si>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</si>
  <si>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</si>
  <si>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</si>
  <si>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</si>
  <si>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</si>
  <si>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</si>
  <si>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</si>
  <si>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</si>
  <si>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</si>
  <si>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</si>
  <si>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</si>
  <si>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</si>
  <si>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</si>
  <si>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</si>
  <si>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</si>
  <si>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</si>
  <si>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</si>
  <si>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</si>
  <si>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</si>
  <si>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</si>
  <si>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</si>
  <si>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</si>
  <si>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</si>
  <si>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</si>
  <si>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</si>
  <si>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</si>
  <si>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</si>
  <si>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</si>
  <si>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</si>
  <si>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</si>
  <si>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</si>
  <si>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</si>
  <si>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</si>
  <si>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</si>
  <si>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</si>
  <si>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</si>
  <si>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</si>
  <si>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</si>
  <si>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</si>
  <si>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</si>
  <si>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</si>
  <si>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</si>
  <si>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</si>
  <si>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</si>
  <si>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</si>
  <si>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</si>
  <si>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</si>
  <si>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</si>
  <si>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</si>
  <si>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</si>
  <si>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</si>
  <si>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</si>
  <si>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</si>
  <si>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</si>
  <si>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</si>
  <si>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</si>
  <si>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</si>
  <si>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</si>
  <si>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</si>
  <si>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</si>
  <si>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</si>
  <si>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</si>
  <si>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</si>
  <si>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</si>
  <si>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</si>
  <si>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</si>
  <si>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</si>
  <si>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</si>
  <si>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</si>
  <si>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</si>
  <si>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</si>
  <si>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</si>
  <si>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</si>
  <si>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</si>
  <si>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</si>
  <si>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</si>
  <si>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</si>
  <si>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</si>
  <si>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</si>
  <si>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</si>
  <si>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</si>
  <si>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</si>
  <si>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</si>
  <si>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</si>
  <si>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</si>
  <si>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</si>
  <si>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</si>
  <si>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</si>
  <si>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</si>
  <si>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</si>
  <si>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</si>
  <si>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</si>
  <si>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</si>
  <si>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</si>
  <si>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</si>
  <si>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</si>
  <si>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</si>
  <si>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</si>
  <si>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</si>
  <si>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</si>
  <si>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</si>
  <si>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</si>
  <si>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</si>
  <si>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</si>
  <si>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</si>
  <si>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</si>
  <si>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</si>
  <si>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</si>
  <si>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</si>
  <si>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</si>
  <si>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</si>
  <si>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</si>
  <si>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</si>
  <si>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</si>
  <si>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</si>
  <si>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</si>
  <si>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</si>
  <si>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</si>
  <si>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</si>
  <si>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</si>
  <si>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</si>
  <si>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</si>
  <si>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</si>
  <si>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</si>
  <si>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</si>
  <si>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</si>
  <si>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</si>
  <si>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</si>
  <si>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</si>
  <si>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</si>
  <si>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</si>
  <si>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</si>
  <si>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</si>
  <si>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</si>
  <si>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</si>
  <si>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</si>
  <si>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</si>
  <si>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</si>
  <si>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</si>
  <si>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</si>
  <si>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</si>
  <si>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</si>
  <si>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</si>
  <si>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</si>
  <si>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</si>
  <si>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</si>
  <si>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</si>
  <si>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</si>
  <si>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</si>
  <si>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</si>
  <si>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</si>
  <si>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</si>
  <si>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</si>
  <si>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</si>
  <si>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</si>
  <si>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</si>
  <si>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</si>
  <si>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</si>
  <si>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</si>
  <si>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</si>
  <si>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</si>
  <si>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</si>
  <si>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</si>
  <si>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</si>
  <si>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</si>
  <si>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</si>
  <si>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</si>
  <si>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</si>
  <si>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</si>
  <si>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</si>
  <si>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</si>
  <si>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</si>
  <si>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</si>
  <si>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</si>
  <si>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</si>
  <si>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</si>
  <si>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</si>
  <si>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</si>
  <si>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</si>
  <si>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</si>
  <si>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</si>
  <si>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</si>
  <si>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</si>
  <si>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</si>
  <si>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</si>
  <si>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</si>
  <si>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</si>
  <si>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</si>
  <si>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</si>
  <si>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</si>
  <si>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</si>
  <si>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</si>
  <si>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</si>
  <si>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</si>
  <si>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</si>
  <si>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</si>
  <si>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</si>
  <si>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</si>
  <si>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</si>
  <si>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</si>
  <si>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</si>
  <si>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</si>
  <si>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</si>
  <si>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</si>
  <si>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</si>
  <si>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</si>
  <si>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</si>
  <si>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</si>
  <si>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</si>
  <si>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</si>
  <si>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</si>
  <si>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</si>
  <si>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</si>
  <si>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</si>
  <si>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</si>
  <si>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</si>
  <si>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</si>
  <si>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</si>
  <si>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</si>
  <si>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</si>
  <si>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</si>
  <si>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</si>
  <si>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</si>
  <si>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</si>
  <si>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</si>
  <si>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</si>
  <si>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</si>
  <si>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</si>
  <si>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</si>
  <si>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</si>
  <si>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</si>
  <si>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</si>
  <si>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</si>
  <si>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</si>
  <si>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</si>
  <si>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</si>
  <si>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</si>
  <si>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</si>
  <si>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</si>
  <si>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</si>
  <si>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</si>
  <si>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</si>
  <si>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</si>
  <si>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</t>
  </si>
  <si>
    <t>Q</t>
  </si>
  <si>
    <t>(mm)</t>
  </si>
  <si>
    <t>Example 5.1.2 Value-Weighted Indices Require No Rebalancing</t>
  </si>
  <si>
    <t>Position values</t>
  </si>
  <si>
    <t>Position Values</t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</si>
  <si>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</t>
    </r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</si>
  <si>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t+1</t>
    </r>
  </si>
  <si>
    <t xml:space="preserve">One Step </t>
  </si>
  <si>
    <t>Two-Step</t>
  </si>
  <si>
    <t>Example 5.4.1 Multiple Active Portfolios</t>
  </si>
  <si>
    <t>beta(Fund,bench)</t>
  </si>
  <si>
    <t>forecast error</t>
  </si>
  <si>
    <r>
      <t>(forecast error)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</si>
  <si>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E[(forecast error)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</si>
  <si>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Example 7.1.3 Using Excel Functions to Estimate Variance and Standard Deviation</t>
  </si>
  <si>
    <t>Population</t>
  </si>
  <si>
    <t>Varance</t>
  </si>
  <si>
    <t>Sample</t>
  </si>
  <si>
    <t>Example 7.1.1 Calculating True Variance and Volatility</t>
  </si>
  <si>
    <t>Example 7.1.1 Estimating Variance and Volatility from a Sample</t>
  </si>
  <si>
    <t>Stdevp</t>
  </si>
  <si>
    <t>Varp</t>
  </si>
  <si>
    <t>Example 7.2.1 The Variance and Volatility of a Portfolio with a Single Risky Position</t>
  </si>
  <si>
    <t>40% ZION</t>
  </si>
  <si>
    <t>part (1)</t>
  </si>
  <si>
    <t>part (2)</t>
  </si>
  <si>
    <t>part (3)</t>
  </si>
  <si>
    <t>part (5)</t>
  </si>
  <si>
    <t>part (6)</t>
  </si>
  <si>
    <t>airthmetic mean</t>
  </si>
  <si>
    <t>Example 7.4.1 The Geometric Mean and Approximate Relation to the Arithmetic Mean</t>
  </si>
  <si>
    <t>ETF_A</t>
  </si>
  <si>
    <t>ETF_B</t>
  </si>
  <si>
    <t>Portfolio 1</t>
  </si>
  <si>
    <t>Portfolio 2</t>
  </si>
  <si>
    <t>Scalar</t>
  </si>
  <si>
    <t>weight A</t>
  </si>
  <si>
    <t>weight B</t>
  </si>
  <si>
    <t>Example 8.3.1  Scaling Weights and Impact on Sharpe Ratio</t>
  </si>
  <si>
    <t>Example 9.1.1  Estimating Covariance</t>
  </si>
  <si>
    <t>v</t>
  </si>
  <si>
    <t>Example 9.2.3  Regression Example</t>
  </si>
  <si>
    <t>Example 9.3.1  Estimating Alpha and Beta</t>
  </si>
  <si>
    <t>Example 9.4.2  Regressions Using Total and Excess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</si>
</sst>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40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/>
    <xf numFmtId="0" fontId="7" fillId="0" borderId="0"/>
    <xf numFmtId="43" fontId="3" fillId="0" borderId="0"/>
    <xf numFmtId="44" fontId="3" fillId="0" borderId="0" applyFont="0" applyFill="0" applyBorder="0" applyAlignment="0" applyProtection="0"/>
  </cellStyleXfs>
  <cellXfs count="316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164" fontId="33" fillId="0" borderId="0" xfId="0" applyNumberFormat="1" applyFont="1"/>
    <xf numFmtId="164" fontId="2" fillId="0" borderId="0" xfId="0" applyNumberFormat="1" applyFo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44" fontId="0" fillId="0" borderId="0" xfId="4" applyFont="1"/>
    <xf numFmtId="175" fontId="36" fillId="0" borderId="0" xfId="0" applyNumberFormat="1" applyFont="1"/>
    <xf numFmtId="0" fontId="37" fillId="0" borderId="0" xfId="0" applyFont="1" applyAlignment="1">
      <alignment horizontal="center"/>
    </xf>
    <xf numFmtId="0" fontId="36" fillId="6" borderId="0" xfId="0" applyFont="1" applyFill="1"/>
    <xf numFmtId="0" fontId="0" fillId="6" borderId="7" xfId="0" applyFill="1" applyBorder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9" fontId="0" fillId="6" borderId="0" xfId="0" applyNumberFormat="1" applyFill="1"/>
    <xf numFmtId="9" fontId="3" fillId="6" borderId="0" xfId="1" applyFill="1"/>
    <xf numFmtId="0" fontId="26" fillId="6" borderId="0" xfId="0" applyFont="1" applyFill="1"/>
    <xf numFmtId="0" fontId="14" fillId="6" borderId="0" xfId="0" applyFont="1" applyFill="1"/>
    <xf numFmtId="0" fontId="36" fillId="0" borderId="0" xfId="0" applyFont="1"/>
    <xf numFmtId="178" fontId="39" fillId="6" borderId="0" xfId="0" applyNumberFormat="1" applyFont="1" applyFill="1" applyAlignment="1">
      <alignment horizontal="center" vertical="top"/>
    </xf>
    <xf numFmtId="0" fontId="39" fillId="6" borderId="0" xfId="0" applyFont="1" applyFill="1" applyAlignment="1">
      <alignment horizontal="center" vertical="top"/>
    </xf>
    <xf numFmtId="0" fontId="37" fillId="0" borderId="0" xfId="0" applyFont="1"/>
    <xf numFmtId="176" fontId="36" fillId="6" borderId="0" xfId="0" applyNumberFormat="1" applyFont="1" applyFill="1"/>
    <xf numFmtId="177" fontId="2" fillId="6" borderId="0" xfId="0" applyNumberFormat="1" applyFont="1" applyFill="1" applyAlignment="1">
      <alignment horizontal="center" vertical="top"/>
    </xf>
    <xf numFmtId="177" fontId="0" fillId="6" borderId="0" xfId="0" applyNumberFormat="1" applyFill="1"/>
    <xf numFmtId="16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right"/>
    </xf>
    <xf numFmtId="171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 indent="2"/>
    </xf>
    <xf numFmtId="171" fontId="2" fillId="6" borderId="0" xfId="0" applyNumberFormat="1" applyFont="1" applyFill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indent="2"/>
    </xf>
    <xf numFmtId="171" fontId="2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71" fontId="0" fillId="6" borderId="0" xfId="0" applyNumberFormat="1" applyFill="1" applyAlignment="1">
      <alignment horizontal="left" indent="2"/>
    </xf>
    <xf numFmtId="171" fontId="0" fillId="6" borderId="0" xfId="0" applyNumberFormat="1" applyFill="1" applyAlignment="1">
      <alignment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3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Fill="1"/>
    <xf numFmtId="0" fontId="8" fillId="6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/>
    <xf numFmtId="0" fontId="0" fillId="0" borderId="0" xfId="0" applyFill="1"/>
    <xf numFmtId="0" fontId="2" fillId="6" borderId="0" xfId="0" applyFont="1" applyFill="1" applyAlignment="1"/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'EX9.2.3'!$C$5:$C$55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'EX9.2.3'!$D$5:$D$55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36"/>
  <sheetViews>
    <sheetView workbookViewId="0">
      <selection activeCell="C16" sqref="C16"/>
    </sheetView>
  </sheetViews>
  <sheetFormatPr defaultRowHeight="14.5"/>
  <cols>
    <col min="3" max="3" width="14.81640625" bestFit="1" customWidth="1"/>
    <col min="4" max="4" width="8" bestFit="1" customWidth="1"/>
    <col min="5" max="5" width="11.54296875" bestFit="1" customWidth="1"/>
    <col min="6" max="6" width="13.54296875" bestFit="1" customWidth="1"/>
    <col min="12" max="12" width="11.54296875" bestFit="1" customWidth="1"/>
  </cols>
  <sheetData>
    <row r="1" spans="1:8" ht="21">
      <c r="A1" s="253" t="s">
        <v>831</v>
      </c>
      <c r="B1" s="234"/>
      <c r="C1" s="234"/>
      <c r="D1" s="234"/>
      <c r="E1" s="234"/>
      <c r="F1" s="234"/>
      <c r="G1" s="234"/>
      <c r="H1" s="234"/>
    </row>
    <row r="2" spans="1:8">
      <c r="B2" s="44"/>
      <c r="C2" s="44"/>
      <c r="D2" s="44"/>
      <c r="E2" s="44"/>
      <c r="F2" s="44"/>
    </row>
    <row r="3" spans="1:8">
      <c r="A3" s="234"/>
      <c r="B3" s="234"/>
      <c r="C3" s="281" t="s">
        <v>3</v>
      </c>
      <c r="D3" s="282"/>
      <c r="E3" s="281" t="s">
        <v>4</v>
      </c>
      <c r="F3" s="282"/>
      <c r="G3" s="234"/>
      <c r="H3" s="234"/>
    </row>
    <row r="4" spans="1:8">
      <c r="A4" s="234"/>
      <c r="B4" s="234"/>
      <c r="C4" s="256" t="s">
        <v>828</v>
      </c>
      <c r="D4" s="256" t="s">
        <v>829</v>
      </c>
      <c r="E4" s="256" t="s">
        <v>828</v>
      </c>
      <c r="F4" s="256" t="s">
        <v>829</v>
      </c>
      <c r="G4" s="234"/>
      <c r="H4" s="234"/>
    </row>
    <row r="5" spans="1:8">
      <c r="A5" s="234"/>
      <c r="B5" s="254"/>
      <c r="C5" s="257"/>
      <c r="D5" s="257" t="s">
        <v>830</v>
      </c>
      <c r="E5" s="257"/>
      <c r="F5" s="257" t="s">
        <v>830</v>
      </c>
      <c r="G5" s="234"/>
      <c r="H5" s="234"/>
    </row>
    <row r="6" spans="1:8">
      <c r="A6" s="234"/>
      <c r="B6" s="255" t="s">
        <v>0</v>
      </c>
      <c r="C6" s="255">
        <v>50</v>
      </c>
      <c r="D6" s="255">
        <v>600</v>
      </c>
      <c r="E6" s="255">
        <v>51</v>
      </c>
      <c r="F6" s="255">
        <v>600</v>
      </c>
      <c r="G6" s="234"/>
      <c r="H6" s="234"/>
    </row>
    <row r="7" spans="1:8">
      <c r="A7" s="234"/>
      <c r="B7" s="255" t="s">
        <v>1</v>
      </c>
      <c r="C7" s="255">
        <v>13</v>
      </c>
      <c r="D7" s="255">
        <v>800</v>
      </c>
      <c r="E7" s="255">
        <v>11</v>
      </c>
      <c r="F7" s="255">
        <v>800</v>
      </c>
      <c r="G7" s="234"/>
      <c r="H7" s="234"/>
    </row>
    <row r="8" spans="1:8">
      <c r="A8" s="234"/>
      <c r="B8" s="257" t="s">
        <v>2</v>
      </c>
      <c r="C8" s="257">
        <v>33</v>
      </c>
      <c r="D8" s="257">
        <v>200</v>
      </c>
      <c r="E8" s="257">
        <v>35</v>
      </c>
      <c r="F8" s="257">
        <v>200</v>
      </c>
      <c r="G8" s="234"/>
      <c r="H8" s="234"/>
    </row>
    <row r="10" spans="1:8" ht="21">
      <c r="A10" s="251">
        <v>1</v>
      </c>
      <c r="C10" s="283" t="s">
        <v>834</v>
      </c>
      <c r="D10" s="283"/>
    </row>
    <row r="11" spans="1:8">
      <c r="C11" s="1" t="s">
        <v>5</v>
      </c>
      <c r="D11" s="1" t="s">
        <v>6</v>
      </c>
    </row>
    <row r="12" spans="1:8">
      <c r="B12" s="1" t="s">
        <v>0</v>
      </c>
      <c r="C12" s="250">
        <f>C6*D6</f>
        <v>30000</v>
      </c>
      <c r="D12" s="2">
        <f>C12/$C$16</f>
        <v>0.63829787234042556</v>
      </c>
    </row>
    <row r="13" spans="1:8">
      <c r="B13" s="1" t="s">
        <v>1</v>
      </c>
      <c r="C13" s="250">
        <f>C7*D7</f>
        <v>10400</v>
      </c>
      <c r="D13" s="2">
        <f>C13/$C$16</f>
        <v>0.22127659574468084</v>
      </c>
    </row>
    <row r="14" spans="1:8">
      <c r="B14" s="1" t="s">
        <v>2</v>
      </c>
      <c r="C14" s="250">
        <f>C8*D8</f>
        <v>6600</v>
      </c>
      <c r="D14" s="2">
        <f>C14/$C$16</f>
        <v>0.14042553191489363</v>
      </c>
    </row>
    <row r="15" spans="1:8">
      <c r="B15" s="1"/>
    </row>
    <row r="16" spans="1:8">
      <c r="B16" s="1" t="s">
        <v>7</v>
      </c>
      <c r="C16" s="250">
        <f>SUM(C12:C14)</f>
        <v>47000</v>
      </c>
    </row>
    <row r="18" spans="1:12" ht="21">
      <c r="A18" s="251">
        <v>2</v>
      </c>
      <c r="C18" s="283" t="s">
        <v>834</v>
      </c>
      <c r="D18" s="283"/>
    </row>
    <row r="19" spans="1:12">
      <c r="C19" s="1" t="s">
        <v>833</v>
      </c>
      <c r="D19" s="1" t="s">
        <v>8</v>
      </c>
    </row>
    <row r="20" spans="1:12">
      <c r="B20" s="1" t="s">
        <v>0</v>
      </c>
      <c r="C20" s="250">
        <f>100000*D12</f>
        <v>63829.787234042553</v>
      </c>
      <c r="D20" s="2">
        <f>C20/C6</f>
        <v>1276.5957446808511</v>
      </c>
    </row>
    <row r="21" spans="1:12">
      <c r="B21" s="1" t="s">
        <v>1</v>
      </c>
      <c r="C21" s="250">
        <f>100000*D13</f>
        <v>22127.659574468085</v>
      </c>
      <c r="D21" s="2">
        <f>C21/C7</f>
        <v>1702.127659574468</v>
      </c>
    </row>
    <row r="22" spans="1:12">
      <c r="B22" s="1" t="s">
        <v>2</v>
      </c>
      <c r="C22" s="250">
        <f>100000*D14</f>
        <v>14042.553191489362</v>
      </c>
      <c r="D22" s="2">
        <f>C22/C8</f>
        <v>425.531914893617</v>
      </c>
    </row>
    <row r="23" spans="1:12">
      <c r="B23" s="1"/>
      <c r="L23" s="46"/>
    </row>
    <row r="24" spans="1:12" ht="21">
      <c r="A24" s="251">
        <v>3</v>
      </c>
      <c r="C24" s="252" t="s">
        <v>835</v>
      </c>
    </row>
    <row r="25" spans="1:12">
      <c r="C25" s="1" t="s">
        <v>832</v>
      </c>
    </row>
    <row r="26" spans="1:12">
      <c r="B26" s="1" t="s">
        <v>0</v>
      </c>
      <c r="C26" s="250">
        <f>D20*E6</f>
        <v>65106.382978723406</v>
      </c>
    </row>
    <row r="27" spans="1:12">
      <c r="B27" s="1" t="s">
        <v>1</v>
      </c>
      <c r="C27" s="250">
        <f>D21*E7</f>
        <v>18723.404255319147</v>
      </c>
    </row>
    <row r="28" spans="1:12">
      <c r="B28" s="1" t="s">
        <v>2</v>
      </c>
      <c r="C28" s="250">
        <f>D22*E8</f>
        <v>14893.617021276596</v>
      </c>
    </row>
    <row r="30" spans="1:12">
      <c r="C30" s="252" t="s">
        <v>835</v>
      </c>
      <c r="E30" s="283" t="s">
        <v>835</v>
      </c>
      <c r="F30" s="283"/>
    </row>
    <row r="31" spans="1:12">
      <c r="C31" s="1" t="s">
        <v>9</v>
      </c>
      <c r="E31" s="1" t="s">
        <v>5</v>
      </c>
      <c r="F31" s="1" t="s">
        <v>10</v>
      </c>
    </row>
    <row r="32" spans="1:12">
      <c r="B32" s="1" t="s">
        <v>0</v>
      </c>
      <c r="C32" s="2">
        <f>C26/SUM($C$26:$C$28)</f>
        <v>0.65948275862068961</v>
      </c>
      <c r="E32" s="250">
        <f>F6*E6</f>
        <v>30600</v>
      </c>
      <c r="F32" s="2">
        <f>E32/SUM($E$32:$E$34)</f>
        <v>0.65948275862068961</v>
      </c>
    </row>
    <row r="33" spans="2:6">
      <c r="B33" s="1" t="s">
        <v>1</v>
      </c>
      <c r="C33" s="2">
        <f>C27/SUM($C$26:$C$28)</f>
        <v>0.18965517241379307</v>
      </c>
      <c r="E33" s="250">
        <f>F7*E7</f>
        <v>8800</v>
      </c>
      <c r="F33" s="2">
        <f>E33/SUM($E$32:$E$34)</f>
        <v>0.18965517241379309</v>
      </c>
    </row>
    <row r="34" spans="2:6">
      <c r="B34" s="1" t="s">
        <v>2</v>
      </c>
      <c r="C34" s="2">
        <f>C28/SUM($C$26:$C$28)</f>
        <v>0.15086206896551724</v>
      </c>
      <c r="E34" s="250">
        <f>F8*E8</f>
        <v>7000</v>
      </c>
      <c r="F34" s="2">
        <f>E34/SUM($E$32:$E$34)</f>
        <v>0.15086206896551724</v>
      </c>
    </row>
    <row r="35" spans="2:6">
      <c r="B35" s="1"/>
    </row>
    <row r="36" spans="2:6">
      <c r="B36" s="1" t="s">
        <v>7</v>
      </c>
      <c r="C36">
        <f>SUM(C32:C34)</f>
        <v>0.99999999999999989</v>
      </c>
      <c r="E36">
        <f>SUM(E32:E34)</f>
        <v>46400</v>
      </c>
      <c r="F36">
        <f>SUM(F32:F34)</f>
        <v>0.99999999999999989</v>
      </c>
    </row>
  </sheetData>
  <mergeCells count="5">
    <mergeCell ref="E3:F3"/>
    <mergeCell ref="C3:D3"/>
    <mergeCell ref="E30:F30"/>
    <mergeCell ref="C18:D1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K13"/>
  <sheetViews>
    <sheetView workbookViewId="0">
      <selection activeCell="E23" sqref="E23"/>
    </sheetView>
  </sheetViews>
  <sheetFormatPr defaultRowHeight="14.5"/>
  <cols>
    <col min="1" max="1" width="7.81640625" bestFit="1" customWidth="1"/>
    <col min="2" max="2" width="13.453125" customWidth="1"/>
    <col min="3" max="3" width="10.81640625" bestFit="1" customWidth="1"/>
    <col min="4" max="5" width="8" bestFit="1" customWidth="1"/>
    <col min="6" max="6" width="2.81640625" customWidth="1"/>
    <col min="7" max="7" width="11.453125" bestFit="1" customWidth="1"/>
    <col min="8" max="8" width="2.54296875" customWidth="1"/>
    <col min="9" max="9" width="10.81640625" bestFit="1" customWidth="1"/>
    <col min="10" max="10" width="6.81640625" bestFit="1" customWidth="1"/>
    <col min="11" max="11" width="9.1796875" bestFit="1" customWidth="1"/>
  </cols>
  <sheetData>
    <row r="1" spans="1:11" ht="21">
      <c r="A1" s="253" t="s">
        <v>838</v>
      </c>
      <c r="B1" s="234"/>
      <c r="C1" s="234"/>
      <c r="D1" s="234"/>
      <c r="E1" s="234"/>
      <c r="F1" s="234"/>
      <c r="G1" s="234"/>
    </row>
    <row r="2" spans="1:11" ht="14.15" customHeight="1">
      <c r="A2" s="262"/>
    </row>
    <row r="3" spans="1:11">
      <c r="A3" s="234"/>
      <c r="B3" s="234"/>
      <c r="C3" s="284" t="s">
        <v>443</v>
      </c>
      <c r="D3" s="284"/>
      <c r="E3" s="284"/>
      <c r="F3" s="237"/>
      <c r="G3" s="237" t="s">
        <v>211</v>
      </c>
      <c r="I3" s="285" t="s">
        <v>443</v>
      </c>
      <c r="J3" s="285"/>
    </row>
    <row r="4" spans="1:11">
      <c r="A4" s="237" t="s">
        <v>567</v>
      </c>
      <c r="B4" s="237" t="s">
        <v>575</v>
      </c>
      <c r="C4" s="237" t="s">
        <v>171</v>
      </c>
      <c r="D4" s="237" t="s">
        <v>571</v>
      </c>
      <c r="E4" s="237" t="s">
        <v>572</v>
      </c>
      <c r="F4" s="237"/>
      <c r="G4" s="234"/>
      <c r="I4" s="1" t="s">
        <v>573</v>
      </c>
      <c r="J4" s="1" t="s">
        <v>491</v>
      </c>
    </row>
    <row r="5" spans="1:11">
      <c r="A5" s="255">
        <v>1</v>
      </c>
      <c r="B5" s="234" t="s">
        <v>568</v>
      </c>
      <c r="C5" s="258">
        <v>0.15</v>
      </c>
      <c r="D5" s="258">
        <v>0.1</v>
      </c>
      <c r="E5" s="259">
        <v>0.11</v>
      </c>
      <c r="F5" s="258"/>
      <c r="G5" s="234">
        <v>0.25</v>
      </c>
      <c r="I5" s="188">
        <f>D5+E5</f>
        <v>0.21000000000000002</v>
      </c>
      <c r="J5" s="188">
        <f>C5+I5</f>
        <v>0.36</v>
      </c>
    </row>
    <row r="6" spans="1:11">
      <c r="A6" s="255">
        <v>2</v>
      </c>
      <c r="B6" s="234" t="s">
        <v>569</v>
      </c>
      <c r="C6" s="258">
        <v>0.1</v>
      </c>
      <c r="D6" s="258">
        <v>7.0000000000000007E-2</v>
      </c>
      <c r="E6" s="258">
        <v>-0.06</v>
      </c>
      <c r="F6" s="258"/>
      <c r="G6" s="234">
        <v>0.05</v>
      </c>
      <c r="I6" s="188">
        <f>D6+E6</f>
        <v>1.0000000000000009E-2</v>
      </c>
      <c r="J6" s="188">
        <f>C6+I6</f>
        <v>0.11000000000000001</v>
      </c>
    </row>
    <row r="7" spans="1:11">
      <c r="A7" s="255">
        <v>3</v>
      </c>
      <c r="B7" s="234" t="s">
        <v>574</v>
      </c>
      <c r="C7" s="258">
        <v>0.45</v>
      </c>
      <c r="D7" s="258">
        <v>-0.11</v>
      </c>
      <c r="E7" s="259">
        <v>0.04</v>
      </c>
      <c r="F7" s="258"/>
      <c r="G7" s="234">
        <v>0.3</v>
      </c>
      <c r="I7" s="188">
        <f>D7+E7</f>
        <v>-7.0000000000000007E-2</v>
      </c>
      <c r="J7" s="188">
        <f>C7+I7</f>
        <v>0.38</v>
      </c>
    </row>
    <row r="8" spans="1:11">
      <c r="A8" s="255">
        <v>4</v>
      </c>
      <c r="B8" s="234" t="s">
        <v>570</v>
      </c>
      <c r="C8" s="258">
        <v>0.3</v>
      </c>
      <c r="D8" s="258">
        <v>-0.06</v>
      </c>
      <c r="E8" s="258">
        <v>-0.09</v>
      </c>
      <c r="F8" s="258"/>
      <c r="G8" s="234">
        <v>-0.02</v>
      </c>
      <c r="I8" s="188">
        <f>D8+E8</f>
        <v>-0.15</v>
      </c>
      <c r="J8" s="188">
        <f>C8+I8</f>
        <v>0.15</v>
      </c>
    </row>
    <row r="9" spans="1:11">
      <c r="C9" s="188"/>
      <c r="D9" s="188"/>
      <c r="F9" s="188"/>
    </row>
    <row r="10" spans="1:11">
      <c r="A10" t="s">
        <v>7</v>
      </c>
      <c r="C10" s="188">
        <f>SUM(C5:C8)</f>
        <v>1</v>
      </c>
      <c r="D10" s="188">
        <f>SUM(D5:D8)</f>
        <v>0</v>
      </c>
      <c r="E10" s="188">
        <f>SUM(E5:E8)</f>
        <v>0</v>
      </c>
      <c r="I10" s="188">
        <f>SUM(I5:I8)</f>
        <v>0</v>
      </c>
      <c r="J10" s="188">
        <f>SUM(J5:J8)</f>
        <v>1</v>
      </c>
    </row>
    <row r="12" spans="1:11">
      <c r="A12" s="1" t="s">
        <v>211</v>
      </c>
      <c r="B12" s="1"/>
      <c r="C12" s="197">
        <f>SUMPRODUCT(C5:C8,G5:G8)</f>
        <v>0.17149999999999999</v>
      </c>
      <c r="D12" s="197">
        <f>SUMPRODUCT(D5:D8,G5:G8)</f>
        <v>-3.3000000000000008E-3</v>
      </c>
      <c r="E12" s="197">
        <f>SUMPRODUCT(E5:E8,G5:G8)</f>
        <v>3.8300000000000008E-2</v>
      </c>
      <c r="I12" s="197">
        <f>SUMPRODUCT(I5:I8,G5:G8)</f>
        <v>3.5000000000000003E-2</v>
      </c>
      <c r="J12" s="197">
        <f>SUMPRODUCT(J5:J8,G5:G8)</f>
        <v>0.20649999999999999</v>
      </c>
      <c r="K12" t="s">
        <v>836</v>
      </c>
    </row>
    <row r="13" spans="1:11">
      <c r="J13" s="197">
        <f>SUM(C12:E12)</f>
        <v>0.20649999999999999</v>
      </c>
      <c r="K13" t="s">
        <v>837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10" sqref="G10"/>
    </sheetView>
  </sheetViews>
  <sheetFormatPr defaultRowHeight="14.5"/>
  <cols>
    <col min="1" max="1" width="10.81640625" customWidth="1"/>
    <col min="2" max="2" width="15.1796875" customWidth="1"/>
    <col min="3" max="3" width="14.54296875" bestFit="1" customWidth="1"/>
    <col min="4" max="4" width="6.1796875" customWidth="1"/>
    <col min="5" max="5" width="8.81640625" customWidth="1"/>
    <col min="6" max="6" width="11.1796875" customWidth="1"/>
    <col min="7" max="7" width="12.54296875" bestFit="1" customWidth="1"/>
  </cols>
  <sheetData>
    <row r="1" spans="1:8" ht="21">
      <c r="A1" s="253" t="s">
        <v>847</v>
      </c>
      <c r="B1" s="234"/>
      <c r="C1" s="234"/>
      <c r="D1" s="234"/>
      <c r="E1" s="234"/>
      <c r="F1" s="234"/>
      <c r="G1" s="234"/>
    </row>
    <row r="2" spans="1:8" ht="13.5" customHeight="1">
      <c r="A2" s="262"/>
    </row>
    <row r="3" spans="1:8" ht="16.5">
      <c r="A3" s="1" t="s">
        <v>844</v>
      </c>
      <c r="B3" s="1" t="s">
        <v>840</v>
      </c>
      <c r="C3" s="1" t="s">
        <v>841</v>
      </c>
      <c r="E3" s="261" t="s">
        <v>11</v>
      </c>
      <c r="F3" s="261" t="s">
        <v>12</v>
      </c>
      <c r="G3" s="1" t="s">
        <v>840</v>
      </c>
      <c r="H3" s="1" t="s">
        <v>841</v>
      </c>
    </row>
    <row r="4" spans="1:8">
      <c r="A4">
        <v>0.14000000000000001</v>
      </c>
      <c r="B4">
        <f>A4-$A$11</f>
        <v>4.4000000000000011E-2</v>
      </c>
      <c r="C4">
        <f>B4^2</f>
        <v>1.9360000000000011E-3</v>
      </c>
      <c r="E4" s="260">
        <v>0.14000000000000001</v>
      </c>
      <c r="F4" s="260">
        <v>0.8</v>
      </c>
      <c r="G4">
        <f>E4-$G$7</f>
        <v>4.3999999999999997E-2</v>
      </c>
      <c r="H4">
        <f>G4^2</f>
        <v>1.9359999999999998E-3</v>
      </c>
    </row>
    <row r="5" spans="1:8">
      <c r="A5">
        <v>0.14000000000000001</v>
      </c>
      <c r="B5">
        <f>A5-$A$11</f>
        <v>4.4000000000000011E-2</v>
      </c>
      <c r="C5">
        <f t="shared" ref="C5:C8" si="0">B5^2</f>
        <v>1.9360000000000011E-3</v>
      </c>
      <c r="E5" s="260">
        <v>-0.08</v>
      </c>
      <c r="F5" s="260">
        <v>0.2</v>
      </c>
      <c r="G5">
        <f>E5-$G$7</f>
        <v>-0.17600000000000002</v>
      </c>
      <c r="H5">
        <f>G5^2</f>
        <v>3.0976000000000007E-2</v>
      </c>
    </row>
    <row r="6" spans="1:8">
      <c r="A6">
        <v>0.14000000000000001</v>
      </c>
      <c r="B6">
        <f>A6-$A$11</f>
        <v>4.4000000000000011E-2</v>
      </c>
      <c r="C6">
        <f t="shared" si="0"/>
        <v>1.9360000000000011E-3</v>
      </c>
    </row>
    <row r="7" spans="1:8">
      <c r="A7">
        <v>-0.08</v>
      </c>
      <c r="B7">
        <f>A7-$A$11</f>
        <v>-0.17599999999999999</v>
      </c>
      <c r="C7">
        <f t="shared" si="0"/>
        <v>3.0975999999999997E-2</v>
      </c>
      <c r="E7" s="1" t="s">
        <v>13</v>
      </c>
      <c r="G7">
        <f>SUMPRODUCT(E4:E5,F4:F5)</f>
        <v>9.6000000000000016E-2</v>
      </c>
    </row>
    <row r="8" spans="1:8">
      <c r="A8">
        <v>0.14000000000000001</v>
      </c>
      <c r="B8">
        <f>A8-$A$11</f>
        <v>4.4000000000000011E-2</v>
      </c>
      <c r="C8">
        <f t="shared" si="0"/>
        <v>1.9360000000000011E-3</v>
      </c>
      <c r="E8" s="224" t="s">
        <v>14</v>
      </c>
      <c r="G8">
        <f>SUMPRODUCT(F4:F5,G4:G5)</f>
        <v>0</v>
      </c>
    </row>
    <row r="9" spans="1:8" ht="16.5">
      <c r="E9" s="1" t="s">
        <v>842</v>
      </c>
      <c r="G9">
        <f>SUMPRODUCT(F4:F5,H4:H5)</f>
        <v>7.7440000000000009E-3</v>
      </c>
      <c r="H9" t="s">
        <v>15</v>
      </c>
    </row>
    <row r="10" spans="1:8">
      <c r="A10" s="1" t="s">
        <v>13</v>
      </c>
      <c r="B10" s="1" t="s">
        <v>14</v>
      </c>
      <c r="C10" s="1" t="s">
        <v>845</v>
      </c>
      <c r="E10" s="1" t="s">
        <v>16</v>
      </c>
      <c r="G10">
        <f>SQRT(G9)</f>
        <v>8.8000000000000009E-2</v>
      </c>
    </row>
    <row r="11" spans="1:8">
      <c r="A11">
        <f>AVERAGE(A4:A8)</f>
        <v>9.6000000000000002E-2</v>
      </c>
      <c r="B11" s="2">
        <f>AVERAGE(B4:B8)</f>
        <v>1.1102230246251566E-17</v>
      </c>
      <c r="C11">
        <f>AVERAGE(C4:C8)</f>
        <v>7.7439999999999991E-3</v>
      </c>
    </row>
    <row r="12" spans="1:8" ht="17.25" customHeight="1">
      <c r="C12" s="1" t="s">
        <v>16</v>
      </c>
    </row>
    <row r="13" spans="1:8">
      <c r="C13">
        <f>SQRT(C11)</f>
        <v>8.7999999999999995E-2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59F-80A6-4101-BE84-4876907C7950}">
  <dimension ref="A1:H18"/>
  <sheetViews>
    <sheetView workbookViewId="0">
      <selection activeCell="D18" sqref="D18"/>
    </sheetView>
  </sheetViews>
  <sheetFormatPr defaultRowHeight="14.5"/>
  <cols>
    <col min="3" max="3" width="12.54296875" bestFit="1" customWidth="1"/>
    <col min="4" max="4" width="14.54296875" bestFit="1" customWidth="1"/>
  </cols>
  <sheetData>
    <row r="1" spans="1:8" ht="21">
      <c r="A1" s="253" t="s">
        <v>848</v>
      </c>
      <c r="B1" s="234"/>
      <c r="C1" s="234"/>
      <c r="D1" s="234"/>
      <c r="E1" s="234"/>
      <c r="F1" s="234"/>
      <c r="G1" s="234"/>
      <c r="H1" s="234"/>
    </row>
    <row r="3" spans="1:8" ht="16.5">
      <c r="B3" s="237" t="s">
        <v>846</v>
      </c>
      <c r="C3" s="1" t="s">
        <v>840</v>
      </c>
      <c r="D3" s="1" t="s">
        <v>841</v>
      </c>
    </row>
    <row r="4" spans="1:8">
      <c r="B4" s="234">
        <v>0.14000000000000001</v>
      </c>
      <c r="C4">
        <f>B4-$B$15</f>
        <v>6.6000000000000003E-2</v>
      </c>
      <c r="D4">
        <f>C4^2</f>
        <v>4.3560000000000005E-3</v>
      </c>
    </row>
    <row r="5" spans="1:8">
      <c r="B5" s="234">
        <v>0.14000000000000001</v>
      </c>
      <c r="C5">
        <f t="shared" ref="C5:C13" si="0">B5-$B$15</f>
        <v>6.6000000000000003E-2</v>
      </c>
      <c r="D5">
        <f t="shared" ref="D5:D13" si="1">C5^2</f>
        <v>4.3560000000000005E-3</v>
      </c>
    </row>
    <row r="6" spans="1:8">
      <c r="B6" s="234">
        <v>-0.08</v>
      </c>
      <c r="C6">
        <f t="shared" si="0"/>
        <v>-0.15400000000000003</v>
      </c>
      <c r="D6">
        <f t="shared" si="1"/>
        <v>2.3716000000000008E-2</v>
      </c>
    </row>
    <row r="7" spans="1:8">
      <c r="B7" s="234">
        <v>0.14000000000000001</v>
      </c>
      <c r="C7">
        <f t="shared" si="0"/>
        <v>6.6000000000000003E-2</v>
      </c>
      <c r="D7">
        <f t="shared" si="1"/>
        <v>4.3560000000000005E-3</v>
      </c>
    </row>
    <row r="8" spans="1:8">
      <c r="B8" s="234">
        <v>0.14000000000000001</v>
      </c>
      <c r="C8">
        <f t="shared" si="0"/>
        <v>6.6000000000000003E-2</v>
      </c>
      <c r="D8">
        <f t="shared" si="1"/>
        <v>4.3560000000000005E-3</v>
      </c>
    </row>
    <row r="9" spans="1:8">
      <c r="B9" s="234">
        <v>-0.08</v>
      </c>
      <c r="C9">
        <f t="shared" si="0"/>
        <v>-0.15400000000000003</v>
      </c>
      <c r="D9">
        <f t="shared" si="1"/>
        <v>2.3716000000000008E-2</v>
      </c>
    </row>
    <row r="10" spans="1:8">
      <c r="B10" s="234">
        <v>0.14000000000000001</v>
      </c>
      <c r="C10">
        <f t="shared" si="0"/>
        <v>6.6000000000000003E-2</v>
      </c>
      <c r="D10">
        <f t="shared" si="1"/>
        <v>4.3560000000000005E-3</v>
      </c>
    </row>
    <row r="11" spans="1:8">
      <c r="B11" s="234">
        <v>-0.08</v>
      </c>
      <c r="C11">
        <f t="shared" si="0"/>
        <v>-0.15400000000000003</v>
      </c>
      <c r="D11">
        <f t="shared" si="1"/>
        <v>2.3716000000000008E-2</v>
      </c>
    </row>
    <row r="12" spans="1:8">
      <c r="B12" s="234">
        <v>0.14000000000000001</v>
      </c>
      <c r="C12">
        <f t="shared" si="0"/>
        <v>6.6000000000000003E-2</v>
      </c>
      <c r="D12">
        <f t="shared" si="1"/>
        <v>4.3560000000000005E-3</v>
      </c>
    </row>
    <row r="13" spans="1:8">
      <c r="B13" s="234">
        <v>0.14000000000000001</v>
      </c>
      <c r="C13">
        <f t="shared" si="0"/>
        <v>6.6000000000000003E-2</v>
      </c>
      <c r="D13">
        <f t="shared" si="1"/>
        <v>4.3560000000000005E-3</v>
      </c>
    </row>
    <row r="15" spans="1:8">
      <c r="A15" t="s">
        <v>13</v>
      </c>
      <c r="B15">
        <f>AVERAGE(B4:B13)</f>
        <v>7.400000000000001E-2</v>
      </c>
      <c r="D15" s="1" t="s">
        <v>456</v>
      </c>
    </row>
    <row r="16" spans="1:8">
      <c r="D16" s="14">
        <f>AVERAGE(D4:D13)</f>
        <v>1.0164000000000003E-2</v>
      </c>
    </row>
    <row r="17" spans="4:4">
      <c r="D17" s="1" t="s">
        <v>16</v>
      </c>
    </row>
    <row r="18" spans="4:4">
      <c r="D18" s="14">
        <f>SQRT(D16)</f>
        <v>0.1008166652890285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B16" sqref="B16"/>
    </sheetView>
  </sheetViews>
  <sheetFormatPr defaultRowHeight="14.5"/>
  <cols>
    <col min="2" max="2" width="9.453125" bestFit="1" customWidth="1"/>
  </cols>
  <sheetData>
    <row r="1" spans="1:12" ht="21">
      <c r="A1" s="253" t="s">
        <v>843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</row>
    <row r="3" spans="1:12">
      <c r="B3" s="237" t="s">
        <v>846</v>
      </c>
    </row>
    <row r="4" spans="1:12">
      <c r="B4" s="234">
        <v>0.14000000000000001</v>
      </c>
    </row>
    <row r="5" spans="1:12">
      <c r="B5" s="234">
        <v>0.14000000000000001</v>
      </c>
    </row>
    <row r="6" spans="1:12">
      <c r="B6" s="234">
        <v>-0.08</v>
      </c>
    </row>
    <row r="7" spans="1:12">
      <c r="B7" s="234">
        <v>0.14000000000000001</v>
      </c>
    </row>
    <row r="8" spans="1:12">
      <c r="B8" s="234">
        <v>0.14000000000000001</v>
      </c>
    </row>
    <row r="9" spans="1:12">
      <c r="B9" s="234">
        <v>-0.08</v>
      </c>
    </row>
    <row r="10" spans="1:12">
      <c r="B10" s="234">
        <v>0.14000000000000001</v>
      </c>
    </row>
    <row r="11" spans="1:12">
      <c r="B11" s="234">
        <v>-0.08</v>
      </c>
    </row>
    <row r="12" spans="1:12">
      <c r="B12" s="234">
        <v>0.14000000000000001</v>
      </c>
    </row>
    <row r="13" spans="1:12">
      <c r="B13" s="234">
        <v>0.14000000000000001</v>
      </c>
    </row>
    <row r="15" spans="1:12">
      <c r="A15" s="1" t="s">
        <v>850</v>
      </c>
      <c r="B15" s="14">
        <f>VARP(B4:B13)</f>
        <v>1.0164000000000005E-2</v>
      </c>
    </row>
    <row r="16" spans="1:12">
      <c r="A16" s="1" t="s">
        <v>849</v>
      </c>
      <c r="B16" s="14">
        <f>STDEVP(B4:B13)</f>
        <v>0.10081666528902851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workbookViewId="0">
      <selection activeCell="A7" sqref="A7:A66"/>
    </sheetView>
  </sheetViews>
  <sheetFormatPr defaultRowHeight="14.5"/>
  <cols>
    <col min="1" max="1" width="9.90625" customWidth="1"/>
  </cols>
  <sheetData>
    <row r="1" spans="1:12" ht="21">
      <c r="A1" s="253" t="s">
        <v>851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</row>
    <row r="3" spans="1:12">
      <c r="J3" s="1" t="s">
        <v>17</v>
      </c>
      <c r="K3" s="1"/>
      <c r="L3" s="1" t="s">
        <v>18</v>
      </c>
    </row>
    <row r="4" spans="1:12">
      <c r="J4" s="1" t="s">
        <v>19</v>
      </c>
      <c r="K4" s="1"/>
      <c r="L4" s="1" t="s">
        <v>20</v>
      </c>
    </row>
    <row r="5" spans="1:12">
      <c r="J5" s="1" t="s">
        <v>852</v>
      </c>
      <c r="L5" s="1" t="s">
        <v>21</v>
      </c>
    </row>
    <row r="6" spans="1:12">
      <c r="A6" s="263" t="s">
        <v>532</v>
      </c>
      <c r="B6" s="264" t="s">
        <v>22</v>
      </c>
      <c r="C6" s="264" t="s">
        <v>23</v>
      </c>
    </row>
    <row r="7" spans="1:12">
      <c r="A7" s="268">
        <v>43861</v>
      </c>
      <c r="B7" s="234">
        <v>-0.1019076350159791</v>
      </c>
      <c r="C7" s="234">
        <v>-0.1238454863147032</v>
      </c>
      <c r="E7" s="265" t="s">
        <v>853</v>
      </c>
      <c r="G7" s="1" t="s">
        <v>22</v>
      </c>
      <c r="H7" s="1" t="s">
        <v>23</v>
      </c>
      <c r="J7">
        <f>0.6*B7+0.4*C7</f>
        <v>-0.11068277553546874</v>
      </c>
      <c r="L7">
        <f>0.8*C7+0.2*0.001</f>
        <v>-9.8876389051762562E-2</v>
      </c>
    </row>
    <row r="8" spans="1:12">
      <c r="A8" s="268">
        <v>43889</v>
      </c>
      <c r="B8" s="234">
        <v>-8.7724894094193817E-2</v>
      </c>
      <c r="C8" s="234">
        <v>-0.11530760294031039</v>
      </c>
      <c r="F8" s="1" t="s">
        <v>13</v>
      </c>
      <c r="G8">
        <f>AVERAGE(B7:B66)</f>
        <v>7.1188375377518823E-3</v>
      </c>
      <c r="H8">
        <f>AVERAGE(C7:C66)</f>
        <v>1.1886764078454485E-2</v>
      </c>
      <c r="J8">
        <f t="shared" ref="J8:J66" si="0">0.6*B8+0.4*C8</f>
        <v>-9.8757977632640451E-2</v>
      </c>
      <c r="L8">
        <f t="shared" ref="L8:L66" si="1">0.8*C8+0.2*0.001</f>
        <v>-9.2046082352248315E-2</v>
      </c>
    </row>
    <row r="9" spans="1:12">
      <c r="A9" s="268">
        <v>43921</v>
      </c>
      <c r="B9" s="234">
        <v>-0.37088632489838719</v>
      </c>
      <c r="C9" s="234">
        <v>-0.33016330248024922</v>
      </c>
      <c r="F9" s="1" t="s">
        <v>24</v>
      </c>
      <c r="G9">
        <f>VARP(B7:B66)</f>
        <v>1.8205471704822996E-2</v>
      </c>
      <c r="H9">
        <f>VARP(C7:C66)</f>
        <v>1.5879780489652055E-2</v>
      </c>
      <c r="J9">
        <f t="shared" si="0"/>
        <v>-0.35459711593113197</v>
      </c>
      <c r="L9">
        <f t="shared" si="1"/>
        <v>-0.26393064198419941</v>
      </c>
    </row>
    <row r="10" spans="1:12">
      <c r="A10" s="268">
        <v>43951</v>
      </c>
      <c r="B10" s="234">
        <v>0.15319242547919651</v>
      </c>
      <c r="C10" s="234">
        <v>0.18123997741389039</v>
      </c>
      <c r="F10" s="1" t="s">
        <v>25</v>
      </c>
      <c r="G10">
        <f>STDEVP(B7:B66)</f>
        <v>0.1349276535956325</v>
      </c>
      <c r="H10">
        <f>STDEVP(C7:C66)</f>
        <v>0.12601500105008157</v>
      </c>
      <c r="J10">
        <f t="shared" si="0"/>
        <v>0.16441144625307408</v>
      </c>
      <c r="L10">
        <f t="shared" si="1"/>
        <v>0.14519198193111232</v>
      </c>
    </row>
    <row r="11" spans="1:12">
      <c r="A11" s="268">
        <v>43980</v>
      </c>
      <c r="B11" s="234">
        <v>-2.1616574380393438E-2</v>
      </c>
      <c r="C11" s="234">
        <v>5.3098123496636777E-2</v>
      </c>
      <c r="J11">
        <f t="shared" si="0"/>
        <v>8.2693047704186489E-3</v>
      </c>
      <c r="L11">
        <f t="shared" si="1"/>
        <v>4.2678498797309422E-2</v>
      </c>
    </row>
    <row r="12" spans="1:12">
      <c r="A12" s="268">
        <v>44012</v>
      </c>
      <c r="B12" s="234">
        <v>0.11387274042679831</v>
      </c>
      <c r="C12" s="234">
        <v>3.3121264280163487E-2</v>
      </c>
      <c r="E12" s="265" t="s">
        <v>854</v>
      </c>
      <c r="G12" s="1" t="s">
        <v>17</v>
      </c>
      <c r="J12">
        <f t="shared" si="0"/>
        <v>8.1572149968144381E-2</v>
      </c>
      <c r="L12">
        <f t="shared" si="1"/>
        <v>2.6697011424130789E-2</v>
      </c>
    </row>
    <row r="13" spans="1:12">
      <c r="A13" s="268">
        <v>44043</v>
      </c>
      <c r="B13" s="234">
        <v>9.5077526878748486E-2</v>
      </c>
      <c r="C13" s="234">
        <v>-4.5001282939019838E-2</v>
      </c>
      <c r="F13" s="1" t="s">
        <v>13</v>
      </c>
      <c r="G13">
        <f>AVERAGE(J7:J66)</f>
        <v>9.0260081540329273E-3</v>
      </c>
      <c r="J13">
        <f t="shared" si="0"/>
        <v>3.9046002951641151E-2</v>
      </c>
      <c r="L13">
        <f t="shared" si="1"/>
        <v>-3.5801026351215876E-2</v>
      </c>
    </row>
    <row r="14" spans="1:12">
      <c r="A14" s="268">
        <v>44074</v>
      </c>
      <c r="B14" s="234">
        <v>6.4540689701589216E-2</v>
      </c>
      <c r="C14" s="234">
        <v>1.619433198378761E-4</v>
      </c>
      <c r="F14" s="1" t="s">
        <v>24</v>
      </c>
      <c r="G14">
        <f>VARP(J7:J66)</f>
        <v>1.3792310905905464E-2</v>
      </c>
      <c r="J14">
        <f t="shared" si="0"/>
        <v>3.878919114888868E-2</v>
      </c>
      <c r="L14">
        <f t="shared" si="1"/>
        <v>3.2955465587030091E-4</v>
      </c>
    </row>
    <row r="15" spans="1:12">
      <c r="A15" s="268">
        <v>44104</v>
      </c>
      <c r="B15" s="234">
        <v>-0.11378319746788421</v>
      </c>
      <c r="C15" s="234">
        <v>-9.1420601742816632E-2</v>
      </c>
      <c r="F15" s="1" t="s">
        <v>25</v>
      </c>
      <c r="G15">
        <f>STDEVP(J7:J66)</f>
        <v>0.11744066972691132</v>
      </c>
      <c r="J15">
        <f t="shared" si="0"/>
        <v>-0.10483815917785719</v>
      </c>
      <c r="L15">
        <f t="shared" si="1"/>
        <v>-7.2936481394253308E-2</v>
      </c>
    </row>
    <row r="16" spans="1:12">
      <c r="A16" s="268">
        <v>44134</v>
      </c>
      <c r="B16" s="234">
        <v>0.33985214514388651</v>
      </c>
      <c r="C16" s="234">
        <v>0.10438191825873511</v>
      </c>
      <c r="J16">
        <f t="shared" si="0"/>
        <v>0.24566405438982597</v>
      </c>
      <c r="L16">
        <f t="shared" si="1"/>
        <v>8.3705534606988097E-2</v>
      </c>
    </row>
    <row r="17" spans="1:12">
      <c r="A17" s="268">
        <v>44165</v>
      </c>
      <c r="B17" s="234">
        <v>0.22536223684998699</v>
      </c>
      <c r="C17" s="234">
        <v>0.20628004972989639</v>
      </c>
      <c r="E17" s="265" t="s">
        <v>855</v>
      </c>
      <c r="G17">
        <f>0.6*G8+0.4*H8</f>
        <v>9.0260081540329239E-3</v>
      </c>
      <c r="J17">
        <f t="shared" si="0"/>
        <v>0.21772936200195075</v>
      </c>
      <c r="L17">
        <f t="shared" si="1"/>
        <v>0.16522403978391711</v>
      </c>
    </row>
    <row r="18" spans="1:12">
      <c r="A18" s="268">
        <v>44196</v>
      </c>
      <c r="B18" s="234">
        <v>-8.8641387888564793E-2</v>
      </c>
      <c r="C18" s="234">
        <v>0.125677976407637</v>
      </c>
      <c r="J18">
        <f t="shared" si="0"/>
        <v>-2.9136421700840728E-3</v>
      </c>
      <c r="L18">
        <f t="shared" si="1"/>
        <v>0.10074238112610961</v>
      </c>
    </row>
    <row r="19" spans="1:12">
      <c r="A19" s="268">
        <v>44225</v>
      </c>
      <c r="B19" s="234">
        <v>9.2369813007524559E-2</v>
      </c>
      <c r="C19" s="234">
        <v>1.6115789530543712E-2</v>
      </c>
      <c r="E19" s="265" t="s">
        <v>856</v>
      </c>
      <c r="G19" s="1" t="s">
        <v>18</v>
      </c>
      <c r="J19">
        <f t="shared" si="0"/>
        <v>6.1868203616732217E-2</v>
      </c>
      <c r="L19">
        <f t="shared" si="1"/>
        <v>1.3092631624434971E-2</v>
      </c>
    </row>
    <row r="20" spans="1:12">
      <c r="A20" s="268">
        <v>44253</v>
      </c>
      <c r="B20" s="234">
        <v>-0.11025119212596721</v>
      </c>
      <c r="C20" s="234">
        <v>0.2126626353910557</v>
      </c>
      <c r="F20" s="1" t="s">
        <v>13</v>
      </c>
      <c r="G20">
        <f>AVERAGE(L7:L66)</f>
        <v>9.7094112627635898E-3</v>
      </c>
      <c r="J20">
        <f t="shared" si="0"/>
        <v>1.8914338880841972E-2</v>
      </c>
      <c r="L20">
        <f t="shared" si="1"/>
        <v>0.17033010831284459</v>
      </c>
    </row>
    <row r="21" spans="1:12">
      <c r="A21" s="268">
        <v>44286</v>
      </c>
      <c r="B21" s="234">
        <v>0.1288612539359881</v>
      </c>
      <c r="C21" s="234">
        <v>3.3664742215617549E-2</v>
      </c>
      <c r="F21" s="1" t="s">
        <v>24</v>
      </c>
      <c r="G21">
        <f>VARP(L7:L66)</f>
        <v>1.0163059513377322E-2</v>
      </c>
      <c r="J21">
        <f t="shared" si="0"/>
        <v>9.0782649247839881E-2</v>
      </c>
      <c r="L21">
        <f t="shared" si="1"/>
        <v>2.7131793772494039E-2</v>
      </c>
    </row>
    <row r="22" spans="1:12">
      <c r="A22" s="268">
        <v>44316</v>
      </c>
      <c r="B22" s="234">
        <v>0.20623271933207649</v>
      </c>
      <c r="C22" s="234">
        <v>1.5284365968112329E-2</v>
      </c>
      <c r="F22" s="1" t="s">
        <v>25</v>
      </c>
      <c r="G22">
        <f>STDEVP(L7:L66)</f>
        <v>0.10081200084006528</v>
      </c>
      <c r="J22">
        <f t="shared" si="0"/>
        <v>0.12985337798649083</v>
      </c>
      <c r="L22">
        <f t="shared" si="1"/>
        <v>1.2427492774489865E-2</v>
      </c>
    </row>
    <row r="23" spans="1:12">
      <c r="A23" s="268">
        <v>44344</v>
      </c>
      <c r="B23" s="234">
        <v>2.0670182248860862E-3</v>
      </c>
      <c r="C23" s="234">
        <v>4.3448113099179057E-2</v>
      </c>
      <c r="J23">
        <f t="shared" si="0"/>
        <v>1.8619456174603276E-2</v>
      </c>
      <c r="L23">
        <f t="shared" si="1"/>
        <v>3.4958490479343247E-2</v>
      </c>
    </row>
    <row r="24" spans="1:12">
      <c r="A24" s="268">
        <v>44377</v>
      </c>
      <c r="B24" s="234">
        <v>-5.1694694361804287E-2</v>
      </c>
      <c r="C24" s="234">
        <v>-8.673269229229541E-2</v>
      </c>
      <c r="E24" s="265" t="s">
        <v>857</v>
      </c>
      <c r="G24" s="1" t="s">
        <v>18</v>
      </c>
      <c r="J24">
        <f t="shared" si="0"/>
        <v>-6.5709893534000738E-2</v>
      </c>
      <c r="L24">
        <f t="shared" si="1"/>
        <v>-6.918615383383632E-2</v>
      </c>
    </row>
    <row r="25" spans="1:12">
      <c r="A25" s="268">
        <v>44407</v>
      </c>
      <c r="B25" s="234">
        <v>-0.13531265549842431</v>
      </c>
      <c r="C25" s="234">
        <v>-1.3430585264929681E-2</v>
      </c>
      <c r="F25" s="1" t="s">
        <v>13</v>
      </c>
      <c r="G25">
        <f>0.8*H8+0.2*0.001</f>
        <v>9.7094112627635898E-3</v>
      </c>
      <c r="J25">
        <f t="shared" si="0"/>
        <v>-8.6559827405026449E-2</v>
      </c>
      <c r="L25">
        <f>0.8*C25+0.2*0.001</f>
        <v>-1.0544468211943745E-2</v>
      </c>
    </row>
    <row r="26" spans="1:12">
      <c r="A26" s="268">
        <v>44439</v>
      </c>
      <c r="B26" s="234">
        <v>-2.2717058894455851E-3</v>
      </c>
      <c r="C26" s="234">
        <v>0.1177978602402787</v>
      </c>
      <c r="F26" s="1" t="s">
        <v>24</v>
      </c>
      <c r="G26">
        <f>0.8^2*H9</f>
        <v>1.0163059513377317E-2</v>
      </c>
      <c r="J26">
        <f t="shared" si="0"/>
        <v>4.575612056244413E-2</v>
      </c>
      <c r="L26">
        <f t="shared" si="1"/>
        <v>9.4438288192222969E-2</v>
      </c>
    </row>
    <row r="27" spans="1:12">
      <c r="A27" s="268">
        <v>44469</v>
      </c>
      <c r="B27" s="234">
        <v>-7.01273019404276E-2</v>
      </c>
      <c r="C27" s="234">
        <v>6.8911103603155999E-2</v>
      </c>
      <c r="F27" s="1" t="s">
        <v>25</v>
      </c>
      <c r="G27">
        <f>0.8*H10</f>
        <v>0.10081200084006525</v>
      </c>
      <c r="J27">
        <f t="shared" si="0"/>
        <v>-1.4511939722994156E-2</v>
      </c>
      <c r="L27">
        <f t="shared" si="1"/>
        <v>5.5328882882524799E-2</v>
      </c>
    </row>
    <row r="28" spans="1:12">
      <c r="A28" s="268">
        <v>44498</v>
      </c>
      <c r="B28" s="234">
        <v>-3.2756186459200749E-3</v>
      </c>
      <c r="C28" s="234">
        <v>1.7774670722365601E-2</v>
      </c>
      <c r="J28">
        <f t="shared" si="0"/>
        <v>5.1444971013941956E-3</v>
      </c>
      <c r="L28">
        <f t="shared" si="1"/>
        <v>1.4419736577892481E-2</v>
      </c>
    </row>
    <row r="29" spans="1:12">
      <c r="A29" s="268">
        <v>44530</v>
      </c>
      <c r="B29" s="234">
        <v>3.834608078754576E-3</v>
      </c>
      <c r="C29" s="234">
        <v>7.2688544475378869E-3</v>
      </c>
      <c r="J29">
        <f t="shared" si="0"/>
        <v>5.2083066262679006E-3</v>
      </c>
      <c r="L29">
        <f t="shared" si="1"/>
        <v>6.0150835580303095E-3</v>
      </c>
    </row>
    <row r="30" spans="1:12">
      <c r="A30" s="268">
        <v>44561</v>
      </c>
      <c r="B30" s="234">
        <v>3.2965605599459158E-2</v>
      </c>
      <c r="C30" s="234">
        <v>1.2695349693407909E-3</v>
      </c>
      <c r="J30">
        <f t="shared" si="0"/>
        <v>2.0287177347411811E-2</v>
      </c>
      <c r="L30">
        <f t="shared" si="1"/>
        <v>1.2156279754726329E-3</v>
      </c>
    </row>
    <row r="31" spans="1:12">
      <c r="A31" s="268">
        <v>44592</v>
      </c>
      <c r="B31" s="234">
        <v>-8.2780340312190948E-2</v>
      </c>
      <c r="C31" s="234">
        <v>7.3780572848647585E-2</v>
      </c>
      <c r="J31">
        <f t="shared" si="0"/>
        <v>-2.0155975047855532E-2</v>
      </c>
      <c r="L31">
        <f t="shared" si="1"/>
        <v>5.922445827891807E-2</v>
      </c>
    </row>
    <row r="32" spans="1:12">
      <c r="A32" s="268">
        <v>44620</v>
      </c>
      <c r="B32" s="234">
        <v>0.19928461931527841</v>
      </c>
      <c r="C32" s="234">
        <v>5.064134571266643E-2</v>
      </c>
      <c r="J32">
        <f t="shared" si="0"/>
        <v>0.13982730987423361</v>
      </c>
      <c r="L32">
        <f t="shared" si="1"/>
        <v>4.0713076570133143E-2</v>
      </c>
    </row>
    <row r="33" spans="1:12">
      <c r="A33" s="268">
        <v>44651</v>
      </c>
      <c r="B33" s="234">
        <v>-4.6005798788281933E-2</v>
      </c>
      <c r="C33" s="234">
        <v>-7.5188211361881141E-2</v>
      </c>
      <c r="J33">
        <f t="shared" si="0"/>
        <v>-5.7678763817721621E-2</v>
      </c>
      <c r="L33">
        <f t="shared" si="1"/>
        <v>-5.995056908950492E-2</v>
      </c>
    </row>
    <row r="34" spans="1:12">
      <c r="A34" s="268">
        <v>44680</v>
      </c>
      <c r="B34" s="234">
        <v>-7.4872004357298461E-2</v>
      </c>
      <c r="C34" s="234">
        <v>-0.1380417251873676</v>
      </c>
      <c r="J34">
        <f t="shared" si="0"/>
        <v>-0.10013989268932612</v>
      </c>
      <c r="L34">
        <f t="shared" si="1"/>
        <v>-0.11023338014989408</v>
      </c>
    </row>
    <row r="35" spans="1:12">
      <c r="A35" s="268">
        <v>44712</v>
      </c>
      <c r="B35" s="234">
        <v>-3.4844733844165747E-2</v>
      </c>
      <c r="C35" s="234">
        <v>1.6616515003202489E-2</v>
      </c>
      <c r="J35">
        <f t="shared" si="0"/>
        <v>-1.4260234305218451E-2</v>
      </c>
      <c r="L35">
        <f t="shared" si="1"/>
        <v>1.3493212002561992E-2</v>
      </c>
    </row>
    <row r="36" spans="1:12">
      <c r="A36" s="268">
        <v>44742</v>
      </c>
      <c r="B36" s="234">
        <v>-9.5867264464574387E-2</v>
      </c>
      <c r="C36" s="234">
        <v>-0.10764268619339699</v>
      </c>
      <c r="J36">
        <f t="shared" si="0"/>
        <v>-0.10057743315610343</v>
      </c>
      <c r="L36">
        <f t="shared" si="1"/>
        <v>-8.5914148954717592E-2</v>
      </c>
    </row>
    <row r="37" spans="1:12">
      <c r="A37" s="268">
        <v>44771</v>
      </c>
      <c r="B37" s="234">
        <v>0.19424972506898561</v>
      </c>
      <c r="C37" s="234">
        <v>7.1707680967647347E-2</v>
      </c>
      <c r="J37">
        <f t="shared" si="0"/>
        <v>0.1452329074284503</v>
      </c>
      <c r="L37">
        <f t="shared" si="1"/>
        <v>5.7566144774117881E-2</v>
      </c>
    </row>
    <row r="38" spans="1:12">
      <c r="A38" s="268">
        <v>44804</v>
      </c>
      <c r="B38" s="234">
        <v>2.0100502512562901E-2</v>
      </c>
      <c r="C38" s="234">
        <v>1.5850096331130329E-2</v>
      </c>
      <c r="J38">
        <f t="shared" si="0"/>
        <v>1.8400340039989874E-2</v>
      </c>
      <c r="L38">
        <f t="shared" si="1"/>
        <v>1.2880077064904264E-2</v>
      </c>
    </row>
    <row r="39" spans="1:12">
      <c r="A39" s="268">
        <v>44834</v>
      </c>
      <c r="B39" s="234">
        <v>-9.2203235891088364E-2</v>
      </c>
      <c r="C39" s="234">
        <v>-7.5776825644779944E-2</v>
      </c>
      <c r="J39">
        <f t="shared" si="0"/>
        <v>-8.5632671792564993E-2</v>
      </c>
      <c r="L39">
        <f t="shared" si="1"/>
        <v>-6.0421460515823956E-2</v>
      </c>
    </row>
    <row r="40" spans="1:12">
      <c r="A40" s="268">
        <v>44865</v>
      </c>
      <c r="B40" s="234">
        <v>0.2328002464624401</v>
      </c>
      <c r="C40" s="234">
        <v>2.1233310459109811E-2</v>
      </c>
      <c r="J40">
        <f t="shared" si="0"/>
        <v>0.14817347206110798</v>
      </c>
      <c r="L40">
        <f t="shared" si="1"/>
        <v>1.7186648367287848E-2</v>
      </c>
    </row>
    <row r="41" spans="1:12">
      <c r="A41" s="268">
        <v>44895</v>
      </c>
      <c r="B41" s="234">
        <v>9.6046120348377118E-2</v>
      </c>
      <c r="C41" s="234">
        <v>5.9201514175954983E-3</v>
      </c>
      <c r="J41">
        <f t="shared" si="0"/>
        <v>5.9995732776064466E-2</v>
      </c>
      <c r="L41">
        <f t="shared" si="1"/>
        <v>4.9361211340763983E-3</v>
      </c>
    </row>
    <row r="42" spans="1:12">
      <c r="A42" s="268">
        <v>44925</v>
      </c>
      <c r="B42" s="234">
        <v>-0.11429461508246461</v>
      </c>
      <c r="C42" s="234">
        <v>-5.1333215913533348E-2</v>
      </c>
      <c r="J42">
        <f t="shared" si="0"/>
        <v>-8.91100554148921E-2</v>
      </c>
      <c r="L42">
        <f t="shared" si="1"/>
        <v>-4.0866572730826681E-2</v>
      </c>
    </row>
    <row r="43" spans="1:12">
      <c r="A43" s="268">
        <v>44957</v>
      </c>
      <c r="B43" s="234">
        <v>0.10649219570381389</v>
      </c>
      <c r="C43" s="234">
        <v>8.136899519321128E-2</v>
      </c>
      <c r="J43">
        <f t="shared" si="0"/>
        <v>9.6442915499572845E-2</v>
      </c>
      <c r="L43">
        <f t="shared" si="1"/>
        <v>6.5295196154569038E-2</v>
      </c>
    </row>
    <row r="44" spans="1:12">
      <c r="A44" s="268">
        <v>44985</v>
      </c>
      <c r="B44" s="234">
        <v>3.3022366572225133E-2</v>
      </c>
      <c r="C44" s="234">
        <v>-4.0298991844725303E-2</v>
      </c>
      <c r="J44">
        <f t="shared" si="0"/>
        <v>3.6938232054449585E-3</v>
      </c>
      <c r="L44">
        <f t="shared" si="1"/>
        <v>-3.2039193475780242E-2</v>
      </c>
    </row>
    <row r="45" spans="1:12">
      <c r="A45" s="268">
        <v>45016</v>
      </c>
      <c r="B45" s="234">
        <v>-0.19866611961664879</v>
      </c>
      <c r="C45" s="234">
        <v>-0.40873073012797861</v>
      </c>
      <c r="J45">
        <f t="shared" si="0"/>
        <v>-0.28269196382118073</v>
      </c>
      <c r="L45">
        <f t="shared" si="1"/>
        <v>-0.32678458410238292</v>
      </c>
    </row>
    <row r="46" spans="1:12">
      <c r="A46" s="268">
        <v>45044</v>
      </c>
      <c r="B46" s="234">
        <v>-2.2912255023360251E-2</v>
      </c>
      <c r="C46" s="234">
        <v>-6.9162733890994033E-2</v>
      </c>
      <c r="J46">
        <f t="shared" si="0"/>
        <v>-4.1412446570413763E-2</v>
      </c>
      <c r="L46">
        <f t="shared" si="1"/>
        <v>-5.5130187112795229E-2</v>
      </c>
    </row>
    <row r="47" spans="1:12">
      <c r="A47" s="268">
        <v>45077</v>
      </c>
      <c r="B47" s="234">
        <v>-0.1614555002748215</v>
      </c>
      <c r="C47" s="234">
        <v>-5.1135890656402996E-3</v>
      </c>
      <c r="J47">
        <f t="shared" si="0"/>
        <v>-9.8918735791149015E-2</v>
      </c>
      <c r="L47">
        <f t="shared" si="1"/>
        <v>-3.8908712525122396E-3</v>
      </c>
    </row>
    <row r="48" spans="1:12">
      <c r="A48" s="268">
        <v>45107</v>
      </c>
      <c r="B48" s="234">
        <v>0.13747266033609101</v>
      </c>
      <c r="C48" s="234">
        <v>-1.575829053426769E-2</v>
      </c>
      <c r="J48">
        <f t="shared" si="0"/>
        <v>7.6180279987947519E-2</v>
      </c>
      <c r="L48">
        <f t="shared" si="1"/>
        <v>-1.2406632427414152E-2</v>
      </c>
    </row>
    <row r="49" spans="1:12">
      <c r="A49" s="268">
        <v>45138</v>
      </c>
      <c r="B49" s="234">
        <v>9.656278178202693E-2</v>
      </c>
      <c r="C49" s="234">
        <v>0.42405191398406639</v>
      </c>
      <c r="J49">
        <f t="shared" si="0"/>
        <v>0.22755843466284273</v>
      </c>
      <c r="L49">
        <f t="shared" si="1"/>
        <v>0.33944153118725312</v>
      </c>
    </row>
    <row r="50" spans="1:12">
      <c r="A50" s="268">
        <v>45169</v>
      </c>
      <c r="B50" s="234">
        <v>-0.12587437340543431</v>
      </c>
      <c r="C50" s="234">
        <v>-6.0973633714732411E-2</v>
      </c>
      <c r="J50">
        <f t="shared" si="0"/>
        <v>-9.9914077529153558E-2</v>
      </c>
      <c r="L50">
        <f t="shared" si="1"/>
        <v>-4.8578906971785935E-2</v>
      </c>
    </row>
    <row r="51" spans="1:12">
      <c r="A51" s="268">
        <v>45198</v>
      </c>
      <c r="B51" s="234">
        <v>-1.548122628755833E-2</v>
      </c>
      <c r="C51" s="234">
        <v>-1.7183025253840079E-2</v>
      </c>
      <c r="J51">
        <f t="shared" si="0"/>
        <v>-1.6161945874071028E-2</v>
      </c>
      <c r="L51">
        <f t="shared" si="1"/>
        <v>-1.3546420203072063E-2</v>
      </c>
    </row>
    <row r="52" spans="1:12">
      <c r="A52" s="268">
        <v>45230</v>
      </c>
      <c r="B52" s="234">
        <v>-0.18783853903006989</v>
      </c>
      <c r="C52" s="234">
        <v>-0.11579239180656099</v>
      </c>
      <c r="J52">
        <f t="shared" si="0"/>
        <v>-0.15902008014066632</v>
      </c>
      <c r="L52">
        <f t="shared" si="1"/>
        <v>-9.2433913445248789E-2</v>
      </c>
    </row>
    <row r="53" spans="1:12">
      <c r="A53" s="268">
        <v>45260</v>
      </c>
      <c r="B53" s="234">
        <v>0.1169442334287774</v>
      </c>
      <c r="C53" s="234">
        <v>0.16896933720711479</v>
      </c>
      <c r="J53">
        <f t="shared" si="0"/>
        <v>0.13775427494011236</v>
      </c>
      <c r="L53">
        <f t="shared" si="1"/>
        <v>0.13537546976569184</v>
      </c>
    </row>
    <row r="54" spans="1:12">
      <c r="A54" s="268">
        <v>45289</v>
      </c>
      <c r="B54" s="234">
        <v>0.23472519653731599</v>
      </c>
      <c r="C54" s="234">
        <v>0.23126575714771061</v>
      </c>
      <c r="J54">
        <f t="shared" si="0"/>
        <v>0.23334142078147385</v>
      </c>
      <c r="L54">
        <f t="shared" si="1"/>
        <v>0.1852126057181685</v>
      </c>
    </row>
    <row r="55" spans="1:12">
      <c r="A55" s="268">
        <v>45322</v>
      </c>
      <c r="B55" s="234">
        <v>-0.11916511540536651</v>
      </c>
      <c r="C55" s="234">
        <v>-4.4904469390027242E-2</v>
      </c>
      <c r="J55">
        <f t="shared" si="0"/>
        <v>-8.9460856999230801E-2</v>
      </c>
      <c r="L55">
        <f t="shared" si="1"/>
        <v>-3.5723575512021793E-2</v>
      </c>
    </row>
    <row r="56" spans="1:12">
      <c r="A56" s="268">
        <v>45351</v>
      </c>
      <c r="B56" s="234">
        <v>0.1177191198966092</v>
      </c>
      <c r="C56" s="234">
        <v>-4.9405366777070303E-2</v>
      </c>
      <c r="J56">
        <f t="shared" si="0"/>
        <v>5.0869325227137385E-2</v>
      </c>
      <c r="L56">
        <f t="shared" si="1"/>
        <v>-3.9324293421656248E-2</v>
      </c>
    </row>
    <row r="57" spans="1:12">
      <c r="A57" s="268">
        <v>45379</v>
      </c>
      <c r="B57" s="234">
        <v>0.21168031904973669</v>
      </c>
      <c r="C57" s="234">
        <v>0.1006859193265035</v>
      </c>
      <c r="J57">
        <f t="shared" si="0"/>
        <v>0.16728255916044343</v>
      </c>
      <c r="L57">
        <f t="shared" si="1"/>
        <v>8.0748735461202814E-2</v>
      </c>
    </row>
    <row r="58" spans="1:12">
      <c r="A58" s="268">
        <v>45412</v>
      </c>
      <c r="B58" s="234">
        <v>-0.2137632514272588</v>
      </c>
      <c r="C58" s="234">
        <v>-6.0367752842188871E-2</v>
      </c>
      <c r="J58">
        <f t="shared" si="0"/>
        <v>-0.15240505199323082</v>
      </c>
      <c r="L58">
        <f t="shared" si="1"/>
        <v>-4.8094202273751101E-2</v>
      </c>
    </row>
    <row r="59" spans="1:12">
      <c r="A59" s="268">
        <v>45443</v>
      </c>
      <c r="B59" s="234">
        <v>4.3326366259283537E-2</v>
      </c>
      <c r="C59" s="234">
        <v>6.8725980188730329E-2</v>
      </c>
      <c r="J59">
        <f t="shared" si="0"/>
        <v>5.3486211831062253E-2</v>
      </c>
      <c r="L59">
        <f t="shared" si="1"/>
        <v>5.5180784150984263E-2</v>
      </c>
    </row>
    <row r="60" spans="1:12">
      <c r="A60" s="268">
        <v>45471</v>
      </c>
      <c r="B60" s="234">
        <v>-6.0653996258919651E-2</v>
      </c>
      <c r="C60" s="234">
        <v>4.1676313961565006E-3</v>
      </c>
      <c r="J60">
        <f t="shared" si="0"/>
        <v>-3.472534519688919E-2</v>
      </c>
      <c r="L60">
        <f t="shared" si="1"/>
        <v>3.5341051169252009E-3</v>
      </c>
    </row>
    <row r="61" spans="1:12">
      <c r="A61" s="268">
        <v>45504</v>
      </c>
      <c r="B61" s="234">
        <v>0.11806878664585189</v>
      </c>
      <c r="C61" s="234">
        <v>0.19137412573975879</v>
      </c>
      <c r="J61">
        <f t="shared" si="0"/>
        <v>0.14739092228341466</v>
      </c>
      <c r="L61">
        <f t="shared" si="1"/>
        <v>0.15329930059180705</v>
      </c>
    </row>
    <row r="62" spans="1:12">
      <c r="A62" s="268">
        <v>45534</v>
      </c>
      <c r="B62" s="234">
        <v>-1.5996349973751429E-3</v>
      </c>
      <c r="C62" s="234">
        <v>-3.2310480594962783E-2</v>
      </c>
      <c r="J62">
        <f t="shared" si="0"/>
        <v>-1.38839732364102E-2</v>
      </c>
      <c r="L62">
        <f t="shared" si="1"/>
        <v>-2.5648384475970228E-2</v>
      </c>
    </row>
    <row r="63" spans="1:12">
      <c r="A63" s="268">
        <v>45565</v>
      </c>
      <c r="B63" s="234">
        <v>3.3789308219385639E-2</v>
      </c>
      <c r="C63" s="234">
        <v>-4.7214189881750968E-2</v>
      </c>
      <c r="J63">
        <f t="shared" si="0"/>
        <v>1.3879089789309955E-3</v>
      </c>
      <c r="L63">
        <f t="shared" si="1"/>
        <v>-3.7571351905400778E-2</v>
      </c>
    </row>
    <row r="64" spans="1:12">
      <c r="A64" s="268">
        <v>45596</v>
      </c>
      <c r="B64" s="234">
        <v>-0.1707769123227483</v>
      </c>
      <c r="C64" s="234">
        <v>0.1024968240328334</v>
      </c>
      <c r="J64">
        <f t="shared" si="0"/>
        <v>-6.1467417780515621E-2</v>
      </c>
      <c r="L64">
        <f t="shared" si="1"/>
        <v>8.2197459226266728E-2</v>
      </c>
    </row>
    <row r="65" spans="1:12">
      <c r="A65" s="268">
        <v>45625</v>
      </c>
      <c r="B65" s="234">
        <v>5.2582901404651487E-2</v>
      </c>
      <c r="C65" s="234">
        <v>0.17089269104373719</v>
      </c>
      <c r="J65">
        <f t="shared" si="0"/>
        <v>9.9906817260285774E-2</v>
      </c>
      <c r="L65">
        <f t="shared" si="1"/>
        <v>0.13691415283498976</v>
      </c>
    </row>
    <row r="66" spans="1:12">
      <c r="A66" s="268">
        <v>45657</v>
      </c>
      <c r="B66" s="234">
        <v>-9.9417880940177228E-2</v>
      </c>
      <c r="C66" s="234">
        <v>-0.10360206238651461</v>
      </c>
      <c r="J66">
        <f t="shared" si="0"/>
        <v>-0.10109155351871218</v>
      </c>
      <c r="L66">
        <f t="shared" si="1"/>
        <v>-8.2681649909211688E-2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J104"/>
  <sheetViews>
    <sheetView workbookViewId="0">
      <selection activeCell="A5" sqref="A5:A104"/>
    </sheetView>
  </sheetViews>
  <sheetFormatPr defaultRowHeight="14.5"/>
  <cols>
    <col min="1" max="1" width="7.6328125" style="150" customWidth="1"/>
    <col min="2" max="2" width="11.453125" customWidth="1"/>
    <col min="3" max="3" width="10.81640625" customWidth="1"/>
    <col min="4" max="4" width="17.453125" customWidth="1"/>
    <col min="5" max="5" width="18.1796875" customWidth="1"/>
    <col min="10" max="10" width="12" bestFit="1" customWidth="1"/>
  </cols>
  <sheetData>
    <row r="1" spans="1:10" ht="21">
      <c r="A1" s="266" t="s">
        <v>859</v>
      </c>
      <c r="B1" s="234"/>
      <c r="C1" s="234"/>
      <c r="D1" s="234"/>
      <c r="E1" s="234"/>
      <c r="F1" s="234"/>
      <c r="G1" s="234"/>
      <c r="H1" s="234"/>
      <c r="I1" s="234"/>
      <c r="J1" s="234"/>
    </row>
    <row r="3" spans="1:10">
      <c r="B3" s="1" t="s">
        <v>484</v>
      </c>
    </row>
    <row r="4" spans="1:10">
      <c r="A4" s="232" t="s">
        <v>209</v>
      </c>
      <c r="B4" s="1" t="s">
        <v>482</v>
      </c>
    </row>
    <row r="5" spans="1:10">
      <c r="A5" s="268">
        <v>42643</v>
      </c>
      <c r="B5">
        <v>0.95569999999999999</v>
      </c>
      <c r="D5" t="s">
        <v>858</v>
      </c>
      <c r="E5" s="26">
        <f>AVERAGE(B5:B104)</f>
        <v>1.0113579999999995</v>
      </c>
    </row>
    <row r="6" spans="1:10">
      <c r="A6" s="268">
        <v>42674</v>
      </c>
      <c r="B6">
        <v>1.0599000000000001</v>
      </c>
      <c r="D6" t="s">
        <v>483</v>
      </c>
      <c r="E6" s="26">
        <f>GEOMEAN(B5:B104)</f>
        <v>1.009781982861006</v>
      </c>
    </row>
    <row r="7" spans="1:10">
      <c r="A7" s="268">
        <v>42704</v>
      </c>
      <c r="B7">
        <v>1.0241</v>
      </c>
      <c r="D7" t="s">
        <v>437</v>
      </c>
      <c r="E7" s="26">
        <f>E5-VARP(B5:B104)/2</f>
        <v>1.0097668225819996</v>
      </c>
    </row>
    <row r="8" spans="1:10">
      <c r="A8" s="268">
        <v>42735</v>
      </c>
      <c r="B8">
        <v>0.93469999999999998</v>
      </c>
      <c r="E8" s="29"/>
    </row>
    <row r="9" spans="1:10">
      <c r="A9" s="268">
        <v>42766</v>
      </c>
      <c r="B9">
        <v>0.98109999999999997</v>
      </c>
    </row>
    <row r="10" spans="1:10">
      <c r="A10" s="268">
        <v>42794</v>
      </c>
      <c r="B10">
        <v>1.0926</v>
      </c>
    </row>
    <row r="11" spans="1:10">
      <c r="A11" s="268">
        <v>42825</v>
      </c>
      <c r="B11">
        <v>0.88870000000000005</v>
      </c>
    </row>
    <row r="12" spans="1:10">
      <c r="A12" s="268">
        <v>42855</v>
      </c>
      <c r="B12">
        <v>0.98860000000000003</v>
      </c>
      <c r="D12" s="40"/>
    </row>
    <row r="13" spans="1:10">
      <c r="A13" s="268">
        <v>42886</v>
      </c>
      <c r="B13">
        <v>1.0732999999999999</v>
      </c>
    </row>
    <row r="14" spans="1:10">
      <c r="A14" s="268">
        <v>42916</v>
      </c>
      <c r="B14">
        <v>0.9667</v>
      </c>
    </row>
    <row r="15" spans="1:10">
      <c r="A15" s="268">
        <v>42947</v>
      </c>
      <c r="B15">
        <v>0.97609999999999997</v>
      </c>
    </row>
    <row r="16" spans="1:10">
      <c r="A16" s="268">
        <v>42978</v>
      </c>
      <c r="B16">
        <v>1.0053000000000001</v>
      </c>
    </row>
    <row r="17" spans="1:2">
      <c r="A17" s="268">
        <v>43008</v>
      </c>
      <c r="B17">
        <v>1.0846</v>
      </c>
    </row>
    <row r="18" spans="1:2">
      <c r="A18" s="268">
        <v>43039</v>
      </c>
      <c r="B18">
        <v>0.97809999999999997</v>
      </c>
    </row>
    <row r="19" spans="1:2">
      <c r="A19" s="268">
        <v>43069</v>
      </c>
      <c r="B19">
        <v>0.98780000000000001</v>
      </c>
    </row>
    <row r="20" spans="1:2">
      <c r="A20" s="268">
        <v>43100</v>
      </c>
      <c r="B20">
        <v>0.98829999999999996</v>
      </c>
    </row>
    <row r="21" spans="1:2">
      <c r="A21" s="268">
        <v>43131</v>
      </c>
      <c r="B21">
        <v>1.1203000000000001</v>
      </c>
    </row>
    <row r="22" spans="1:2">
      <c r="A22" s="268">
        <v>43159</v>
      </c>
      <c r="B22">
        <v>1.1193</v>
      </c>
    </row>
    <row r="23" spans="1:2">
      <c r="A23" s="268">
        <v>43190</v>
      </c>
      <c r="B23">
        <v>1.0602</v>
      </c>
    </row>
    <row r="24" spans="1:2">
      <c r="A24" s="268">
        <v>43220</v>
      </c>
      <c r="B24">
        <v>1.0293000000000001</v>
      </c>
    </row>
    <row r="25" spans="1:2">
      <c r="A25" s="268">
        <v>43251</v>
      </c>
      <c r="B25">
        <v>1.0468999999999999</v>
      </c>
    </row>
    <row r="26" spans="1:2">
      <c r="A26" s="268">
        <v>43281</v>
      </c>
      <c r="B26">
        <v>1.0845</v>
      </c>
    </row>
    <row r="27" spans="1:2">
      <c r="A27" s="268">
        <v>43312</v>
      </c>
      <c r="B27">
        <v>0.96319999999999995</v>
      </c>
    </row>
    <row r="28" spans="1:2">
      <c r="A28" s="268">
        <v>43343</v>
      </c>
      <c r="B28">
        <v>1.0688</v>
      </c>
    </row>
    <row r="29" spans="1:2">
      <c r="A29" s="268">
        <v>43373</v>
      </c>
      <c r="B29">
        <v>0.94730000000000003</v>
      </c>
    </row>
    <row r="30" spans="1:2">
      <c r="A30" s="268">
        <v>43404</v>
      </c>
      <c r="B30">
        <v>0.97809999999999997</v>
      </c>
    </row>
    <row r="31" spans="1:2">
      <c r="A31" s="268">
        <v>43434</v>
      </c>
      <c r="B31">
        <v>1.0553999999999999</v>
      </c>
    </row>
    <row r="32" spans="1:2">
      <c r="A32" s="268">
        <v>43465</v>
      </c>
      <c r="B32">
        <v>0.93859999999999999</v>
      </c>
    </row>
    <row r="33" spans="1:2">
      <c r="A33" s="268">
        <v>43496</v>
      </c>
      <c r="B33">
        <v>1.0029999999999999</v>
      </c>
    </row>
    <row r="34" spans="1:2">
      <c r="A34" s="268">
        <v>43524</v>
      </c>
      <c r="B34">
        <v>0.96689999999999998</v>
      </c>
    </row>
    <row r="35" spans="1:2">
      <c r="A35" s="268">
        <v>43555</v>
      </c>
      <c r="B35">
        <v>0.99719999999999998</v>
      </c>
    </row>
    <row r="36" spans="1:2">
      <c r="A36" s="268">
        <v>43585</v>
      </c>
      <c r="B36">
        <v>0.87009999999999998</v>
      </c>
    </row>
    <row r="37" spans="1:2">
      <c r="A37" s="268">
        <v>43616</v>
      </c>
      <c r="B37">
        <v>0.9214</v>
      </c>
    </row>
    <row r="38" spans="1:2">
      <c r="A38" s="268">
        <v>43646</v>
      </c>
      <c r="B38">
        <v>0.97499999999999998</v>
      </c>
    </row>
    <row r="39" spans="1:2">
      <c r="A39" s="268">
        <v>43677</v>
      </c>
      <c r="B39">
        <v>1.0564</v>
      </c>
    </row>
    <row r="40" spans="1:2">
      <c r="A40" s="268">
        <v>43708</v>
      </c>
      <c r="B40">
        <v>1.0013000000000001</v>
      </c>
    </row>
    <row r="41" spans="1:2">
      <c r="A41" s="268">
        <v>43738</v>
      </c>
      <c r="B41">
        <v>1.0101</v>
      </c>
    </row>
    <row r="42" spans="1:2">
      <c r="A42" s="268">
        <v>43769</v>
      </c>
      <c r="B42">
        <v>1.0444</v>
      </c>
    </row>
    <row r="43" spans="1:2">
      <c r="A43" s="268">
        <v>43799</v>
      </c>
      <c r="B43">
        <v>0.96599999999999997</v>
      </c>
    </row>
    <row r="44" spans="1:2">
      <c r="A44" s="268">
        <v>43830</v>
      </c>
      <c r="B44">
        <v>1.0242</v>
      </c>
    </row>
    <row r="45" spans="1:2">
      <c r="A45" s="268">
        <v>43861</v>
      </c>
      <c r="B45">
        <v>0.96970000000000001</v>
      </c>
    </row>
    <row r="46" spans="1:2">
      <c r="A46" s="268">
        <v>43890</v>
      </c>
      <c r="B46">
        <v>0.92359999999999998</v>
      </c>
    </row>
    <row r="47" spans="1:2">
      <c r="A47" s="268">
        <v>43921</v>
      </c>
      <c r="B47">
        <v>0.99050000000000005</v>
      </c>
    </row>
    <row r="48" spans="1:2">
      <c r="A48" s="268">
        <v>43951</v>
      </c>
      <c r="B48">
        <v>1.0387</v>
      </c>
    </row>
    <row r="49" spans="1:2">
      <c r="A49" s="268">
        <v>43982</v>
      </c>
      <c r="B49">
        <v>1.0268999999999999</v>
      </c>
    </row>
    <row r="50" spans="1:2">
      <c r="A50" s="268">
        <v>44012</v>
      </c>
      <c r="B50">
        <v>1.0094000000000001</v>
      </c>
    </row>
    <row r="51" spans="1:2">
      <c r="A51" s="268">
        <v>44043</v>
      </c>
      <c r="B51">
        <v>1.1295999999999999</v>
      </c>
    </row>
    <row r="52" spans="1:2">
      <c r="A52" s="268">
        <v>44074</v>
      </c>
      <c r="B52">
        <v>1.0306</v>
      </c>
    </row>
    <row r="53" spans="1:2">
      <c r="A53" s="268">
        <v>44104</v>
      </c>
      <c r="B53">
        <v>1.0589</v>
      </c>
    </row>
    <row r="54" spans="1:2">
      <c r="A54" s="268">
        <v>44135</v>
      </c>
      <c r="B54">
        <v>1.1218999999999999</v>
      </c>
    </row>
    <row r="55" spans="1:2">
      <c r="A55" s="268">
        <v>44165</v>
      </c>
      <c r="B55">
        <v>0.94530000000000003</v>
      </c>
    </row>
    <row r="56" spans="1:2">
      <c r="A56" s="268">
        <v>44196</v>
      </c>
      <c r="B56">
        <v>0.95809999999999995</v>
      </c>
    </row>
    <row r="57" spans="1:2">
      <c r="A57" s="268">
        <v>44227</v>
      </c>
      <c r="B57">
        <v>1.0972</v>
      </c>
    </row>
    <row r="58" spans="1:2">
      <c r="A58" s="268">
        <v>44255</v>
      </c>
      <c r="B58">
        <v>0.97009999999999996</v>
      </c>
    </row>
    <row r="59" spans="1:2">
      <c r="A59" s="268">
        <v>44286</v>
      </c>
      <c r="B59">
        <v>1.0115000000000001</v>
      </c>
    </row>
    <row r="60" spans="1:2">
      <c r="A60" s="268">
        <v>44316</v>
      </c>
      <c r="B60">
        <v>1.0634999999999999</v>
      </c>
    </row>
    <row r="61" spans="1:2">
      <c r="A61" s="268">
        <v>44347</v>
      </c>
      <c r="B61">
        <v>1.0545</v>
      </c>
    </row>
    <row r="62" spans="1:2">
      <c r="A62" s="268">
        <v>44377</v>
      </c>
      <c r="B62">
        <v>1.0976999999999999</v>
      </c>
    </row>
    <row r="63" spans="1:2">
      <c r="A63" s="268">
        <v>44408</v>
      </c>
      <c r="B63">
        <v>1.0848</v>
      </c>
    </row>
    <row r="64" spans="1:2">
      <c r="A64" s="268">
        <v>44439</v>
      </c>
      <c r="B64">
        <v>1.0634999999999999</v>
      </c>
    </row>
    <row r="65" spans="1:2">
      <c r="A65" s="268">
        <v>44469</v>
      </c>
      <c r="B65">
        <v>0.97140000000000004</v>
      </c>
    </row>
    <row r="66" spans="1:2">
      <c r="A66" s="268">
        <v>44500</v>
      </c>
      <c r="B66">
        <v>1.0497000000000001</v>
      </c>
    </row>
    <row r="67" spans="1:2">
      <c r="A67" s="268">
        <v>44530</v>
      </c>
      <c r="B67">
        <v>1.0257000000000001</v>
      </c>
    </row>
    <row r="68" spans="1:2">
      <c r="A68" s="268">
        <v>44561</v>
      </c>
      <c r="B68">
        <v>0.94369999999999998</v>
      </c>
    </row>
    <row r="69" spans="1:2">
      <c r="A69" s="268">
        <v>44592</v>
      </c>
      <c r="B69">
        <v>1.0809</v>
      </c>
    </row>
    <row r="70" spans="1:2">
      <c r="A70" s="268">
        <v>44620</v>
      </c>
      <c r="B70">
        <v>1.0504</v>
      </c>
    </row>
    <row r="71" spans="1:2">
      <c r="A71" s="268">
        <v>44651</v>
      </c>
      <c r="B71">
        <v>1.0123</v>
      </c>
    </row>
    <row r="72" spans="1:2">
      <c r="A72" s="268">
        <v>44681</v>
      </c>
      <c r="B72">
        <v>0.99829999999999997</v>
      </c>
    </row>
    <row r="73" spans="1:2">
      <c r="A73" s="268">
        <v>44712</v>
      </c>
      <c r="B73">
        <v>0.95009999999999994</v>
      </c>
    </row>
    <row r="74" spans="1:2">
      <c r="A74" s="268">
        <v>44742</v>
      </c>
      <c r="B74">
        <v>1.02</v>
      </c>
    </row>
    <row r="75" spans="1:2">
      <c r="A75" s="268">
        <v>44773</v>
      </c>
      <c r="B75">
        <v>1.0334000000000001</v>
      </c>
    </row>
    <row r="76" spans="1:2">
      <c r="A76" s="268">
        <v>44804</v>
      </c>
      <c r="B76">
        <v>0.96840000000000004</v>
      </c>
    </row>
    <row r="77" spans="1:2">
      <c r="A77" s="268">
        <v>44834</v>
      </c>
      <c r="B77">
        <v>1.0681</v>
      </c>
    </row>
    <row r="78" spans="1:2">
      <c r="A78" s="268">
        <v>44865</v>
      </c>
      <c r="B78">
        <v>0.95509999999999995</v>
      </c>
    </row>
    <row r="79" spans="1:2">
      <c r="A79" s="268">
        <v>44895</v>
      </c>
      <c r="B79">
        <v>0.90380000000000005</v>
      </c>
    </row>
    <row r="80" spans="1:2">
      <c r="A80" s="268">
        <v>44926</v>
      </c>
      <c r="B80">
        <v>1.0620000000000001</v>
      </c>
    </row>
    <row r="81" spans="1:2">
      <c r="A81" s="268">
        <v>44957</v>
      </c>
      <c r="B81">
        <v>0.98980000000000001</v>
      </c>
    </row>
    <row r="82" spans="1:2">
      <c r="A82" s="268">
        <v>44985</v>
      </c>
      <c r="B82">
        <v>1.0037</v>
      </c>
    </row>
    <row r="83" spans="1:2">
      <c r="A83" s="268">
        <v>45016</v>
      </c>
      <c r="B83">
        <v>0.96809999999999996</v>
      </c>
    </row>
    <row r="84" spans="1:2">
      <c r="A84" s="268">
        <v>45046</v>
      </c>
      <c r="B84">
        <v>0.92969999999999997</v>
      </c>
    </row>
    <row r="85" spans="1:2">
      <c r="A85" s="268">
        <v>45077</v>
      </c>
      <c r="B85">
        <v>1.0728</v>
      </c>
    </row>
    <row r="86" spans="1:2">
      <c r="A86" s="268">
        <v>45107</v>
      </c>
      <c r="B86">
        <v>0.97560000000000002</v>
      </c>
    </row>
    <row r="87" spans="1:2">
      <c r="A87" s="268">
        <v>45138</v>
      </c>
      <c r="B87">
        <v>1.093</v>
      </c>
    </row>
    <row r="88" spans="1:2">
      <c r="A88" s="268">
        <v>45169</v>
      </c>
      <c r="B88">
        <v>1.0504</v>
      </c>
    </row>
    <row r="89" spans="1:2">
      <c r="A89" s="268">
        <v>45199</v>
      </c>
      <c r="B89">
        <v>0.99429999999999996</v>
      </c>
    </row>
    <row r="90" spans="1:2">
      <c r="A90" s="268">
        <v>45230</v>
      </c>
      <c r="B90">
        <v>0.95569999999999999</v>
      </c>
    </row>
    <row r="91" spans="1:2">
      <c r="A91" s="268">
        <v>45260</v>
      </c>
      <c r="B91">
        <v>0.97340000000000004</v>
      </c>
    </row>
    <row r="92" spans="1:2">
      <c r="A92" s="268">
        <v>45291</v>
      </c>
      <c r="B92">
        <v>0.94940000000000002</v>
      </c>
    </row>
    <row r="93" spans="1:2">
      <c r="A93" s="268">
        <v>45322</v>
      </c>
      <c r="B93">
        <v>1.1144000000000001</v>
      </c>
    </row>
    <row r="94" spans="1:2">
      <c r="A94" s="268">
        <v>45351</v>
      </c>
      <c r="B94">
        <v>1.0182</v>
      </c>
    </row>
    <row r="95" spans="1:2">
      <c r="A95" s="268">
        <v>45382</v>
      </c>
      <c r="B95">
        <v>1.0674999999999999</v>
      </c>
    </row>
    <row r="96" spans="1:2">
      <c r="A96" s="268">
        <v>45412</v>
      </c>
      <c r="B96">
        <v>0.9466</v>
      </c>
    </row>
    <row r="97" spans="1:2">
      <c r="A97" s="268">
        <v>45443</v>
      </c>
      <c r="B97">
        <v>1.0190999999999999</v>
      </c>
    </row>
    <row r="98" spans="1:2">
      <c r="A98" s="268">
        <v>45473</v>
      </c>
      <c r="B98">
        <v>1.0689</v>
      </c>
    </row>
    <row r="99" spans="1:2">
      <c r="A99" s="268">
        <v>45504</v>
      </c>
      <c r="B99">
        <v>0.99319999999999997</v>
      </c>
    </row>
    <row r="100" spans="1:2">
      <c r="A100" s="268">
        <v>45535</v>
      </c>
      <c r="B100">
        <v>1.0616000000000001</v>
      </c>
    </row>
    <row r="101" spans="1:2">
      <c r="A101" s="268">
        <v>45565</v>
      </c>
      <c r="B101">
        <v>0.95579999999999998</v>
      </c>
    </row>
    <row r="102" spans="1:2">
      <c r="A102" s="268">
        <v>45596</v>
      </c>
      <c r="B102">
        <v>0.94179999999999997</v>
      </c>
    </row>
    <row r="103" spans="1:2">
      <c r="A103" s="268">
        <v>45626</v>
      </c>
      <c r="B103">
        <v>1.0289999999999999</v>
      </c>
    </row>
    <row r="104" spans="1:2">
      <c r="A104" s="268">
        <v>45657</v>
      </c>
      <c r="B104">
        <v>0.99099999999999999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56D-E389-43BF-9EB9-C801A4F975B7}">
  <dimension ref="A1:N62"/>
  <sheetViews>
    <sheetView workbookViewId="0">
      <selection activeCell="A3" sqref="A3"/>
    </sheetView>
  </sheetViews>
  <sheetFormatPr defaultRowHeight="14.5"/>
  <cols>
    <col min="2" max="3" width="10" bestFit="1" customWidth="1"/>
    <col min="5" max="5" width="12.6328125" bestFit="1" customWidth="1"/>
    <col min="6" max="6" width="1.90625" customWidth="1"/>
    <col min="7" max="7" width="12" bestFit="1" customWidth="1"/>
    <col min="8" max="8" width="1.6328125" customWidth="1"/>
    <col min="9" max="9" width="9.81640625" bestFit="1" customWidth="1"/>
    <col min="10" max="10" width="9.81640625" customWidth="1"/>
    <col min="11" max="11" width="8.1796875" bestFit="1" customWidth="1"/>
    <col min="13" max="13" width="1.90625" customWidth="1"/>
  </cols>
  <sheetData>
    <row r="1" spans="1:14" ht="21">
      <c r="A1" s="266" t="s">
        <v>867</v>
      </c>
      <c r="B1" s="234"/>
      <c r="C1" s="234"/>
      <c r="D1" s="234"/>
      <c r="E1" s="234"/>
      <c r="F1" s="234"/>
      <c r="G1" s="234"/>
      <c r="H1" s="234"/>
      <c r="I1" s="234"/>
      <c r="J1" s="234"/>
    </row>
    <row r="2" spans="1:14">
      <c r="A2" s="267" t="s">
        <v>209</v>
      </c>
      <c r="B2" s="238" t="s">
        <v>860</v>
      </c>
      <c r="C2" s="238" t="s">
        <v>861</v>
      </c>
      <c r="E2" s="1" t="s">
        <v>862</v>
      </c>
      <c r="G2" s="1" t="s">
        <v>863</v>
      </c>
      <c r="I2" s="1" t="s">
        <v>864</v>
      </c>
      <c r="J2" s="1" t="s">
        <v>865</v>
      </c>
      <c r="K2" s="1" t="s">
        <v>866</v>
      </c>
      <c r="L2" s="1" t="s">
        <v>63</v>
      </c>
      <c r="N2" s="1" t="s">
        <v>63</v>
      </c>
    </row>
    <row r="3" spans="1:14">
      <c r="A3" s="268">
        <v>44227</v>
      </c>
      <c r="B3" s="269">
        <v>2.78880574356857E-2</v>
      </c>
      <c r="C3" s="269">
        <v>5.9345683563907264E-2</v>
      </c>
      <c r="E3" s="5">
        <f>0.8*B3+0.2*C3</f>
        <v>3.4179582661330019E-2</v>
      </c>
      <c r="F3" s="5"/>
      <c r="G3" s="5">
        <f>$J$3*B3+$K$3*C3+$L$3*$N$3</f>
        <v>6.4359165322660034E-2</v>
      </c>
      <c r="I3">
        <v>2</v>
      </c>
      <c r="J3">
        <f>I3*0.8</f>
        <v>1.6</v>
      </c>
      <c r="K3">
        <f>I3*0.2</f>
        <v>0.4</v>
      </c>
      <c r="L3">
        <f>1-SUM(J3:K3)</f>
        <v>-1</v>
      </c>
      <c r="N3">
        <v>4.0000000000000001E-3</v>
      </c>
    </row>
    <row r="4" spans="1:14">
      <c r="A4" s="268">
        <v>44255</v>
      </c>
      <c r="B4" s="269">
        <v>0.10303963299750089</v>
      </c>
      <c r="C4" s="269">
        <v>3.9683743428354769E-2</v>
      </c>
      <c r="E4" s="5">
        <f t="shared" ref="E4:E62" si="0">0.8*B4+0.2*C4</f>
        <v>9.0368455083671681E-2</v>
      </c>
      <c r="F4" s="5"/>
      <c r="G4" s="5">
        <f t="shared" ref="G4:G62" si="1">$J$3*B4+$K$3*C4+$L$3*$N$3</f>
        <v>0.17673691016734336</v>
      </c>
    </row>
    <row r="5" spans="1:14">
      <c r="A5" s="268">
        <v>44286</v>
      </c>
      <c r="B5" s="269">
        <v>1.9853070281732003E-3</v>
      </c>
      <c r="C5" s="269">
        <v>1.0044490156658169E-2</v>
      </c>
      <c r="E5" s="5">
        <f t="shared" si="0"/>
        <v>3.5971436538701938E-3</v>
      </c>
      <c r="F5" s="5"/>
      <c r="G5" s="5">
        <f t="shared" si="1"/>
        <v>3.1942873077403875E-3</v>
      </c>
      <c r="J5" s="1" t="s">
        <v>13</v>
      </c>
      <c r="K5" s="1" t="s">
        <v>226</v>
      </c>
      <c r="L5" s="1" t="s">
        <v>168</v>
      </c>
    </row>
    <row r="6" spans="1:14">
      <c r="A6" s="268">
        <v>44316</v>
      </c>
      <c r="B6" s="269">
        <v>9.8727753044289199E-2</v>
      </c>
      <c r="C6" s="269">
        <v>0.11848059005189107</v>
      </c>
      <c r="E6" s="5">
        <f t="shared" si="0"/>
        <v>0.10267832044580957</v>
      </c>
      <c r="F6" s="5"/>
      <c r="G6" s="5">
        <f t="shared" si="1"/>
        <v>0.20135664089161914</v>
      </c>
      <c r="I6" s="1" t="s">
        <v>862</v>
      </c>
      <c r="J6" s="5">
        <f>AVERAGE(E3:E62)</f>
        <v>1.3829907074319676E-2</v>
      </c>
      <c r="K6" s="5">
        <f>STDEVP(E3:E62)</f>
        <v>4.5834229247975887E-2</v>
      </c>
      <c r="L6" s="5">
        <f>(J6-$N$3)/K6</f>
        <v>0.21446650757749527</v>
      </c>
    </row>
    <row r="7" spans="1:14">
      <c r="A7" s="268">
        <v>44347</v>
      </c>
      <c r="B7" s="269">
        <v>2.7985286098161501E-2</v>
      </c>
      <c r="C7" s="269">
        <v>-2.051263982252103E-2</v>
      </c>
      <c r="E7" s="5">
        <f t="shared" si="0"/>
        <v>1.8285700914024997E-2</v>
      </c>
      <c r="F7" s="5"/>
      <c r="G7" s="5">
        <f t="shared" si="1"/>
        <v>3.257140182804999E-2</v>
      </c>
      <c r="I7" s="1" t="s">
        <v>863</v>
      </c>
      <c r="J7" s="5">
        <f>AVERAGE(G3:G62)</f>
        <v>2.3659814148639345E-2</v>
      </c>
      <c r="K7" s="5">
        <f>STDEVP(G3:G62)</f>
        <v>9.1668458495951774E-2</v>
      </c>
      <c r="L7" s="5">
        <f>(J7-$N$3)/K7</f>
        <v>0.21446650757749519</v>
      </c>
    </row>
    <row r="8" spans="1:14">
      <c r="A8" s="268">
        <v>44377</v>
      </c>
      <c r="B8" s="269">
        <v>-1.4709228648884198E-2</v>
      </c>
      <c r="C8" s="269">
        <v>-1.7566297608837336E-3</v>
      </c>
      <c r="E8" s="5">
        <f t="shared" si="0"/>
        <v>-1.2118708871284106E-2</v>
      </c>
      <c r="F8" s="5"/>
      <c r="G8" s="5">
        <f t="shared" si="1"/>
        <v>-2.8237417742568213E-2</v>
      </c>
    </row>
    <row r="9" spans="1:14">
      <c r="A9" s="268">
        <v>44408</v>
      </c>
      <c r="B9" s="269">
        <v>-5.5198413609134703E-2</v>
      </c>
      <c r="C9" s="269">
        <v>7.3827440944202266E-2</v>
      </c>
      <c r="E9" s="5">
        <f t="shared" si="0"/>
        <v>-2.9393242698467308E-2</v>
      </c>
      <c r="F9" s="5"/>
      <c r="G9" s="5">
        <f t="shared" si="1"/>
        <v>-6.2786485396934613E-2</v>
      </c>
    </row>
    <row r="10" spans="1:14">
      <c r="A10" s="268">
        <v>44439</v>
      </c>
      <c r="B10" s="269">
        <v>-5.6487446263493807E-2</v>
      </c>
      <c r="C10" s="269">
        <v>-8.8105175076531123E-2</v>
      </c>
      <c r="E10" s="5">
        <f t="shared" si="0"/>
        <v>-6.281099202610127E-2</v>
      </c>
      <c r="F10" s="5"/>
      <c r="G10" s="5">
        <f t="shared" si="1"/>
        <v>-0.12962198405220254</v>
      </c>
    </row>
    <row r="11" spans="1:14">
      <c r="A11" s="268">
        <v>44469</v>
      </c>
      <c r="B11" s="269">
        <v>2.0504563567704005E-3</v>
      </c>
      <c r="C11" s="269">
        <v>-5.4309866470114439E-2</v>
      </c>
      <c r="E11" s="5">
        <f t="shared" si="0"/>
        <v>-9.221608208606567E-3</v>
      </c>
      <c r="F11" s="5"/>
      <c r="G11" s="5">
        <f t="shared" si="1"/>
        <v>-2.2443216417213134E-2</v>
      </c>
    </row>
    <row r="12" spans="1:14">
      <c r="A12" s="268">
        <v>44500</v>
      </c>
      <c r="B12" s="269">
        <v>-6.8237603523263204E-2</v>
      </c>
      <c r="C12" s="269">
        <v>-1.5597426594919334E-2</v>
      </c>
      <c r="E12" s="5">
        <f t="shared" si="0"/>
        <v>-5.7709568137594432E-2</v>
      </c>
      <c r="F12" s="5"/>
      <c r="G12" s="5">
        <f t="shared" si="1"/>
        <v>-0.11941913627518887</v>
      </c>
    </row>
    <row r="13" spans="1:14">
      <c r="A13" s="268">
        <v>44530</v>
      </c>
      <c r="B13" s="269">
        <v>5.3102184996231094E-2</v>
      </c>
      <c r="C13" s="269">
        <v>0.12860802497130377</v>
      </c>
      <c r="E13" s="5">
        <f t="shared" si="0"/>
        <v>6.8203352991245636E-2</v>
      </c>
      <c r="F13" s="5"/>
      <c r="G13" s="5">
        <f t="shared" si="1"/>
        <v>0.13240670598249127</v>
      </c>
    </row>
    <row r="14" spans="1:14">
      <c r="A14" s="268">
        <v>44561</v>
      </c>
      <c r="B14" s="269">
        <v>-3.9633765070039795E-2</v>
      </c>
      <c r="C14" s="269">
        <v>5.2762199374872865E-2</v>
      </c>
      <c r="E14" s="5">
        <f t="shared" si="0"/>
        <v>-2.1154572181057263E-2</v>
      </c>
      <c r="F14" s="5"/>
      <c r="G14" s="5">
        <f t="shared" si="1"/>
        <v>-4.6309144362114529E-2</v>
      </c>
    </row>
    <row r="15" spans="1:14">
      <c r="A15" s="268">
        <v>44592</v>
      </c>
      <c r="B15" s="269">
        <v>7.393823215719901E-3</v>
      </c>
      <c r="C15" s="269">
        <v>-1.7896146187771335E-2</v>
      </c>
      <c r="E15" s="5">
        <f t="shared" si="0"/>
        <v>2.3358293350216543E-3</v>
      </c>
      <c r="F15" s="5"/>
      <c r="G15" s="5">
        <f t="shared" si="1"/>
        <v>6.7165867004330849E-4</v>
      </c>
    </row>
    <row r="16" spans="1:14">
      <c r="A16" s="268">
        <v>44620</v>
      </c>
      <c r="B16" s="269">
        <v>5.3755745323470078E-4</v>
      </c>
      <c r="C16" s="269">
        <v>-6.5076557210500846E-2</v>
      </c>
      <c r="E16" s="5">
        <f t="shared" si="0"/>
        <v>-1.2585265479512411E-2</v>
      </c>
      <c r="F16" s="5"/>
      <c r="G16" s="5">
        <f t="shared" si="1"/>
        <v>-2.9170530959024821E-2</v>
      </c>
    </row>
    <row r="17" spans="1:7">
      <c r="A17" s="268">
        <v>44651</v>
      </c>
      <c r="B17" s="269">
        <v>-1.14065606363166E-2</v>
      </c>
      <c r="C17" s="269">
        <v>-1.4504625767016333E-2</v>
      </c>
      <c r="E17" s="5">
        <f t="shared" si="0"/>
        <v>-1.2026173662456546E-2</v>
      </c>
      <c r="F17" s="5"/>
      <c r="G17" s="5">
        <f t="shared" si="1"/>
        <v>-2.8052347324913091E-2</v>
      </c>
    </row>
    <row r="18" spans="1:7">
      <c r="A18" s="268">
        <v>44681</v>
      </c>
      <c r="B18" s="269">
        <v>7.9729409861540299E-2</v>
      </c>
      <c r="C18" s="269">
        <v>-5.3561504777688236E-2</v>
      </c>
      <c r="E18" s="5">
        <f t="shared" si="0"/>
        <v>5.3071226933694586E-2</v>
      </c>
      <c r="F18" s="5"/>
      <c r="G18" s="5">
        <f t="shared" si="1"/>
        <v>0.10214245386738917</v>
      </c>
    </row>
    <row r="19" spans="1:7">
      <c r="A19" s="268">
        <v>44712</v>
      </c>
      <c r="B19" s="269">
        <v>-2.6445954084023702E-2</v>
      </c>
      <c r="C19" s="269">
        <v>4.0429744560784173E-2</v>
      </c>
      <c r="E19" s="5">
        <f t="shared" si="0"/>
        <v>-1.3070814355062129E-2</v>
      </c>
      <c r="F19" s="5"/>
      <c r="G19" s="5">
        <f t="shared" si="1"/>
        <v>-3.0141628710124258E-2</v>
      </c>
    </row>
    <row r="20" spans="1:7">
      <c r="A20" s="268">
        <v>44742</v>
      </c>
      <c r="B20" s="269">
        <v>-8.4160186085633984E-3</v>
      </c>
      <c r="C20" s="269">
        <v>0.10178572521896126</v>
      </c>
      <c r="E20" s="5">
        <f t="shared" si="0"/>
        <v>1.3624330156941537E-2</v>
      </c>
      <c r="F20" s="5"/>
      <c r="G20" s="5">
        <f t="shared" si="1"/>
        <v>2.3248660313883073E-2</v>
      </c>
    </row>
    <row r="21" spans="1:7">
      <c r="A21" s="268">
        <v>44773</v>
      </c>
      <c r="B21" s="269">
        <v>-5.8159473928208097E-2</v>
      </c>
      <c r="C21" s="269">
        <v>7.2359276414162468E-2</v>
      </c>
      <c r="E21" s="5">
        <f t="shared" si="0"/>
        <v>-3.2055723859733987E-2</v>
      </c>
      <c r="F21" s="5"/>
      <c r="G21" s="5">
        <f t="shared" si="1"/>
        <v>-6.8111447719467977E-2</v>
      </c>
    </row>
    <row r="22" spans="1:7">
      <c r="A22" s="268">
        <v>44804</v>
      </c>
      <c r="B22" s="269">
        <v>-1.2358613866045799E-2</v>
      </c>
      <c r="C22" s="269">
        <v>-7.4200161959203037E-2</v>
      </c>
      <c r="E22" s="5">
        <f t="shared" si="0"/>
        <v>-2.4726923484677248E-2</v>
      </c>
      <c r="F22" s="5"/>
      <c r="G22" s="5">
        <f t="shared" si="1"/>
        <v>-5.3453846969354499E-2</v>
      </c>
    </row>
    <row r="23" spans="1:7">
      <c r="A23" s="268">
        <v>44834</v>
      </c>
      <c r="B23" s="269">
        <v>4.8274003207272695E-2</v>
      </c>
      <c r="C23" s="269">
        <v>7.0600041957912363E-2</v>
      </c>
      <c r="E23" s="5">
        <f t="shared" si="0"/>
        <v>5.2739210957400633E-2</v>
      </c>
      <c r="F23" s="5"/>
      <c r="G23" s="5">
        <f t="shared" si="1"/>
        <v>0.10147842191480126</v>
      </c>
    </row>
    <row r="24" spans="1:7">
      <c r="A24" s="268">
        <v>44865</v>
      </c>
      <c r="B24" s="269">
        <v>2.6766176558261998E-3</v>
      </c>
      <c r="C24" s="269">
        <v>1.9538589121195868E-2</v>
      </c>
      <c r="E24" s="5">
        <f t="shared" si="0"/>
        <v>6.0490119489001338E-3</v>
      </c>
      <c r="F24" s="5"/>
      <c r="G24" s="5">
        <f t="shared" si="1"/>
        <v>8.0980238978002675E-3</v>
      </c>
    </row>
    <row r="25" spans="1:7">
      <c r="A25" s="268">
        <v>44895</v>
      </c>
      <c r="B25" s="269">
        <v>-5.5829066780901104E-2</v>
      </c>
      <c r="C25" s="269">
        <v>-6.8031951639232341E-2</v>
      </c>
      <c r="E25" s="5">
        <f t="shared" si="0"/>
        <v>-5.8269643752567352E-2</v>
      </c>
      <c r="F25" s="5"/>
      <c r="G25" s="5">
        <f t="shared" si="1"/>
        <v>-0.12053928750513471</v>
      </c>
    </row>
    <row r="26" spans="1:7">
      <c r="A26" s="268">
        <v>44926</v>
      </c>
      <c r="B26" s="269">
        <v>5.0129811046242104E-2</v>
      </c>
      <c r="C26" s="269">
        <v>-2.925146618354843E-2</v>
      </c>
      <c r="E26" s="5">
        <f t="shared" si="0"/>
        <v>3.4253555600284001E-2</v>
      </c>
      <c r="F26" s="5"/>
      <c r="G26" s="5">
        <f t="shared" si="1"/>
        <v>6.4507111200567999E-2</v>
      </c>
    </row>
    <row r="27" spans="1:7">
      <c r="A27" s="268">
        <v>44957</v>
      </c>
      <c r="B27" s="269">
        <v>-4.5774008598708699E-2</v>
      </c>
      <c r="C27" s="269">
        <v>7.819547198620036E-2</v>
      </c>
      <c r="E27" s="5">
        <f t="shared" si="0"/>
        <v>-2.098011248172689E-2</v>
      </c>
      <c r="F27" s="5"/>
      <c r="G27" s="5">
        <f t="shared" si="1"/>
        <v>-4.5960224963453783E-2</v>
      </c>
    </row>
    <row r="28" spans="1:7">
      <c r="A28" s="268">
        <v>44985</v>
      </c>
      <c r="B28" s="269">
        <v>1.2237373873902301E-2</v>
      </c>
      <c r="C28" s="269">
        <v>5.177676571476697E-2</v>
      </c>
      <c r="E28" s="5">
        <f t="shared" si="0"/>
        <v>2.0145252242075237E-2</v>
      </c>
      <c r="F28" s="5"/>
      <c r="G28" s="5">
        <f t="shared" si="1"/>
        <v>3.6290504484150471E-2</v>
      </c>
    </row>
    <row r="29" spans="1:7">
      <c r="A29" s="268">
        <v>45016</v>
      </c>
      <c r="B29" s="269">
        <v>2.47292793904158E-2</v>
      </c>
      <c r="C29" s="269">
        <v>-3.6257639080833536E-2</v>
      </c>
      <c r="E29" s="5">
        <f t="shared" si="0"/>
        <v>1.2531895696165935E-2</v>
      </c>
      <c r="F29" s="5"/>
      <c r="G29" s="5">
        <f t="shared" si="1"/>
        <v>2.106379139233187E-2</v>
      </c>
    </row>
    <row r="30" spans="1:7">
      <c r="A30" s="268">
        <v>45046</v>
      </c>
      <c r="B30" s="269">
        <v>8.9323583407409202E-2</v>
      </c>
      <c r="C30" s="269">
        <v>7.7213849696045778E-2</v>
      </c>
      <c r="E30" s="5">
        <f t="shared" si="0"/>
        <v>8.6901636665136534E-2</v>
      </c>
      <c r="F30" s="5"/>
      <c r="G30" s="5">
        <f t="shared" si="1"/>
        <v>0.16980327333027306</v>
      </c>
    </row>
    <row r="31" spans="1:7">
      <c r="A31" s="268">
        <v>45077</v>
      </c>
      <c r="B31" s="269">
        <v>-1.9276206264335096E-2</v>
      </c>
      <c r="C31" s="269">
        <v>-3.0848635082292131E-2</v>
      </c>
      <c r="E31" s="5">
        <f t="shared" si="0"/>
        <v>-2.1590692027926503E-2</v>
      </c>
      <c r="F31" s="5"/>
      <c r="G31" s="5">
        <f t="shared" si="1"/>
        <v>-4.718138405585301E-2</v>
      </c>
    </row>
    <row r="32" spans="1:7">
      <c r="A32" s="268">
        <v>45107</v>
      </c>
      <c r="B32" s="269">
        <v>7.0309571262568996E-2</v>
      </c>
      <c r="C32" s="269">
        <v>2.7538878886229266E-2</v>
      </c>
      <c r="E32" s="5">
        <f t="shared" si="0"/>
        <v>6.1755432787301057E-2</v>
      </c>
      <c r="F32" s="5"/>
      <c r="G32" s="5">
        <f t="shared" si="1"/>
        <v>0.11951086557460211</v>
      </c>
    </row>
    <row r="33" spans="1:7">
      <c r="A33" s="268">
        <v>45138</v>
      </c>
      <c r="B33" s="269">
        <v>-3.2703517776556008E-3</v>
      </c>
      <c r="C33" s="269">
        <v>-7.949404374853232E-3</v>
      </c>
      <c r="E33" s="5">
        <f t="shared" si="0"/>
        <v>-4.2061622970951274E-3</v>
      </c>
      <c r="F33" s="5"/>
      <c r="G33" s="5">
        <f t="shared" si="1"/>
        <v>-1.2412324594190255E-2</v>
      </c>
    </row>
    <row r="34" spans="1:7">
      <c r="A34" s="268">
        <v>45169</v>
      </c>
      <c r="B34" s="269">
        <v>-6.4970711256793198E-2</v>
      </c>
      <c r="C34" s="269">
        <v>-3.3376756655398535E-2</v>
      </c>
      <c r="E34" s="5">
        <f t="shared" si="0"/>
        <v>-5.8651920336514271E-2</v>
      </c>
      <c r="F34" s="5"/>
      <c r="G34" s="5">
        <f t="shared" si="1"/>
        <v>-0.12130384067302855</v>
      </c>
    </row>
    <row r="35" spans="1:7">
      <c r="A35" s="268">
        <v>45199</v>
      </c>
      <c r="B35" s="269">
        <v>0.1008698011604824</v>
      </c>
      <c r="C35" s="269">
        <v>5.4228731183781971E-2</v>
      </c>
      <c r="E35" s="5">
        <f t="shared" si="0"/>
        <v>9.1541587165142324E-2</v>
      </c>
      <c r="F35" s="5"/>
      <c r="G35" s="5">
        <f t="shared" si="1"/>
        <v>0.17908317433028464</v>
      </c>
    </row>
    <row r="36" spans="1:7">
      <c r="A36" s="268">
        <v>45230</v>
      </c>
      <c r="B36" s="269">
        <v>5.9456694071308505E-2</v>
      </c>
      <c r="C36" s="269">
        <v>-1.1349522567618321E-3</v>
      </c>
      <c r="E36" s="5">
        <f t="shared" si="0"/>
        <v>4.7338364805694436E-2</v>
      </c>
      <c r="F36" s="5"/>
      <c r="G36" s="5">
        <f t="shared" si="1"/>
        <v>9.0676729611388868E-2</v>
      </c>
    </row>
    <row r="37" spans="1:7">
      <c r="A37" s="268">
        <v>45260</v>
      </c>
      <c r="B37" s="269">
        <v>2.3012522160816007E-3</v>
      </c>
      <c r="C37" s="269">
        <v>5.9127505256783869E-2</v>
      </c>
      <c r="E37" s="5">
        <f t="shared" si="0"/>
        <v>1.3666502824222056E-2</v>
      </c>
      <c r="F37" s="5"/>
      <c r="G37" s="5">
        <f t="shared" si="1"/>
        <v>2.3333005648444111E-2</v>
      </c>
    </row>
    <row r="38" spans="1:7">
      <c r="A38" s="268">
        <v>45291</v>
      </c>
      <c r="B38" s="269">
        <v>9.5128167499571495E-2</v>
      </c>
      <c r="C38" s="269">
        <v>1.9415958279367967E-2</v>
      </c>
      <c r="E38" s="5">
        <f t="shared" si="0"/>
        <v>7.9985725655530804E-2</v>
      </c>
      <c r="F38" s="5"/>
      <c r="G38" s="5">
        <f t="shared" si="1"/>
        <v>0.1559714513110616</v>
      </c>
    </row>
    <row r="39" spans="1:7">
      <c r="A39" s="268">
        <v>45322</v>
      </c>
      <c r="B39" s="269">
        <v>8.4397308492837803E-2</v>
      </c>
      <c r="C39" s="269">
        <v>-8.8100987757460322E-3</v>
      </c>
      <c r="E39" s="5">
        <f t="shared" si="0"/>
        <v>6.5755827039121029E-2</v>
      </c>
      <c r="F39" s="5"/>
      <c r="G39" s="5">
        <f t="shared" si="1"/>
        <v>0.12751165407824205</v>
      </c>
    </row>
    <row r="40" spans="1:7">
      <c r="A40" s="268">
        <v>45351</v>
      </c>
      <c r="B40" s="269">
        <v>-2.4350014040542201E-2</v>
      </c>
      <c r="C40" s="269">
        <v>-0.17576836080881303</v>
      </c>
      <c r="E40" s="5">
        <f t="shared" si="0"/>
        <v>-5.4633683394196372E-2</v>
      </c>
      <c r="F40" s="5"/>
      <c r="G40" s="5">
        <f t="shared" si="1"/>
        <v>-0.11326736678839275</v>
      </c>
    </row>
    <row r="41" spans="1:7">
      <c r="A41" s="268">
        <v>45382</v>
      </c>
      <c r="B41" s="269">
        <v>8.8188715012461009E-3</v>
      </c>
      <c r="C41" s="269">
        <v>3.3656879313124069E-2</v>
      </c>
      <c r="E41" s="5">
        <f t="shared" si="0"/>
        <v>1.3786473063621695E-2</v>
      </c>
      <c r="F41" s="5"/>
      <c r="G41" s="5">
        <f t="shared" si="1"/>
        <v>2.357294612724339E-2</v>
      </c>
    </row>
    <row r="42" spans="1:7">
      <c r="A42" s="268">
        <v>45412</v>
      </c>
      <c r="B42" s="269">
        <v>-6.2842863864649101E-2</v>
      </c>
      <c r="C42" s="269">
        <v>6.4687984845139865E-2</v>
      </c>
      <c r="E42" s="5">
        <f t="shared" si="0"/>
        <v>-3.7336694122691312E-2</v>
      </c>
      <c r="F42" s="5"/>
      <c r="G42" s="5">
        <f t="shared" si="1"/>
        <v>-7.8673388245382628E-2</v>
      </c>
    </row>
    <row r="43" spans="1:7">
      <c r="A43" s="268">
        <v>45443</v>
      </c>
      <c r="B43" s="269">
        <v>2.7559402033529599E-2</v>
      </c>
      <c r="C43" s="269">
        <v>3.0562536982706688E-4</v>
      </c>
      <c r="E43" s="5">
        <f t="shared" si="0"/>
        <v>2.2108646700789093E-2</v>
      </c>
      <c r="F43" s="5"/>
      <c r="G43" s="5">
        <f t="shared" si="1"/>
        <v>4.0217293401578189E-2</v>
      </c>
    </row>
    <row r="44" spans="1:7">
      <c r="A44" s="268">
        <v>45473</v>
      </c>
      <c r="B44" s="269">
        <v>4.10301830139485E-2</v>
      </c>
      <c r="C44" s="269">
        <v>0.13478145072106387</v>
      </c>
      <c r="E44" s="5">
        <f t="shared" si="0"/>
        <v>5.9780436555371574E-2</v>
      </c>
      <c r="F44" s="5"/>
      <c r="G44" s="5">
        <f t="shared" si="1"/>
        <v>0.11556087311074315</v>
      </c>
    </row>
    <row r="45" spans="1:7">
      <c r="A45" s="268">
        <v>45504</v>
      </c>
      <c r="B45" s="269">
        <v>-2.6546248668383E-2</v>
      </c>
      <c r="C45" s="269">
        <v>-2.5201951002825233E-2</v>
      </c>
      <c r="E45" s="5">
        <f t="shared" si="0"/>
        <v>-2.6277389135271449E-2</v>
      </c>
      <c r="F45" s="5"/>
      <c r="G45" s="5">
        <f t="shared" si="1"/>
        <v>-5.6554778270542894E-2</v>
      </c>
    </row>
    <row r="46" spans="1:7">
      <c r="A46" s="268">
        <v>45535</v>
      </c>
      <c r="B46" s="269">
        <v>6.0250217769523398E-2</v>
      </c>
      <c r="C46" s="269">
        <v>8.0095784008425458E-2</v>
      </c>
      <c r="E46" s="5">
        <f t="shared" si="0"/>
        <v>6.4219331017303816E-2</v>
      </c>
      <c r="F46" s="5"/>
      <c r="G46" s="5">
        <f t="shared" si="1"/>
        <v>0.12443866203460763</v>
      </c>
    </row>
    <row r="47" spans="1:7">
      <c r="A47" s="268">
        <v>45565</v>
      </c>
      <c r="B47" s="269">
        <v>2.4939358615330198E-2</v>
      </c>
      <c r="C47" s="269">
        <v>-2.419044349247973E-2</v>
      </c>
      <c r="E47" s="5">
        <f t="shared" si="0"/>
        <v>1.5113398193768213E-2</v>
      </c>
      <c r="F47" s="5"/>
      <c r="G47" s="5">
        <f t="shared" si="1"/>
        <v>2.6226796387536427E-2</v>
      </c>
    </row>
    <row r="48" spans="1:7">
      <c r="A48" s="268">
        <v>45596</v>
      </c>
      <c r="B48" s="269">
        <v>6.3022641527020598E-2</v>
      </c>
      <c r="C48" s="269">
        <v>1.1308608492833367E-2</v>
      </c>
      <c r="E48" s="5">
        <f t="shared" si="0"/>
        <v>5.2679834920183154E-2</v>
      </c>
      <c r="F48" s="5"/>
      <c r="G48" s="5">
        <f t="shared" si="1"/>
        <v>0.1013596698403663</v>
      </c>
    </row>
    <row r="49" spans="1:7">
      <c r="A49" s="268">
        <v>45626</v>
      </c>
      <c r="B49" s="269">
        <v>-1.5964588799277299E-2</v>
      </c>
      <c r="C49" s="269">
        <v>-2.0933502008531835E-2</v>
      </c>
      <c r="E49" s="5">
        <f t="shared" si="0"/>
        <v>-1.6958371441128207E-2</v>
      </c>
      <c r="F49" s="5"/>
      <c r="G49" s="5">
        <f t="shared" si="1"/>
        <v>-3.791674288225641E-2</v>
      </c>
    </row>
    <row r="50" spans="1:7">
      <c r="A50" s="268">
        <v>45657</v>
      </c>
      <c r="B50" s="269">
        <v>-5.5008405255637008E-2</v>
      </c>
      <c r="C50" s="269">
        <v>2.1365694045609368E-2</v>
      </c>
      <c r="E50" s="5">
        <f t="shared" si="0"/>
        <v>-3.9733585395387731E-2</v>
      </c>
      <c r="F50" s="5"/>
      <c r="G50" s="5">
        <f t="shared" si="1"/>
        <v>-8.3467170790775466E-2</v>
      </c>
    </row>
    <row r="51" spans="1:7">
      <c r="A51" s="268">
        <v>45688</v>
      </c>
      <c r="B51" s="269">
        <v>3.88779211944668E-2</v>
      </c>
      <c r="C51" s="269">
        <v>3.8075506097315165E-2</v>
      </c>
      <c r="E51" s="5">
        <f t="shared" si="0"/>
        <v>3.8717438175036478E-2</v>
      </c>
      <c r="F51" s="5"/>
      <c r="G51" s="5">
        <f t="shared" si="1"/>
        <v>7.3434876350072953E-2</v>
      </c>
    </row>
    <row r="52" spans="1:7">
      <c r="A52" s="268">
        <v>45716</v>
      </c>
      <c r="B52" s="269">
        <v>9.1114131725783011E-3</v>
      </c>
      <c r="C52" s="269">
        <v>2.6763263578787569E-2</v>
      </c>
      <c r="E52" s="5">
        <f t="shared" si="0"/>
        <v>1.2641783253820156E-2</v>
      </c>
      <c r="F52" s="5"/>
      <c r="G52" s="5">
        <f t="shared" si="1"/>
        <v>2.1283566507640312E-2</v>
      </c>
    </row>
    <row r="53" spans="1:7">
      <c r="A53" s="268">
        <v>45747</v>
      </c>
      <c r="B53" s="269">
        <v>-4.1220376429873598E-2</v>
      </c>
      <c r="C53" s="269">
        <v>-6.9061535016454845E-2</v>
      </c>
      <c r="E53" s="5">
        <f t="shared" si="0"/>
        <v>-4.6788608147189846E-2</v>
      </c>
      <c r="F53" s="5"/>
      <c r="G53" s="5">
        <f t="shared" si="1"/>
        <v>-9.7577216294379696E-2</v>
      </c>
    </row>
    <row r="54" spans="1:7">
      <c r="A54" s="268">
        <v>45777</v>
      </c>
      <c r="B54" s="269">
        <v>-2.5415627540614199E-2</v>
      </c>
      <c r="C54" s="269">
        <v>1.2792577878884468E-2</v>
      </c>
      <c r="E54" s="5">
        <f t="shared" si="0"/>
        <v>-1.7773986456714463E-2</v>
      </c>
      <c r="F54" s="5"/>
      <c r="G54" s="5">
        <f t="shared" si="1"/>
        <v>-3.954797291342893E-2</v>
      </c>
    </row>
    <row r="55" spans="1:7">
      <c r="A55" s="268">
        <v>45808</v>
      </c>
      <c r="B55" s="269">
        <v>3.1298945249346899E-2</v>
      </c>
      <c r="C55" s="269">
        <v>3.5299179651814682E-3</v>
      </c>
      <c r="E55" s="5">
        <f t="shared" si="0"/>
        <v>2.5745139792513815E-2</v>
      </c>
      <c r="F55" s="5"/>
      <c r="G55" s="5">
        <f t="shared" si="1"/>
        <v>4.7490279585027634E-2</v>
      </c>
    </row>
    <row r="56" spans="1:7">
      <c r="A56" s="268">
        <v>45838</v>
      </c>
      <c r="B56" s="269">
        <v>8.2684936828166092E-2</v>
      </c>
      <c r="C56" s="269">
        <v>0.15069932703573466</v>
      </c>
      <c r="E56" s="5">
        <f t="shared" si="0"/>
        <v>9.62878148696798E-2</v>
      </c>
      <c r="F56" s="5"/>
      <c r="G56" s="5">
        <f t="shared" si="1"/>
        <v>0.1885756297393596</v>
      </c>
    </row>
    <row r="57" spans="1:7">
      <c r="A57" s="268">
        <v>45869</v>
      </c>
      <c r="B57" s="269">
        <v>2.3459628019651603E-2</v>
      </c>
      <c r="C57" s="269">
        <v>4.1481930155759468E-2</v>
      </c>
      <c r="E57" s="5">
        <f t="shared" si="0"/>
        <v>2.7064088446873177E-2</v>
      </c>
      <c r="F57" s="5"/>
      <c r="G57" s="5">
        <f t="shared" si="1"/>
        <v>5.0128176893746351E-2</v>
      </c>
    </row>
    <row r="58" spans="1:7">
      <c r="A58" s="268">
        <v>45900</v>
      </c>
      <c r="B58" s="269">
        <v>-3.9493869962355502E-2</v>
      </c>
      <c r="C58" s="269">
        <v>-0.11138563714333663</v>
      </c>
      <c r="E58" s="5">
        <f t="shared" si="0"/>
        <v>-5.387222339855173E-2</v>
      </c>
      <c r="F58" s="5"/>
      <c r="G58" s="5">
        <f t="shared" si="1"/>
        <v>-0.11174444679710346</v>
      </c>
    </row>
    <row r="59" spans="1:7">
      <c r="A59" s="268">
        <v>45930</v>
      </c>
      <c r="B59" s="269">
        <v>0.12547684034245832</v>
      </c>
      <c r="C59" s="269">
        <v>-1.8440020238480931E-2</v>
      </c>
      <c r="E59" s="5">
        <f t="shared" si="0"/>
        <v>9.6693468226270465E-2</v>
      </c>
      <c r="F59" s="5"/>
      <c r="G59" s="5">
        <f t="shared" si="1"/>
        <v>0.18938693645254093</v>
      </c>
    </row>
    <row r="60" spans="1:7">
      <c r="A60" s="268">
        <v>45961</v>
      </c>
      <c r="B60" s="269">
        <v>2.6012197227557002E-2</v>
      </c>
      <c r="C60" s="269">
        <v>3.2233446929125671E-3</v>
      </c>
      <c r="E60" s="5">
        <f t="shared" si="0"/>
        <v>2.1454426720628118E-2</v>
      </c>
      <c r="F60" s="5"/>
      <c r="G60" s="5">
        <f t="shared" si="1"/>
        <v>3.8908853441256233E-2</v>
      </c>
    </row>
    <row r="61" spans="1:7">
      <c r="A61" s="268">
        <v>45991</v>
      </c>
      <c r="B61" s="269">
        <v>-3.1798127210024396E-2</v>
      </c>
      <c r="C61" s="269">
        <v>4.0965738511749963E-2</v>
      </c>
      <c r="E61" s="5">
        <f t="shared" si="0"/>
        <v>-1.7245354065669523E-2</v>
      </c>
      <c r="F61" s="5"/>
      <c r="G61" s="5">
        <f t="shared" si="1"/>
        <v>-3.8490708131339049E-2</v>
      </c>
    </row>
    <row r="62" spans="1:7">
      <c r="A62" s="268">
        <v>46022</v>
      </c>
      <c r="B62" s="269">
        <v>8.50366186952385E-2</v>
      </c>
      <c r="C62" s="269">
        <v>8.8284617108651181E-2</v>
      </c>
      <c r="E62" s="5">
        <f t="shared" si="0"/>
        <v>8.5686218377921036E-2</v>
      </c>
      <c r="F62" s="5"/>
      <c r="G62" s="5">
        <f t="shared" si="1"/>
        <v>0.16737243675584207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19"/>
  <sheetViews>
    <sheetView workbookViewId="0">
      <selection activeCell="A4" sqref="A4:A15"/>
    </sheetView>
  </sheetViews>
  <sheetFormatPr defaultRowHeight="14.5"/>
  <cols>
    <col min="1" max="1" width="8.453125" customWidth="1"/>
    <col min="2" max="2" width="6.36328125" bestFit="1" customWidth="1"/>
    <col min="3" max="3" width="7" bestFit="1" customWidth="1"/>
    <col min="5" max="5" width="6.54296875" customWidth="1"/>
    <col min="6" max="6" width="6.1796875" customWidth="1"/>
    <col min="7" max="7" width="17.54296875" customWidth="1"/>
    <col min="8" max="8" width="7.453125" bestFit="1" customWidth="1"/>
    <col min="10" max="10" width="10.453125" bestFit="1" customWidth="1"/>
  </cols>
  <sheetData>
    <row r="1" spans="1:10" ht="21">
      <c r="A1" s="266" t="s">
        <v>868</v>
      </c>
      <c r="B1" s="234"/>
      <c r="C1" s="234"/>
      <c r="D1" s="234"/>
      <c r="E1" s="234"/>
      <c r="F1" s="234"/>
    </row>
    <row r="2" spans="1:10">
      <c r="A2" s="234"/>
      <c r="B2" s="234"/>
      <c r="C2" s="234"/>
      <c r="E2" s="285" t="s">
        <v>26</v>
      </c>
      <c r="F2" s="286"/>
    </row>
    <row r="3" spans="1:10">
      <c r="A3" s="237" t="s">
        <v>209</v>
      </c>
      <c r="B3" s="235" t="s">
        <v>0</v>
      </c>
      <c r="C3" s="235" t="s">
        <v>1</v>
      </c>
      <c r="E3" s="3" t="s">
        <v>0</v>
      </c>
      <c r="F3" s="3" t="s">
        <v>1</v>
      </c>
      <c r="H3" s="3" t="s">
        <v>27</v>
      </c>
    </row>
    <row r="4" spans="1:10">
      <c r="A4" s="268">
        <v>45686</v>
      </c>
      <c r="B4" s="271">
        <v>2.66491685871066E-2</v>
      </c>
      <c r="C4" s="271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  <c r="J4" s="43"/>
    </row>
    <row r="5" spans="1:10">
      <c r="A5" s="268">
        <v>45714</v>
      </c>
      <c r="B5" s="271">
        <v>-7.9993111119980503E-2</v>
      </c>
      <c r="C5" s="271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  <c r="J5" s="43"/>
    </row>
    <row r="6" spans="1:10">
      <c r="A6" s="268">
        <v>45747</v>
      </c>
      <c r="B6" s="271">
        <v>0.12781874616733399</v>
      </c>
      <c r="C6" s="271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  <c r="J6" s="43"/>
    </row>
    <row r="7" spans="1:10">
      <c r="A7" s="268">
        <v>45777</v>
      </c>
      <c r="B7" s="271">
        <v>4.30954365242011E-2</v>
      </c>
      <c r="C7" s="271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  <c r="J7" s="43"/>
    </row>
    <row r="8" spans="1:10">
      <c r="A8" s="268">
        <v>45805</v>
      </c>
      <c r="B8" s="271">
        <v>4.9127124826307102E-3</v>
      </c>
      <c r="C8" s="271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  <c r="J8" s="43"/>
    </row>
    <row r="9" spans="1:10">
      <c r="A9" s="268">
        <v>45838</v>
      </c>
      <c r="B9" s="271">
        <v>-1.49670290589293E-2</v>
      </c>
      <c r="C9" s="271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  <c r="J9" s="43"/>
    </row>
    <row r="10" spans="1:10">
      <c r="A10" s="268">
        <v>45868</v>
      </c>
      <c r="B10" s="271">
        <v>6.4728517382665898E-2</v>
      </c>
      <c r="C10" s="271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  <c r="J10" s="43"/>
    </row>
    <row r="11" spans="1:10">
      <c r="A11" s="268">
        <v>45900</v>
      </c>
      <c r="B11" s="271">
        <v>4.9579659557048199E-3</v>
      </c>
      <c r="C11" s="271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  <c r="J11" s="43"/>
    </row>
    <row r="12" spans="1:10">
      <c r="A12" s="268">
        <v>45930</v>
      </c>
      <c r="B12" s="271">
        <v>-6.7552166575601202E-2</v>
      </c>
      <c r="C12" s="271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  <c r="J12" s="43"/>
    </row>
    <row r="13" spans="1:10">
      <c r="A13" s="268">
        <v>45959</v>
      </c>
      <c r="B13" s="271">
        <v>4.5291651401516399E-2</v>
      </c>
      <c r="C13" s="271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  <c r="J13" s="43"/>
    </row>
    <row r="14" spans="1:10">
      <c r="A14" s="268">
        <v>45991</v>
      </c>
      <c r="B14" s="271">
        <v>-3.9738062631339097E-2</v>
      </c>
      <c r="C14" s="271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  <c r="J14" s="43"/>
    </row>
    <row r="15" spans="1:10">
      <c r="A15" s="268">
        <v>46021</v>
      </c>
      <c r="B15" s="271">
        <v>8.0197903391152098E-2</v>
      </c>
      <c r="C15" s="271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  <c r="J15" s="43"/>
    </row>
    <row r="16" spans="1:10">
      <c r="A16" s="234"/>
      <c r="B16" s="234"/>
      <c r="C16" s="234"/>
    </row>
    <row r="17" spans="1:8">
      <c r="A17" s="234" t="s">
        <v>13</v>
      </c>
      <c r="B17" s="270">
        <f>AVERAGE(B4:B15)</f>
        <v>1.6283477708871796E-2</v>
      </c>
      <c r="C17" s="270">
        <f>AVERAGE(C4:C15)</f>
        <v>-1.2614095800971396E-3</v>
      </c>
    </row>
    <row r="18" spans="1:8">
      <c r="D18" t="s">
        <v>32</v>
      </c>
      <c r="H18" s="40">
        <f>AVERAGE(H4:H15)</f>
        <v>1.4664290054495568E-3</v>
      </c>
    </row>
    <row r="19" spans="1:8">
      <c r="D19" t="s">
        <v>33</v>
      </c>
      <c r="H19" s="40">
        <f>_xlfn.COVARIANCE.P(B4:B15,C4:C15)</f>
        <v>1.4664290054495568E-3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workbookViewId="0">
      <selection activeCell="A7" sqref="A7"/>
    </sheetView>
  </sheetViews>
  <sheetFormatPr defaultRowHeight="14.5"/>
  <cols>
    <col min="1" max="1" width="14.453125" customWidth="1"/>
    <col min="2" max="2" width="24.54296875" customWidth="1"/>
    <col min="3" max="3" width="10.453125" style="210" bestFit="1" customWidth="1"/>
    <col min="4" max="4" width="14.54296875" style="158" customWidth="1"/>
    <col min="11" max="11" width="17" bestFit="1" customWidth="1"/>
    <col min="12" max="12" width="12.54296875" bestFit="1" customWidth="1"/>
  </cols>
  <sheetData>
    <row r="1" spans="1:12" ht="21">
      <c r="A1" s="266" t="s">
        <v>870</v>
      </c>
      <c r="B1" s="234"/>
      <c r="C1" s="234"/>
      <c r="D1" s="234"/>
    </row>
    <row r="2" spans="1:12">
      <c r="A2" s="234"/>
      <c r="B2" s="237"/>
      <c r="C2" s="235" t="s">
        <v>666</v>
      </c>
      <c r="D2" s="272" t="s">
        <v>665</v>
      </c>
    </row>
    <row r="3" spans="1:12">
      <c r="A3" s="234"/>
      <c r="B3" s="234"/>
      <c r="C3" s="273"/>
      <c r="D3" s="274" t="s">
        <v>660</v>
      </c>
    </row>
    <row r="4" spans="1:12">
      <c r="A4" s="275" t="s">
        <v>592</v>
      </c>
      <c r="B4" s="275" t="s">
        <v>644</v>
      </c>
      <c r="C4" s="276" t="s">
        <v>590</v>
      </c>
      <c r="D4" s="277" t="s">
        <v>591</v>
      </c>
      <c r="I4" s="1" t="s">
        <v>664</v>
      </c>
    </row>
    <row r="5" spans="1:12">
      <c r="A5" s="278" t="s">
        <v>593</v>
      </c>
      <c r="B5" s="278" t="s">
        <v>645</v>
      </c>
      <c r="C5" s="279">
        <v>30</v>
      </c>
      <c r="D5" s="280">
        <v>36.6</v>
      </c>
      <c r="F5" s="285" t="s">
        <v>661</v>
      </c>
      <c r="G5" s="285"/>
      <c r="I5">
        <f>D5-$G$6-$G$7*C5</f>
        <v>-28.823515647060841</v>
      </c>
      <c r="K5" t="s">
        <v>663</v>
      </c>
      <c r="L5" s="2">
        <f>AVERAGE(I5:I55)</f>
        <v>8.0806820929580018E-15</v>
      </c>
    </row>
    <row r="6" spans="1:12">
      <c r="A6" s="278" t="s">
        <v>594</v>
      </c>
      <c r="B6" s="278" t="s">
        <v>645</v>
      </c>
      <c r="C6" s="273">
        <v>27.7</v>
      </c>
      <c r="D6" s="280">
        <v>48.8</v>
      </c>
      <c r="F6" t="s">
        <v>66</v>
      </c>
      <c r="G6" s="2">
        <f>INTERCEPT(D5:D55,C5:C55)</f>
        <v>34.894176754316554</v>
      </c>
      <c r="I6">
        <f t="shared" ref="I6:I55" si="0">D6-$G$6-$G$7*C6</f>
        <v>-14.282932998617117</v>
      </c>
      <c r="K6" t="s">
        <v>667</v>
      </c>
      <c r="L6" s="2">
        <f>COVAR(I5:I55,C5:C55)</f>
        <v>-4.640623397538583E-15</v>
      </c>
    </row>
    <row r="7" spans="1:12">
      <c r="A7" s="278" t="s">
        <v>595</v>
      </c>
      <c r="B7" s="278" t="s">
        <v>645</v>
      </c>
      <c r="C7" s="273">
        <v>26.2</v>
      </c>
      <c r="D7" s="280">
        <v>64.600000000000009</v>
      </c>
      <c r="F7" t="s">
        <v>69</v>
      </c>
      <c r="G7" s="2">
        <f>SLOPE(D5:D55,C5:C55)</f>
        <v>1.017644629758143</v>
      </c>
      <c r="I7">
        <f t="shared" si="0"/>
        <v>3.0435339460201085</v>
      </c>
    </row>
    <row r="8" spans="1:12">
      <c r="A8" s="278" t="s">
        <v>596</v>
      </c>
      <c r="B8" s="278" t="s">
        <v>645</v>
      </c>
      <c r="C8" s="273">
        <v>25.8</v>
      </c>
      <c r="D8" s="280">
        <v>54.900000000000006</v>
      </c>
      <c r="I8">
        <f t="shared" si="0"/>
        <v>-6.2494082020766371</v>
      </c>
    </row>
    <row r="9" spans="1:12">
      <c r="A9" s="278" t="s">
        <v>597</v>
      </c>
      <c r="B9" s="278" t="s">
        <v>645</v>
      </c>
      <c r="C9" s="273">
        <v>23.8</v>
      </c>
      <c r="D9" s="280">
        <v>57.3</v>
      </c>
      <c r="F9" s="285" t="s">
        <v>662</v>
      </c>
      <c r="G9" s="285"/>
      <c r="I9">
        <f t="shared" si="0"/>
        <v>-1.8141189425603592</v>
      </c>
    </row>
    <row r="10" spans="1:12">
      <c r="A10" s="278" t="s">
        <v>598</v>
      </c>
      <c r="B10" s="278" t="s">
        <v>645</v>
      </c>
      <c r="C10" s="273">
        <v>24.8</v>
      </c>
      <c r="D10" s="280">
        <v>73.2</v>
      </c>
      <c r="F10" t="s">
        <v>66</v>
      </c>
      <c r="G10" s="2">
        <f>AVERAGE(D5:D55)-G11*AVERAGE(C5:C55)</f>
        <v>34.894176754316582</v>
      </c>
      <c r="I10">
        <f t="shared" si="0"/>
        <v>13.068236427681502</v>
      </c>
    </row>
    <row r="11" spans="1:12">
      <c r="A11" s="278" t="s">
        <v>599</v>
      </c>
      <c r="B11" s="278" t="s">
        <v>645</v>
      </c>
      <c r="C11" s="273">
        <v>26.2</v>
      </c>
      <c r="D11" s="280">
        <v>65.900000000000006</v>
      </c>
      <c r="F11" t="s">
        <v>69</v>
      </c>
      <c r="G11" s="2">
        <f>COVAR(C5:C55,D5:D55)/VARP(C5:C55)</f>
        <v>1.0176446297581418</v>
      </c>
      <c r="I11">
        <f t="shared" si="0"/>
        <v>4.3435339460201057</v>
      </c>
    </row>
    <row r="12" spans="1:12">
      <c r="A12" s="278" t="s">
        <v>600</v>
      </c>
      <c r="B12" s="278" t="s">
        <v>645</v>
      </c>
      <c r="C12" s="273">
        <v>23.9</v>
      </c>
      <c r="D12" s="280">
        <v>69.5</v>
      </c>
      <c r="I12">
        <f t="shared" si="0"/>
        <v>10.284116594463832</v>
      </c>
    </row>
    <row r="13" spans="1:12">
      <c r="A13" s="278" t="s">
        <v>601</v>
      </c>
      <c r="B13" s="278" t="s">
        <v>645</v>
      </c>
      <c r="C13" s="273">
        <v>21.8</v>
      </c>
      <c r="D13" s="280">
        <v>70.7</v>
      </c>
      <c r="I13">
        <f t="shared" si="0"/>
        <v>13.621170316955933</v>
      </c>
    </row>
    <row r="14" spans="1:12">
      <c r="A14" s="278" t="s">
        <v>602</v>
      </c>
      <c r="B14" s="278" t="s">
        <v>645</v>
      </c>
      <c r="C14" s="273">
        <v>21.5</v>
      </c>
      <c r="D14" s="280">
        <v>65.900000000000006</v>
      </c>
      <c r="I14">
        <f t="shared" si="0"/>
        <v>9.1264637058833777</v>
      </c>
    </row>
    <row r="15" spans="1:12">
      <c r="A15" s="278" t="s">
        <v>603</v>
      </c>
      <c r="B15" s="278" t="s">
        <v>645</v>
      </c>
      <c r="C15" s="279">
        <v>22</v>
      </c>
      <c r="D15" s="280">
        <v>75.599999999999994</v>
      </c>
      <c r="I15">
        <f t="shared" si="0"/>
        <v>18.317641391004294</v>
      </c>
    </row>
    <row r="16" spans="1:12">
      <c r="A16" s="278" t="s">
        <v>604</v>
      </c>
      <c r="B16" s="278" t="s">
        <v>645</v>
      </c>
      <c r="C16" s="273">
        <v>23.4</v>
      </c>
      <c r="D16" s="280">
        <v>75.599999999999994</v>
      </c>
      <c r="I16">
        <f t="shared" si="0"/>
        <v>16.892938909342895</v>
      </c>
    </row>
    <row r="17" spans="1:9">
      <c r="A17" s="278" t="s">
        <v>605</v>
      </c>
      <c r="B17" s="278" t="s">
        <v>646</v>
      </c>
      <c r="C17" s="273">
        <v>23.9</v>
      </c>
      <c r="D17" s="280">
        <v>79.3</v>
      </c>
      <c r="I17">
        <f t="shared" si="0"/>
        <v>20.084116594463829</v>
      </c>
    </row>
    <row r="18" spans="1:9">
      <c r="A18" s="278" t="s">
        <v>606</v>
      </c>
      <c r="B18" s="278" t="s">
        <v>646</v>
      </c>
      <c r="C18" s="273">
        <v>19.600000000000001</v>
      </c>
      <c r="D18" s="280">
        <v>75.599999999999994</v>
      </c>
      <c r="I18">
        <f t="shared" si="0"/>
        <v>20.759988502423838</v>
      </c>
    </row>
    <row r="19" spans="1:9">
      <c r="A19" s="278" t="s">
        <v>607</v>
      </c>
      <c r="B19" s="278" t="s">
        <v>646</v>
      </c>
      <c r="C19" s="273">
        <v>22.5</v>
      </c>
      <c r="D19" s="280">
        <v>69.5</v>
      </c>
      <c r="I19">
        <f t="shared" si="0"/>
        <v>11.708819076125231</v>
      </c>
    </row>
    <row r="20" spans="1:9">
      <c r="A20" s="278" t="s">
        <v>608</v>
      </c>
      <c r="B20" s="278" t="s">
        <v>646</v>
      </c>
      <c r="C20" s="273">
        <v>22.3</v>
      </c>
      <c r="D20" s="280">
        <v>76.8</v>
      </c>
      <c r="I20">
        <f t="shared" si="0"/>
        <v>19.212348002076855</v>
      </c>
    </row>
    <row r="21" spans="1:9">
      <c r="A21" s="278" t="s">
        <v>609</v>
      </c>
      <c r="B21" s="278" t="s">
        <v>646</v>
      </c>
      <c r="C21" s="273">
        <v>19.399999999999999</v>
      </c>
      <c r="D21" s="280">
        <v>70.7</v>
      </c>
      <c r="I21">
        <f t="shared" si="0"/>
        <v>16.063517428375476</v>
      </c>
    </row>
    <row r="22" spans="1:9">
      <c r="A22" s="278" t="s">
        <v>610</v>
      </c>
      <c r="B22" s="278" t="s">
        <v>647</v>
      </c>
      <c r="C22" s="273">
        <v>19.899999999999999</v>
      </c>
      <c r="D22" s="280">
        <v>52.400000000000006</v>
      </c>
      <c r="I22">
        <f t="shared" si="0"/>
        <v>-2.7453048865035932</v>
      </c>
    </row>
    <row r="23" spans="1:9">
      <c r="A23" s="278" t="s">
        <v>611</v>
      </c>
      <c r="B23" s="278" t="s">
        <v>648</v>
      </c>
      <c r="C23" s="273">
        <v>15.1</v>
      </c>
      <c r="D23" s="280">
        <v>47.599999999999994</v>
      </c>
      <c r="I23">
        <f t="shared" si="0"/>
        <v>-2.6606106636645173</v>
      </c>
    </row>
    <row r="24" spans="1:9">
      <c r="A24" s="278" t="s">
        <v>612</v>
      </c>
      <c r="B24" s="278" t="s">
        <v>649</v>
      </c>
      <c r="C24" s="273">
        <v>14.2</v>
      </c>
      <c r="D24" s="280">
        <v>40.200000000000003</v>
      </c>
      <c r="I24">
        <f t="shared" si="0"/>
        <v>-9.1447304968821808</v>
      </c>
    </row>
    <row r="25" spans="1:9">
      <c r="A25" s="278" t="s">
        <v>613</v>
      </c>
      <c r="B25" s="278" t="s">
        <v>650</v>
      </c>
      <c r="C25" s="273">
        <v>21.7</v>
      </c>
      <c r="D25" s="280">
        <v>58.5</v>
      </c>
      <c r="I25">
        <f t="shared" si="0"/>
        <v>1.5229347799317452</v>
      </c>
    </row>
    <row r="26" spans="1:9">
      <c r="A26" s="278" t="s">
        <v>614</v>
      </c>
      <c r="B26" s="278" t="s">
        <v>650</v>
      </c>
      <c r="C26" s="273">
        <v>21.2</v>
      </c>
      <c r="D26" s="280">
        <v>64.600000000000009</v>
      </c>
      <c r="I26">
        <f t="shared" si="0"/>
        <v>8.1317570948108262</v>
      </c>
    </row>
    <row r="27" spans="1:9">
      <c r="A27" s="278" t="s">
        <v>615</v>
      </c>
      <c r="B27" s="278" t="s">
        <v>651</v>
      </c>
      <c r="C27" s="273">
        <v>26.2</v>
      </c>
      <c r="D27" s="280">
        <v>68.300000000000011</v>
      </c>
      <c r="I27">
        <f t="shared" si="0"/>
        <v>6.7435339460201114</v>
      </c>
    </row>
    <row r="28" spans="1:9">
      <c r="A28" s="278" t="s">
        <v>616</v>
      </c>
      <c r="B28" s="278" t="s">
        <v>651</v>
      </c>
      <c r="C28" s="273">
        <v>28.3</v>
      </c>
      <c r="D28" s="280">
        <v>74.400000000000006</v>
      </c>
      <c r="I28">
        <f t="shared" si="0"/>
        <v>10.706480223528004</v>
      </c>
    </row>
    <row r="29" spans="1:9">
      <c r="A29" s="278" t="s">
        <v>617</v>
      </c>
      <c r="B29" s="278" t="s">
        <v>651</v>
      </c>
      <c r="C29" s="273">
        <v>26.3</v>
      </c>
      <c r="D29" s="280">
        <v>62</v>
      </c>
      <c r="I29">
        <f t="shared" si="0"/>
        <v>0.34176948304428478</v>
      </c>
    </row>
    <row r="30" spans="1:9">
      <c r="A30" s="278" t="s">
        <v>618</v>
      </c>
      <c r="B30" s="278" t="s">
        <v>651</v>
      </c>
      <c r="C30" s="273">
        <v>29.7</v>
      </c>
      <c r="D30" s="280">
        <v>81.699999999999989</v>
      </c>
      <c r="I30">
        <f t="shared" si="0"/>
        <v>16.581777741866588</v>
      </c>
    </row>
    <row r="31" spans="1:9">
      <c r="A31" s="278" t="s">
        <v>619</v>
      </c>
      <c r="B31" s="278" t="s">
        <v>651</v>
      </c>
      <c r="C31" s="273">
        <v>28.7</v>
      </c>
      <c r="D31" s="280">
        <v>68.300000000000011</v>
      </c>
      <c r="I31">
        <f t="shared" si="0"/>
        <v>4.1994223716247561</v>
      </c>
    </row>
    <row r="32" spans="1:9">
      <c r="A32" s="278" t="s">
        <v>620</v>
      </c>
      <c r="B32" s="278" t="s">
        <v>651</v>
      </c>
      <c r="C32" s="273">
        <v>27.2</v>
      </c>
      <c r="D32" s="280">
        <v>70.7</v>
      </c>
      <c r="I32">
        <f t="shared" si="0"/>
        <v>8.1258893162619614</v>
      </c>
    </row>
    <row r="33" spans="1:9">
      <c r="A33" s="278" t="s">
        <v>621</v>
      </c>
      <c r="B33" s="278" t="s">
        <v>652</v>
      </c>
      <c r="C33" s="279">
        <v>30</v>
      </c>
      <c r="D33" s="280">
        <v>61</v>
      </c>
      <c r="I33">
        <f t="shared" si="0"/>
        <v>-4.4235156470608423</v>
      </c>
    </row>
    <row r="34" spans="1:9">
      <c r="A34" s="278" t="s">
        <v>622</v>
      </c>
      <c r="B34" s="278" t="s">
        <v>652</v>
      </c>
      <c r="C34" s="279">
        <v>24</v>
      </c>
      <c r="D34" s="280">
        <v>68.300000000000011</v>
      </c>
      <c r="I34">
        <f t="shared" si="0"/>
        <v>8.9823521314880281</v>
      </c>
    </row>
    <row r="35" spans="1:9">
      <c r="A35" s="278" t="s">
        <v>623</v>
      </c>
      <c r="B35" s="278" t="s">
        <v>652</v>
      </c>
      <c r="C35" s="273">
        <v>27.6</v>
      </c>
      <c r="D35" s="280">
        <v>41.5</v>
      </c>
      <c r="I35">
        <f t="shared" si="0"/>
        <v>-21.481168535641302</v>
      </c>
    </row>
    <row r="36" spans="1:9">
      <c r="A36" s="278" t="s">
        <v>624</v>
      </c>
      <c r="B36" s="278" t="s">
        <v>652</v>
      </c>
      <c r="C36" s="273">
        <v>35.4</v>
      </c>
      <c r="D36" s="280">
        <v>54.900000000000006</v>
      </c>
      <c r="I36">
        <f t="shared" si="0"/>
        <v>-16.018796647754804</v>
      </c>
    </row>
    <row r="37" spans="1:9">
      <c r="A37" s="278" t="s">
        <v>625</v>
      </c>
      <c r="B37" s="278" t="s">
        <v>652</v>
      </c>
      <c r="C37" s="273">
        <v>31.6</v>
      </c>
      <c r="D37" s="280">
        <v>51.2</v>
      </c>
      <c r="I37">
        <f t="shared" si="0"/>
        <v>-15.851747054673872</v>
      </c>
    </row>
    <row r="38" spans="1:9">
      <c r="A38" s="278" t="s">
        <v>626</v>
      </c>
      <c r="B38" s="278" t="s">
        <v>652</v>
      </c>
      <c r="C38" s="273">
        <v>28.3</v>
      </c>
      <c r="D38" s="280">
        <v>69.5</v>
      </c>
      <c r="I38">
        <f t="shared" si="0"/>
        <v>5.8064802235279984</v>
      </c>
    </row>
    <row r="39" spans="1:9">
      <c r="A39" s="278" t="s">
        <v>627</v>
      </c>
      <c r="B39" s="278" t="s">
        <v>652</v>
      </c>
      <c r="C39" s="273">
        <v>26.8</v>
      </c>
      <c r="D39" s="280">
        <v>79.3</v>
      </c>
      <c r="I39">
        <f t="shared" si="0"/>
        <v>17.132947168165209</v>
      </c>
    </row>
    <row r="40" spans="1:9">
      <c r="A40" s="278" t="s">
        <v>628</v>
      </c>
      <c r="B40" s="278" t="s">
        <v>652</v>
      </c>
      <c r="C40" s="279">
        <v>27</v>
      </c>
      <c r="D40" s="280">
        <v>69.5</v>
      </c>
      <c r="I40">
        <f t="shared" si="0"/>
        <v>7.1294182422135854</v>
      </c>
    </row>
    <row r="41" spans="1:9">
      <c r="A41" s="278" t="s">
        <v>629</v>
      </c>
      <c r="B41" s="278" t="s">
        <v>652</v>
      </c>
      <c r="C41" s="273">
        <v>25.3</v>
      </c>
      <c r="D41" s="280">
        <v>69.5</v>
      </c>
      <c r="I41">
        <f t="shared" si="0"/>
        <v>8.8594141128024297</v>
      </c>
    </row>
    <row r="42" spans="1:9">
      <c r="A42" s="278" t="s">
        <v>630</v>
      </c>
      <c r="B42" s="278" t="s">
        <v>652</v>
      </c>
      <c r="C42" s="273">
        <v>27.9</v>
      </c>
      <c r="D42" s="280">
        <v>62.1</v>
      </c>
      <c r="I42">
        <f t="shared" si="0"/>
        <v>-1.1864619245687393</v>
      </c>
    </row>
    <row r="43" spans="1:9">
      <c r="A43" s="278" t="s">
        <v>631</v>
      </c>
      <c r="B43" s="278" t="s">
        <v>652</v>
      </c>
      <c r="C43" s="273">
        <v>27.3</v>
      </c>
      <c r="D43" s="280">
        <v>54.900000000000006</v>
      </c>
      <c r="I43">
        <f t="shared" si="0"/>
        <v>-7.7758751467138509</v>
      </c>
    </row>
    <row r="44" spans="1:9">
      <c r="A44" s="278" t="s">
        <v>632</v>
      </c>
      <c r="B44" s="278" t="s">
        <v>653</v>
      </c>
      <c r="C44" s="273">
        <v>17.399999999999999</v>
      </c>
      <c r="D44" s="280">
        <v>32.9</v>
      </c>
      <c r="I44">
        <f t="shared" si="0"/>
        <v>-19.701193312108241</v>
      </c>
    </row>
    <row r="45" spans="1:9">
      <c r="A45" s="278" t="s">
        <v>633</v>
      </c>
      <c r="B45" s="278" t="s">
        <v>654</v>
      </c>
      <c r="C45" s="279">
        <v>12</v>
      </c>
      <c r="D45" s="280">
        <v>25.6</v>
      </c>
      <c r="I45">
        <f t="shared" si="0"/>
        <v>-21.505912311414267</v>
      </c>
    </row>
    <row r="46" spans="1:9">
      <c r="A46" s="278" t="s">
        <v>634</v>
      </c>
      <c r="B46" s="278" t="s">
        <v>652</v>
      </c>
      <c r="C46" s="273">
        <v>17.600000000000001</v>
      </c>
      <c r="D46" s="280">
        <v>20.7</v>
      </c>
      <c r="I46">
        <f t="shared" si="0"/>
        <v>-32.104722238059871</v>
      </c>
    </row>
    <row r="47" spans="1:9">
      <c r="A47" s="278" t="s">
        <v>635</v>
      </c>
      <c r="B47" s="278" t="s">
        <v>655</v>
      </c>
      <c r="C47" s="273">
        <v>15.6</v>
      </c>
      <c r="D47" s="280">
        <v>31.7</v>
      </c>
      <c r="I47">
        <f t="shared" si="0"/>
        <v>-19.069432978543585</v>
      </c>
    </row>
    <row r="48" spans="1:9">
      <c r="A48" s="278" t="s">
        <v>636</v>
      </c>
      <c r="B48" s="278" t="s">
        <v>656</v>
      </c>
      <c r="C48" s="273">
        <v>16.100000000000001</v>
      </c>
      <c r="D48" s="280">
        <v>42.699999999999996</v>
      </c>
      <c r="I48">
        <f t="shared" si="0"/>
        <v>-8.5782552934226608</v>
      </c>
    </row>
    <row r="49" spans="1:9">
      <c r="A49" s="278" t="s">
        <v>637</v>
      </c>
      <c r="B49" s="278" t="s">
        <v>657</v>
      </c>
      <c r="C49" s="273">
        <v>27.4</v>
      </c>
      <c r="D49" s="280">
        <v>45.1</v>
      </c>
      <c r="I49">
        <f t="shared" si="0"/>
        <v>-17.677639609689667</v>
      </c>
    </row>
    <row r="50" spans="1:9">
      <c r="A50" s="278" t="s">
        <v>638</v>
      </c>
      <c r="B50" s="278" t="s">
        <v>658</v>
      </c>
      <c r="C50" s="273">
        <v>26.1</v>
      </c>
      <c r="D50" s="280">
        <v>73.2</v>
      </c>
      <c r="I50">
        <f t="shared" si="0"/>
        <v>11.745298408995914</v>
      </c>
    </row>
    <row r="51" spans="1:9">
      <c r="A51" s="278" t="s">
        <v>639</v>
      </c>
      <c r="B51" s="278" t="s">
        <v>657</v>
      </c>
      <c r="C51" s="279">
        <v>25</v>
      </c>
      <c r="D51" s="280">
        <v>58.3</v>
      </c>
      <c r="I51">
        <f t="shared" si="0"/>
        <v>-2.035292498270131</v>
      </c>
    </row>
    <row r="52" spans="1:9">
      <c r="A52" s="278" t="s">
        <v>640</v>
      </c>
      <c r="B52" s="278" t="s">
        <v>657</v>
      </c>
      <c r="C52" s="273">
        <v>30.3</v>
      </c>
      <c r="D52" s="280">
        <v>40.200000000000003</v>
      </c>
      <c r="I52">
        <f t="shared" si="0"/>
        <v>-25.528809035988285</v>
      </c>
    </row>
    <row r="53" spans="1:9">
      <c r="A53" s="278" t="s">
        <v>641</v>
      </c>
      <c r="B53" s="278" t="s">
        <v>657</v>
      </c>
      <c r="C53" s="273">
        <v>28.9</v>
      </c>
      <c r="D53" s="280">
        <v>52.400000000000006</v>
      </c>
      <c r="I53">
        <f t="shared" si="0"/>
        <v>-11.90410655432688</v>
      </c>
    </row>
    <row r="54" spans="1:9">
      <c r="A54" s="278" t="s">
        <v>642</v>
      </c>
      <c r="B54" s="278" t="s">
        <v>657</v>
      </c>
      <c r="C54" s="273">
        <v>25.7</v>
      </c>
      <c r="D54" s="280">
        <v>57.3</v>
      </c>
      <c r="I54">
        <f t="shared" si="0"/>
        <v>-3.7476437391008304</v>
      </c>
    </row>
    <row r="55" spans="1:9">
      <c r="A55" s="278" t="s">
        <v>643</v>
      </c>
      <c r="B55" s="278" t="s">
        <v>657</v>
      </c>
      <c r="C55" s="273">
        <v>24.4</v>
      </c>
      <c r="D55" s="280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4"/>
  <sheetViews>
    <sheetView workbookViewId="0">
      <selection activeCell="A5" sqref="A5:A64"/>
    </sheetView>
  </sheetViews>
  <sheetFormatPr defaultColWidth="9.1796875" defaultRowHeight="14.5"/>
  <cols>
    <col min="1" max="1" width="9.36328125" customWidth="1"/>
    <col min="2" max="2" width="18.1796875" style="4" bestFit="1" customWidth="1"/>
    <col min="3" max="3" width="18.26953125" style="4" customWidth="1"/>
    <col min="4" max="4" width="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 ht="21">
      <c r="A1" s="266" t="s">
        <v>871</v>
      </c>
      <c r="B1" s="234"/>
      <c r="C1" s="234"/>
      <c r="D1" s="310"/>
    </row>
    <row r="2" spans="1:12">
      <c r="A2" s="234"/>
      <c r="B2" s="255"/>
      <c r="C2" s="255"/>
    </row>
    <row r="3" spans="1:12">
      <c r="A3" s="237" t="s">
        <v>43</v>
      </c>
      <c r="B3" s="284" t="s">
        <v>60</v>
      </c>
      <c r="C3" s="284"/>
      <c r="E3" s="285" t="s">
        <v>59</v>
      </c>
      <c r="F3" s="285"/>
      <c r="G3" s="3"/>
      <c r="H3" s="3"/>
      <c r="I3" s="164" t="s">
        <v>158</v>
      </c>
      <c r="J3" s="1">
        <v>3.0000000000000001E-3</v>
      </c>
    </row>
    <row r="4" spans="1:12" ht="18" customHeight="1">
      <c r="A4" s="234"/>
      <c r="B4" s="235" t="s">
        <v>44</v>
      </c>
      <c r="C4" s="235" t="s">
        <v>45</v>
      </c>
      <c r="E4" s="3" t="s">
        <v>489</v>
      </c>
      <c r="F4" s="3" t="s">
        <v>229</v>
      </c>
      <c r="G4" s="4"/>
      <c r="H4" s="3" t="s">
        <v>487</v>
      </c>
    </row>
    <row r="5" spans="1:12">
      <c r="A5" s="268">
        <v>43496</v>
      </c>
      <c r="B5" s="269">
        <v>2.5182962346577898E-2</v>
      </c>
      <c r="C5" s="269">
        <v>1.152141169120342E-2</v>
      </c>
      <c r="E5" s="5">
        <f>B5-$J$3</f>
        <v>2.2182962346577899E-2</v>
      </c>
      <c r="F5" s="5">
        <f>C5-$J$3</f>
        <v>8.5214116912034205E-3</v>
      </c>
      <c r="G5" s="5"/>
      <c r="H5" s="5">
        <f t="shared" ref="H5:H36" si="0">E5-($J$7+$K$7*F5)</f>
        <v>1.549916346433756E-2</v>
      </c>
      <c r="J5" s="3" t="s">
        <v>65</v>
      </c>
      <c r="K5" s="3" t="s">
        <v>68</v>
      </c>
    </row>
    <row r="6" spans="1:12">
      <c r="A6" s="268">
        <f>EDATE(A5,1)</f>
        <v>43524</v>
      </c>
      <c r="B6" s="269">
        <v>-8.6761985707725198E-2</v>
      </c>
      <c r="C6" s="269">
        <v>2.5410062150882498E-2</v>
      </c>
      <c r="E6" s="5">
        <f t="shared" ref="E6:E64" si="1">B6-$J$3</f>
        <v>-8.97619857077252E-2</v>
      </c>
      <c r="F6" s="5">
        <f t="shared" ref="F6:F64" si="2">C6-$J$3</f>
        <v>2.2410062150882499E-2</v>
      </c>
      <c r="G6" s="5"/>
      <c r="H6" s="5">
        <f t="shared" si="0"/>
        <v>-0.1116928659663398</v>
      </c>
      <c r="J6" s="5">
        <f>INTERCEPT(E5:E64,F5:F64)</f>
        <v>-2.6710810518873872E-3</v>
      </c>
      <c r="K6" s="6">
        <f>SLOPE(E5:E64,F5:F64)</f>
        <v>1.0978087050746166</v>
      </c>
      <c r="L6" t="s">
        <v>49</v>
      </c>
    </row>
    <row r="7" spans="1:12">
      <c r="A7" s="268">
        <f t="shared" ref="A7:A64" si="3">EDATE(A6,1)</f>
        <v>43552</v>
      </c>
      <c r="B7" s="269">
        <v>-2.0304467045389501E-2</v>
      </c>
      <c r="C7" s="269">
        <v>-4.54728549219015E-2</v>
      </c>
      <c r="E7" s="5">
        <f t="shared" si="1"/>
        <v>-2.33044670453895E-2</v>
      </c>
      <c r="F7" s="5">
        <f t="shared" si="2"/>
        <v>-4.8472854921901502E-2</v>
      </c>
      <c r="G7" s="5"/>
      <c r="H7" s="5">
        <f t="shared" si="0"/>
        <v>3.2580536099580303E-2</v>
      </c>
      <c r="J7" s="5">
        <f>AVERAGE(E5:E64)-K7*AVERAGE(F5:F64)</f>
        <v>-2.671081051887382E-3</v>
      </c>
      <c r="K7" s="6">
        <f>COVAR(E5:E64,F5:F64)/VARP(F5:F64)</f>
        <v>1.0978087050746161</v>
      </c>
      <c r="L7" t="s">
        <v>668</v>
      </c>
    </row>
    <row r="8" spans="1:12">
      <c r="A8" s="268">
        <f t="shared" si="3"/>
        <v>43583</v>
      </c>
      <c r="B8" s="269">
        <v>-1.72427921787313E-2</v>
      </c>
      <c r="C8" s="269">
        <v>2.2103700473733699E-2</v>
      </c>
      <c r="E8" s="5">
        <f t="shared" si="1"/>
        <v>-2.02427921787313E-2</v>
      </c>
      <c r="F8" s="5">
        <f t="shared" si="2"/>
        <v>1.9103700473733699E-2</v>
      </c>
      <c r="G8" s="5"/>
      <c r="H8" s="5">
        <f t="shared" si="0"/>
        <v>-3.8543919806046836E-2</v>
      </c>
    </row>
    <row r="9" spans="1:12">
      <c r="A9" s="268">
        <f t="shared" si="3"/>
        <v>43613</v>
      </c>
      <c r="B9" s="269">
        <v>0.116609432892105</v>
      </c>
      <c r="C9" s="269">
        <v>-2.0756659839374601E-2</v>
      </c>
      <c r="E9" s="5">
        <f t="shared" si="1"/>
        <v>0.113609432892105</v>
      </c>
      <c r="F9" s="5">
        <f t="shared" si="2"/>
        <v>-2.37566598393746E-2</v>
      </c>
      <c r="G9" s="5"/>
      <c r="H9" s="5">
        <f t="shared" si="0"/>
        <v>0.14236078191915436</v>
      </c>
      <c r="J9" s="1" t="s">
        <v>488</v>
      </c>
      <c r="K9" s="3"/>
    </row>
    <row r="10" spans="1:12">
      <c r="A10" s="268">
        <f t="shared" si="3"/>
        <v>43644</v>
      </c>
      <c r="B10" s="269">
        <v>-7.0972345326888999E-3</v>
      </c>
      <c r="C10" s="269">
        <v>5.8078852746478102E-2</v>
      </c>
      <c r="E10" s="5">
        <f t="shared" si="1"/>
        <v>-1.00972345326889E-2</v>
      </c>
      <c r="F10" s="5">
        <f t="shared" si="2"/>
        <v>5.5078852746478099E-2</v>
      </c>
      <c r="G10" s="5"/>
      <c r="H10" s="5">
        <f t="shared" si="0"/>
        <v>-6.789219749140811E-2</v>
      </c>
      <c r="J10" s="19">
        <f>COVAR(F5:F64,H5:H64)</f>
        <v>7.9508159315603655E-19</v>
      </c>
      <c r="K10" s="18"/>
    </row>
    <row r="11" spans="1:12">
      <c r="A11" s="268">
        <f t="shared" si="3"/>
        <v>43674</v>
      </c>
      <c r="B11" s="269">
        <v>-9.8414784852537997E-3</v>
      </c>
      <c r="C11" s="269">
        <v>-1.7397045101593102E-2</v>
      </c>
      <c r="E11" s="5">
        <f t="shared" si="1"/>
        <v>-1.2841478485253799E-2</v>
      </c>
      <c r="F11" s="5">
        <f t="shared" si="2"/>
        <v>-2.0397045101593101E-2</v>
      </c>
      <c r="G11" s="5"/>
      <c r="H11" s="5">
        <f t="shared" si="0"/>
        <v>1.2221656236962048E-2</v>
      </c>
    </row>
    <row r="12" spans="1:12">
      <c r="A12" s="268">
        <f t="shared" si="3"/>
        <v>43705</v>
      </c>
      <c r="B12" s="269">
        <v>1.0854735804716961E-2</v>
      </c>
      <c r="C12" s="269">
        <v>4.88817497411013E-2</v>
      </c>
      <c r="E12" s="5">
        <f t="shared" si="1"/>
        <v>7.8547358047169613E-3</v>
      </c>
      <c r="F12" s="5">
        <f t="shared" si="2"/>
        <v>4.5881749741101298E-2</v>
      </c>
      <c r="G12" s="5"/>
      <c r="H12" s="5">
        <f t="shared" si="0"/>
        <v>-3.9843567413231674E-2</v>
      </c>
      <c r="K12" s="3"/>
    </row>
    <row r="13" spans="1:12">
      <c r="A13" s="268">
        <f t="shared" si="3"/>
        <v>43736</v>
      </c>
      <c r="B13" s="269">
        <v>0.14091204483654501</v>
      </c>
      <c r="C13" s="269">
        <v>6.2528386729888696E-2</v>
      </c>
      <c r="E13" s="5">
        <f t="shared" si="1"/>
        <v>0.13791204483654501</v>
      </c>
      <c r="F13" s="5">
        <f t="shared" si="2"/>
        <v>5.9528386729888694E-2</v>
      </c>
      <c r="G13" s="5"/>
      <c r="H13" s="5">
        <f t="shared" si="0"/>
        <v>7.5232344737312329E-2</v>
      </c>
      <c r="K13" s="16"/>
    </row>
    <row r="14" spans="1:12">
      <c r="A14" s="268">
        <f t="shared" si="3"/>
        <v>43766</v>
      </c>
      <c r="B14" s="269">
        <v>1.31942546426576E-2</v>
      </c>
      <c r="C14" s="269">
        <v>5.3322150458580998E-3</v>
      </c>
      <c r="E14" s="5">
        <f t="shared" si="1"/>
        <v>1.0194254642657601E-2</v>
      </c>
      <c r="F14" s="5">
        <f t="shared" si="2"/>
        <v>2.3322150458580998E-3</v>
      </c>
      <c r="G14" s="5"/>
      <c r="H14" s="5">
        <f t="shared" si="0"/>
        <v>1.0305009715095965E-2</v>
      </c>
      <c r="J14" s="15"/>
      <c r="K14" s="16"/>
    </row>
    <row r="15" spans="1:12">
      <c r="A15" s="268">
        <f t="shared" si="3"/>
        <v>43797</v>
      </c>
      <c r="B15" s="269">
        <v>3.2527548292968098E-2</v>
      </c>
      <c r="C15" s="269">
        <v>5.6016302358620006E-2</v>
      </c>
      <c r="E15" s="5">
        <f t="shared" si="1"/>
        <v>2.9527548292968098E-2</v>
      </c>
      <c r="F15" s="5">
        <f t="shared" si="2"/>
        <v>5.3016302358620003E-2</v>
      </c>
      <c r="G15" s="5"/>
      <c r="H15" s="5">
        <f t="shared" si="0"/>
        <v>-2.6003128895305466E-2</v>
      </c>
    </row>
    <row r="16" spans="1:12">
      <c r="A16" s="268">
        <f t="shared" si="3"/>
        <v>43827</v>
      </c>
      <c r="B16" s="269">
        <v>-3.5665874941507103E-3</v>
      </c>
      <c r="C16" s="269">
        <v>3.3058622845351E-2</v>
      </c>
      <c r="E16" s="5">
        <f t="shared" si="1"/>
        <v>-6.5665874941507104E-3</v>
      </c>
      <c r="F16" s="5">
        <f t="shared" si="2"/>
        <v>3.0058622845351001E-2</v>
      </c>
      <c r="G16" s="5"/>
      <c r="H16" s="5">
        <f t="shared" si="0"/>
        <v>-3.6894124264444383E-2</v>
      </c>
    </row>
    <row r="17" spans="1:11">
      <c r="A17" s="268">
        <f t="shared" si="3"/>
        <v>43858</v>
      </c>
      <c r="B17" s="269">
        <v>0.20074955650706899</v>
      </c>
      <c r="C17" s="269">
        <v>3.0172383828114401E-2</v>
      </c>
      <c r="E17" s="5">
        <f t="shared" si="1"/>
        <v>0.19774955650706899</v>
      </c>
      <c r="F17" s="5">
        <f t="shared" si="2"/>
        <v>2.7172383828114401E-2</v>
      </c>
      <c r="G17" s="5"/>
      <c r="H17" s="5">
        <f t="shared" si="0"/>
        <v>0.17059055805482365</v>
      </c>
      <c r="K17" s="4"/>
    </row>
    <row r="18" spans="1:11">
      <c r="A18" s="268">
        <f t="shared" si="3"/>
        <v>43889</v>
      </c>
      <c r="B18" s="269">
        <v>-5.0696073159361199E-2</v>
      </c>
      <c r="C18" s="269">
        <v>-5.8276268537547894E-2</v>
      </c>
      <c r="E18" s="5">
        <f t="shared" si="1"/>
        <v>-5.3696073159361202E-2</v>
      </c>
      <c r="F18" s="5">
        <f t="shared" si="2"/>
        <v>-6.1276268537547897E-2</v>
      </c>
      <c r="G18" s="5"/>
      <c r="H18" s="5">
        <f t="shared" si="0"/>
        <v>1.6244628907536085E-2</v>
      </c>
    </row>
    <row r="19" spans="1:11">
      <c r="A19" s="268">
        <f t="shared" si="3"/>
        <v>43918</v>
      </c>
      <c r="B19" s="269">
        <v>2.0428722300300999E-2</v>
      </c>
      <c r="C19" s="269">
        <v>4.7956631716191299E-3</v>
      </c>
      <c r="E19" s="5">
        <f t="shared" si="1"/>
        <v>1.7428722300301E-2</v>
      </c>
      <c r="F19" s="5">
        <f t="shared" si="2"/>
        <v>1.7956631716191298E-3</v>
      </c>
      <c r="G19" s="5"/>
      <c r="H19" s="5">
        <f t="shared" si="0"/>
        <v>1.8128508691003006E-2</v>
      </c>
    </row>
    <row r="20" spans="1:11">
      <c r="A20" s="268">
        <f t="shared" si="3"/>
        <v>43949</v>
      </c>
      <c r="B20" s="269">
        <v>-7.8471835351294997E-2</v>
      </c>
      <c r="C20" s="269">
        <v>-1.00573600590446E-2</v>
      </c>
      <c r="E20" s="5">
        <f t="shared" si="1"/>
        <v>-8.1471835351294999E-2</v>
      </c>
      <c r="F20" s="5">
        <f t="shared" si="2"/>
        <v>-1.30573600590446E-2</v>
      </c>
      <c r="G20" s="5"/>
      <c r="H20" s="5">
        <f t="shared" si="0"/>
        <v>-6.4466270761294853E-2</v>
      </c>
    </row>
    <row r="21" spans="1:11">
      <c r="A21" s="268">
        <f t="shared" si="3"/>
        <v>43979</v>
      </c>
      <c r="B21" s="269">
        <v>0.111397417852964</v>
      </c>
      <c r="C21" s="269">
        <v>4.4465168433367799E-2</v>
      </c>
      <c r="E21" s="5">
        <f t="shared" si="1"/>
        <v>0.108397417852964</v>
      </c>
      <c r="F21" s="5">
        <f t="shared" si="2"/>
        <v>4.1465168433367797E-2</v>
      </c>
      <c r="G21" s="5"/>
      <c r="H21" s="5">
        <f t="shared" si="0"/>
        <v>6.5547676041315034E-2</v>
      </c>
    </row>
    <row r="22" spans="1:11">
      <c r="A22" s="268">
        <f t="shared" si="3"/>
        <v>44010</v>
      </c>
      <c r="B22" s="269">
        <v>-2.9100945040153901E-2</v>
      </c>
      <c r="C22" s="269">
        <v>-1.7268801009020202E-2</v>
      </c>
      <c r="E22" s="5">
        <f t="shared" si="1"/>
        <v>-3.21009450401539E-2</v>
      </c>
      <c r="F22" s="5">
        <f t="shared" si="2"/>
        <v>-2.0268801009020201E-2</v>
      </c>
      <c r="G22" s="5"/>
      <c r="H22" s="5">
        <f t="shared" si="0"/>
        <v>-7.1785977991389791E-3</v>
      </c>
    </row>
    <row r="23" spans="1:11">
      <c r="A23" s="268">
        <f t="shared" si="3"/>
        <v>44040</v>
      </c>
      <c r="B23" s="269">
        <v>-4.0209193258418496E-3</v>
      </c>
      <c r="C23" s="269">
        <v>4.11812462563712E-2</v>
      </c>
      <c r="E23" s="5">
        <f t="shared" si="1"/>
        <v>-7.0209193258418496E-3</v>
      </c>
      <c r="F23" s="5">
        <f t="shared" si="2"/>
        <v>3.8181246256371197E-2</v>
      </c>
      <c r="G23" s="5"/>
      <c r="H23" s="5">
        <f t="shared" si="0"/>
        <v>-4.6265542784796367E-2</v>
      </c>
    </row>
    <row r="24" spans="1:11">
      <c r="A24" s="268">
        <f t="shared" si="3"/>
        <v>44071</v>
      </c>
      <c r="B24" s="269">
        <v>-0.12168195120830999</v>
      </c>
      <c r="C24" s="269">
        <v>3.6724892539691904E-2</v>
      </c>
      <c r="E24" s="5">
        <f t="shared" si="1"/>
        <v>-0.12468195120830999</v>
      </c>
      <c r="F24" s="5">
        <f t="shared" si="2"/>
        <v>3.3724892539691902E-2</v>
      </c>
      <c r="G24" s="5"/>
      <c r="H24" s="5">
        <f t="shared" si="0"/>
        <v>-0.15903435076420236</v>
      </c>
    </row>
    <row r="25" spans="1:11">
      <c r="A25" s="268">
        <f t="shared" si="3"/>
        <v>44102</v>
      </c>
      <c r="B25" s="269">
        <v>-2.40514146945804E-2</v>
      </c>
      <c r="C25" s="269">
        <v>-5.6383629338677905E-3</v>
      </c>
      <c r="E25" s="5">
        <f t="shared" si="1"/>
        <v>-2.7051414694580399E-2</v>
      </c>
      <c r="F25" s="5">
        <f t="shared" si="2"/>
        <v>-8.6383629338677905E-3</v>
      </c>
      <c r="G25" s="5"/>
      <c r="H25" s="5">
        <f t="shared" si="0"/>
        <v>-1.4897063616299056E-2</v>
      </c>
    </row>
    <row r="26" spans="1:11">
      <c r="A26" s="268">
        <f t="shared" si="3"/>
        <v>44132</v>
      </c>
      <c r="B26" s="269">
        <v>-3.5532505894619294E-2</v>
      </c>
      <c r="C26" s="269">
        <v>-0.11381330040516499</v>
      </c>
      <c r="E26" s="5">
        <f t="shared" si="1"/>
        <v>-3.8532505894619297E-2</v>
      </c>
      <c r="F26" s="5">
        <f t="shared" si="2"/>
        <v>-0.11681330040516499</v>
      </c>
      <c r="G26" s="5"/>
      <c r="H26" s="5">
        <f t="shared" si="0"/>
        <v>9.237723321055441E-2</v>
      </c>
    </row>
    <row r="27" spans="1:11">
      <c r="A27" s="268">
        <f t="shared" si="3"/>
        <v>44163</v>
      </c>
      <c r="B27" s="269">
        <v>4.1395944931969006E-2</v>
      </c>
      <c r="C27" s="269">
        <v>7.9351350854721697E-2</v>
      </c>
      <c r="E27" s="5">
        <f t="shared" si="1"/>
        <v>3.8395944931969003E-2</v>
      </c>
      <c r="F27" s="5">
        <f t="shared" si="2"/>
        <v>7.6351350854721695E-2</v>
      </c>
      <c r="G27" s="5"/>
      <c r="H27" s="5">
        <f t="shared" si="0"/>
        <v>-4.2752151628663318E-2</v>
      </c>
    </row>
    <row r="28" spans="1:11">
      <c r="A28" s="268">
        <f t="shared" si="3"/>
        <v>44193</v>
      </c>
      <c r="B28" s="269">
        <v>-0.17951663949211799</v>
      </c>
      <c r="C28" s="269">
        <v>-0.15604308819707799</v>
      </c>
      <c r="E28" s="5">
        <f t="shared" si="1"/>
        <v>-0.18251663949211799</v>
      </c>
      <c r="F28" s="5">
        <f t="shared" si="2"/>
        <v>-0.15904308819707799</v>
      </c>
      <c r="G28" s="5"/>
      <c r="H28" s="5">
        <f t="shared" si="0"/>
        <v>-5.246671735528452E-3</v>
      </c>
    </row>
    <row r="29" spans="1:11">
      <c r="A29" s="268">
        <f t="shared" si="3"/>
        <v>44224</v>
      </c>
      <c r="B29" s="269">
        <v>0.139978193081642</v>
      </c>
      <c r="C29" s="269">
        <v>0.12725161326137099</v>
      </c>
      <c r="E29" s="5">
        <f t="shared" si="1"/>
        <v>0.136978193081642</v>
      </c>
      <c r="F29" s="5">
        <f t="shared" si="2"/>
        <v>0.12425161326137099</v>
      </c>
      <c r="G29" s="5"/>
      <c r="H29" s="5">
        <f t="shared" si="0"/>
        <v>3.2447714756316803E-3</v>
      </c>
    </row>
    <row r="30" spans="1:11">
      <c r="A30" s="268">
        <f t="shared" si="3"/>
        <v>44255</v>
      </c>
      <c r="B30" s="269">
        <v>3.5278712118949201E-2</v>
      </c>
      <c r="C30" s="269">
        <v>3.2127668980815899E-2</v>
      </c>
      <c r="E30" s="5">
        <f t="shared" si="1"/>
        <v>3.2278712118949199E-2</v>
      </c>
      <c r="F30" s="5">
        <f t="shared" si="2"/>
        <v>2.91276689808159E-2</v>
      </c>
      <c r="G30" s="5"/>
      <c r="H30" s="5">
        <f t="shared" si="0"/>
        <v>2.9731846051650121E-3</v>
      </c>
    </row>
    <row r="31" spans="1:11">
      <c r="A31" s="268">
        <f t="shared" si="3"/>
        <v>44283</v>
      </c>
      <c r="B31" s="269">
        <v>-9.8210280176986992E-2</v>
      </c>
      <c r="C31" s="269">
        <v>-1.7509789707263503E-2</v>
      </c>
      <c r="E31" s="5">
        <f t="shared" si="1"/>
        <v>-0.10121028017698699</v>
      </c>
      <c r="F31" s="5">
        <f t="shared" si="2"/>
        <v>-2.0509789707263502E-2</v>
      </c>
      <c r="G31" s="5"/>
      <c r="H31" s="5">
        <f t="shared" si="0"/>
        <v>-7.602337344521598E-2</v>
      </c>
    </row>
    <row r="32" spans="1:11">
      <c r="A32" s="268">
        <f t="shared" si="3"/>
        <v>44314</v>
      </c>
      <c r="B32" s="269">
        <v>7.0455354082571003E-2</v>
      </c>
      <c r="C32" s="269">
        <v>4.9334655915087899E-2</v>
      </c>
      <c r="E32" s="5">
        <f t="shared" si="1"/>
        <v>6.7455354082571001E-2</v>
      </c>
      <c r="F32" s="5">
        <f t="shared" si="2"/>
        <v>4.6334655915087897E-2</v>
      </c>
      <c r="G32" s="5"/>
      <c r="H32" s="5">
        <f t="shared" si="0"/>
        <v>1.9259846524237838E-2</v>
      </c>
    </row>
    <row r="33" spans="1:8">
      <c r="A33" s="268">
        <f t="shared" si="3"/>
        <v>44344</v>
      </c>
      <c r="B33" s="269">
        <v>-0.205267293915469</v>
      </c>
      <c r="C33" s="269">
        <v>-0.10628361826774199</v>
      </c>
      <c r="E33" s="5">
        <f t="shared" si="1"/>
        <v>-0.208267293915469</v>
      </c>
      <c r="F33" s="5">
        <f t="shared" si="2"/>
        <v>-0.10928361826774199</v>
      </c>
      <c r="G33" s="5"/>
      <c r="H33" s="5">
        <f t="shared" si="0"/>
        <v>-8.5623705407203099E-2</v>
      </c>
    </row>
    <row r="34" spans="1:8">
      <c r="A34" s="268">
        <f t="shared" si="3"/>
        <v>44375</v>
      </c>
      <c r="B34" s="269">
        <v>0.148200561793421</v>
      </c>
      <c r="C34" s="269">
        <v>9.5683179806197699E-2</v>
      </c>
      <c r="E34" s="5">
        <f t="shared" si="1"/>
        <v>0.145200561793421</v>
      </c>
      <c r="F34" s="5">
        <f t="shared" si="2"/>
        <v>9.2683179806197696E-2</v>
      </c>
      <c r="G34" s="5"/>
      <c r="H34" s="5">
        <f t="shared" si="0"/>
        <v>4.6123241240068669E-2</v>
      </c>
    </row>
    <row r="35" spans="1:8">
      <c r="A35" s="268">
        <f t="shared" si="3"/>
        <v>44405</v>
      </c>
      <c r="B35" s="269">
        <v>2.6259047724647298E-2</v>
      </c>
      <c r="C35" s="269">
        <v>3.3218774014539501E-2</v>
      </c>
      <c r="E35" s="5">
        <f t="shared" si="1"/>
        <v>2.3259047724647298E-2</v>
      </c>
      <c r="F35" s="5">
        <f t="shared" si="2"/>
        <v>3.0218774014539502E-2</v>
      </c>
      <c r="G35" s="5"/>
      <c r="H35" s="5">
        <f t="shared" si="0"/>
        <v>-7.244304393309392E-3</v>
      </c>
    </row>
    <row r="36" spans="1:8">
      <c r="A36" s="268">
        <f t="shared" si="3"/>
        <v>44436</v>
      </c>
      <c r="B36" s="269">
        <v>-4.0010916760900496E-2</v>
      </c>
      <c r="C36" s="269">
        <v>-6.0580023358719592E-2</v>
      </c>
      <c r="E36" s="5">
        <f t="shared" si="1"/>
        <v>-4.3010916760900499E-2</v>
      </c>
      <c r="F36" s="5">
        <f t="shared" si="2"/>
        <v>-6.3580023358719595E-2</v>
      </c>
      <c r="G36" s="5"/>
      <c r="H36" s="5">
        <f t="shared" si="0"/>
        <v>2.945886740303668E-2</v>
      </c>
    </row>
    <row r="37" spans="1:8">
      <c r="A37" s="268">
        <f t="shared" si="3"/>
        <v>44467</v>
      </c>
      <c r="B37" s="269">
        <v>0.15621641507971101</v>
      </c>
      <c r="C37" s="269">
        <v>3.8969584991114303E-2</v>
      </c>
      <c r="E37" s="5">
        <f t="shared" si="1"/>
        <v>0.15321641507971101</v>
      </c>
      <c r="F37" s="5">
        <f t="shared" si="2"/>
        <v>3.5969584991114301E-2</v>
      </c>
      <c r="G37" s="5"/>
      <c r="H37" s="5">
        <f t="shared" ref="H37:H64" si="4">E37-($J$7+$K$7*F37)</f>
        <v>0.11639977261043186</v>
      </c>
    </row>
    <row r="38" spans="1:8">
      <c r="A38" s="268">
        <f t="shared" si="3"/>
        <v>44497</v>
      </c>
      <c r="B38" s="269">
        <v>-1.01846453490003E-2</v>
      </c>
      <c r="C38" s="269">
        <v>2.5120292168954898E-2</v>
      </c>
      <c r="E38" s="5">
        <f t="shared" si="1"/>
        <v>-1.3184645349000299E-2</v>
      </c>
      <c r="F38" s="5">
        <f t="shared" si="2"/>
        <v>2.2120292168954898E-2</v>
      </c>
      <c r="G38" s="5"/>
      <c r="H38" s="5">
        <f t="shared" si="4"/>
        <v>-3.4797413598985465E-2</v>
      </c>
    </row>
    <row r="39" spans="1:8">
      <c r="A39" s="268">
        <f t="shared" si="3"/>
        <v>44528</v>
      </c>
      <c r="B39" s="269">
        <v>6.0822730391026605E-2</v>
      </c>
      <c r="C39" s="269">
        <v>3.7466271098565505E-2</v>
      </c>
      <c r="E39" s="5">
        <f t="shared" si="1"/>
        <v>5.7822730391026603E-2</v>
      </c>
      <c r="F39" s="5">
        <f t="shared" si="2"/>
        <v>3.4466271098565503E-2</v>
      </c>
      <c r="G39" s="5"/>
      <c r="H39" s="5">
        <f t="shared" si="4"/>
        <v>2.2656438999447123E-2</v>
      </c>
    </row>
    <row r="40" spans="1:8">
      <c r="A40" s="268">
        <f t="shared" si="3"/>
        <v>44558</v>
      </c>
      <c r="B40" s="269">
        <v>3.5917244416862303E-2</v>
      </c>
      <c r="C40" s="269">
        <v>2.0970125023636989E-3</v>
      </c>
      <c r="E40" s="5">
        <f t="shared" si="1"/>
        <v>3.29172444168623E-2</v>
      </c>
      <c r="F40" s="5">
        <f t="shared" si="2"/>
        <v>-9.0298749763630115E-4</v>
      </c>
      <c r="G40" s="5"/>
      <c r="H40" s="5">
        <f t="shared" si="4"/>
        <v>3.6579633004228354E-2</v>
      </c>
    </row>
    <row r="41" spans="1:8">
      <c r="A41" s="268">
        <f t="shared" si="3"/>
        <v>44589</v>
      </c>
      <c r="B41" s="269">
        <v>-8.9169167509448991E-2</v>
      </c>
      <c r="C41" s="269">
        <v>-1.76778248467599E-2</v>
      </c>
      <c r="E41" s="5">
        <f t="shared" si="1"/>
        <v>-9.2169167509448993E-2</v>
      </c>
      <c r="F41" s="5">
        <f t="shared" si="2"/>
        <v>-2.0677824846759899E-2</v>
      </c>
      <c r="G41" s="5"/>
      <c r="H41" s="5">
        <f t="shared" si="4"/>
        <v>-6.6797790338780402E-2</v>
      </c>
    </row>
    <row r="42" spans="1:8">
      <c r="A42" s="268">
        <f t="shared" si="3"/>
        <v>44620</v>
      </c>
      <c r="B42" s="269">
        <v>-0.11915761434178899</v>
      </c>
      <c r="C42" s="269">
        <v>-0.119083004887131</v>
      </c>
      <c r="E42" s="5">
        <f t="shared" si="1"/>
        <v>-0.122157614341789</v>
      </c>
      <c r="F42" s="5">
        <f t="shared" si="2"/>
        <v>-0.122083004887131</v>
      </c>
      <c r="G42" s="5"/>
      <c r="H42" s="5">
        <f t="shared" si="4"/>
        <v>1.4537252216857685E-2</v>
      </c>
    </row>
    <row r="43" spans="1:8">
      <c r="A43" s="268">
        <f t="shared" si="3"/>
        <v>44648</v>
      </c>
      <c r="B43" s="269">
        <v>-0.30750511603481301</v>
      </c>
      <c r="C43" s="269">
        <v>-0.20472408929437599</v>
      </c>
      <c r="E43" s="5">
        <f t="shared" si="1"/>
        <v>-0.31050511603481301</v>
      </c>
      <c r="F43" s="5">
        <f t="shared" si="2"/>
        <v>-0.207724089294376</v>
      </c>
      <c r="G43" s="5"/>
      <c r="H43" s="5">
        <f t="shared" si="4"/>
        <v>-7.9792721501862784E-2</v>
      </c>
    </row>
    <row r="44" spans="1:8">
      <c r="A44" s="268">
        <f t="shared" si="3"/>
        <v>44679</v>
      </c>
      <c r="B44" s="269">
        <v>0.30749909757289101</v>
      </c>
      <c r="C44" s="269">
        <v>0.10458215762091601</v>
      </c>
      <c r="E44" s="5">
        <f t="shared" si="1"/>
        <v>0.30449909757289101</v>
      </c>
      <c r="F44" s="5">
        <f t="shared" si="2"/>
        <v>0.10158215762091601</v>
      </c>
      <c r="G44" s="5"/>
      <c r="H44" s="5">
        <f t="shared" si="4"/>
        <v>0.19565240170827505</v>
      </c>
    </row>
    <row r="45" spans="1:8">
      <c r="A45" s="268">
        <f t="shared" si="3"/>
        <v>44709</v>
      </c>
      <c r="B45" s="269">
        <v>6.2313587502138106E-2</v>
      </c>
      <c r="C45" s="269">
        <v>8.95944395031298E-2</v>
      </c>
      <c r="E45" s="5">
        <f t="shared" si="1"/>
        <v>5.9313587502138103E-2</v>
      </c>
      <c r="F45" s="5">
        <f t="shared" si="2"/>
        <v>8.6594439503129797E-2</v>
      </c>
      <c r="G45" s="5"/>
      <c r="H45" s="5">
        <f t="shared" si="4"/>
        <v>-3.3079460943567625E-2</v>
      </c>
    </row>
    <row r="46" spans="1:8">
      <c r="A46" s="268">
        <f t="shared" si="3"/>
        <v>44740</v>
      </c>
      <c r="B46" s="269">
        <v>1.7627240298858E-2</v>
      </c>
      <c r="C46" s="269">
        <v>1.7412456887686199E-2</v>
      </c>
      <c r="E46" s="5">
        <f t="shared" si="1"/>
        <v>1.4627240298858001E-2</v>
      </c>
      <c r="F46" s="5">
        <f t="shared" si="2"/>
        <v>1.4412456887686199E-2</v>
      </c>
      <c r="G46" s="5"/>
      <c r="H46" s="5">
        <f t="shared" si="4"/>
        <v>1.4762007179308645E-3</v>
      </c>
    </row>
    <row r="47" spans="1:8">
      <c r="A47" s="268">
        <f t="shared" si="3"/>
        <v>44770</v>
      </c>
      <c r="B47" s="269">
        <v>1.1060620643366149E-2</v>
      </c>
      <c r="C47" s="269">
        <v>3.4025284296987798E-2</v>
      </c>
      <c r="E47" s="5">
        <f t="shared" si="1"/>
        <v>8.0606206433661495E-3</v>
      </c>
      <c r="F47" s="5">
        <f t="shared" si="2"/>
        <v>3.1025284296987799E-2</v>
      </c>
      <c r="G47" s="5"/>
      <c r="H47" s="5">
        <f t="shared" si="4"/>
        <v>-2.3328125483394468E-2</v>
      </c>
    </row>
    <row r="48" spans="1:8">
      <c r="A48" s="268">
        <f t="shared" si="3"/>
        <v>44801</v>
      </c>
      <c r="B48" s="269">
        <v>0.20767488447538801</v>
      </c>
      <c r="C48" s="269">
        <v>0.113275207392195</v>
      </c>
      <c r="E48" s="5">
        <f t="shared" si="1"/>
        <v>0.20467488447538801</v>
      </c>
      <c r="F48" s="5">
        <f t="shared" si="2"/>
        <v>0.110275207392195</v>
      </c>
      <c r="G48" s="5"/>
      <c r="H48" s="5">
        <f t="shared" si="4"/>
        <v>8.6284882898215065E-2</v>
      </c>
    </row>
    <row r="49" spans="1:8">
      <c r="A49" s="268">
        <f t="shared" si="3"/>
        <v>44832</v>
      </c>
      <c r="B49" s="269">
        <v>-6.6696210673137898E-2</v>
      </c>
      <c r="C49" s="269">
        <v>-3.49213608069492E-2</v>
      </c>
      <c r="E49" s="5">
        <f t="shared" si="1"/>
        <v>-6.9696210673137901E-2</v>
      </c>
      <c r="F49" s="5">
        <f t="shared" si="2"/>
        <v>-3.7921360806949203E-2</v>
      </c>
      <c r="G49" s="5"/>
      <c r="H49" s="5">
        <f t="shared" si="4"/>
        <v>-2.5394729619106313E-2</v>
      </c>
    </row>
    <row r="50" spans="1:8">
      <c r="A50" s="268">
        <f t="shared" si="3"/>
        <v>44862</v>
      </c>
      <c r="B50" s="269">
        <v>4.30659762997758E-2</v>
      </c>
      <c r="C50" s="269">
        <v>1.022264608694963E-2</v>
      </c>
      <c r="E50" s="5">
        <f t="shared" si="1"/>
        <v>4.0065976299775798E-2</v>
      </c>
      <c r="F50" s="5">
        <f t="shared" si="2"/>
        <v>7.2226460869496299E-3</v>
      </c>
      <c r="G50" s="5"/>
      <c r="H50" s="5">
        <f t="shared" si="4"/>
        <v>3.4807973603736761E-2</v>
      </c>
    </row>
    <row r="51" spans="1:8">
      <c r="A51" s="268">
        <f t="shared" si="3"/>
        <v>44893</v>
      </c>
      <c r="B51" s="269">
        <v>0.17780208468268902</v>
      </c>
      <c r="C51" s="269">
        <v>0.19183377549150502</v>
      </c>
      <c r="E51" s="5">
        <f t="shared" si="1"/>
        <v>0.17480208468268901</v>
      </c>
      <c r="F51" s="5">
        <f t="shared" si="2"/>
        <v>0.18883377549150501</v>
      </c>
      <c r="G51" s="5"/>
      <c r="H51" s="5">
        <f t="shared" si="4"/>
        <v>-2.9830196812103527E-2</v>
      </c>
    </row>
    <row r="52" spans="1:8">
      <c r="A52" s="268">
        <f t="shared" si="3"/>
        <v>44923</v>
      </c>
      <c r="B52" s="269">
        <v>3.7250300036556501E-2</v>
      </c>
      <c r="C52" s="269">
        <v>3.0847262593279499E-2</v>
      </c>
      <c r="E52" s="5">
        <f t="shared" si="1"/>
        <v>3.4250300036556498E-2</v>
      </c>
      <c r="F52" s="5">
        <f t="shared" si="2"/>
        <v>2.78472625932795E-2</v>
      </c>
      <c r="G52" s="5"/>
      <c r="H52" s="5">
        <f t="shared" si="4"/>
        <v>6.3504138010429152E-3</v>
      </c>
    </row>
    <row r="53" spans="1:8">
      <c r="A53" s="268">
        <f t="shared" si="3"/>
        <v>44954</v>
      </c>
      <c r="B53" s="269">
        <v>-3.3807792603636096E-2</v>
      </c>
      <c r="C53" s="269">
        <v>-1.8297554450621402E-2</v>
      </c>
      <c r="E53" s="5">
        <f t="shared" si="1"/>
        <v>-3.6807792603636098E-2</v>
      </c>
      <c r="F53" s="5">
        <f t="shared" si="2"/>
        <v>-2.1297554450621401E-2</v>
      </c>
      <c r="G53" s="5"/>
      <c r="H53" s="5">
        <f t="shared" si="4"/>
        <v>-1.0756070879055907E-2</v>
      </c>
    </row>
    <row r="54" spans="1:8">
      <c r="A54" s="268">
        <f t="shared" si="3"/>
        <v>44985</v>
      </c>
      <c r="B54" s="269">
        <v>1.7541854403936501E-2</v>
      </c>
      <c r="C54" s="269">
        <v>0.16692286144094601</v>
      </c>
      <c r="E54" s="5">
        <f t="shared" si="1"/>
        <v>1.4541854403936502E-2</v>
      </c>
      <c r="F54" s="5">
        <f t="shared" si="2"/>
        <v>0.163922861440946</v>
      </c>
      <c r="G54" s="5"/>
      <c r="H54" s="5">
        <f t="shared" si="4"/>
        <v>-0.16274300879478676</v>
      </c>
    </row>
    <row r="55" spans="1:8">
      <c r="A55" s="268">
        <f t="shared" si="3"/>
        <v>45013</v>
      </c>
      <c r="B55" s="269">
        <v>3.41110423352858E-2</v>
      </c>
      <c r="C55" s="269">
        <v>8.7808081720470096E-2</v>
      </c>
      <c r="E55" s="5">
        <f t="shared" si="1"/>
        <v>3.1111042335285801E-2</v>
      </c>
      <c r="F55" s="5">
        <f t="shared" si="2"/>
        <v>8.4808081720470094E-2</v>
      </c>
      <c r="G55" s="5"/>
      <c r="H55" s="5">
        <f t="shared" si="4"/>
        <v>-5.9320926986238309E-2</v>
      </c>
    </row>
    <row r="56" spans="1:8">
      <c r="A56" s="268">
        <f t="shared" si="3"/>
        <v>45044</v>
      </c>
      <c r="B56" s="269">
        <v>8.7698268543993096E-2</v>
      </c>
      <c r="C56" s="269">
        <v>1.8998161872748599E-2</v>
      </c>
      <c r="E56" s="5">
        <f t="shared" si="1"/>
        <v>8.4698268543993094E-2</v>
      </c>
      <c r="F56" s="5">
        <f t="shared" si="2"/>
        <v>1.5998161872748599E-2</v>
      </c>
      <c r="G56" s="5"/>
      <c r="H56" s="5">
        <f t="shared" si="4"/>
        <v>6.9806428226784234E-2</v>
      </c>
    </row>
    <row r="57" spans="1:8">
      <c r="A57" s="268">
        <f t="shared" si="3"/>
        <v>45074</v>
      </c>
      <c r="B57" s="269">
        <v>6.2716272016876198E-2</v>
      </c>
      <c r="C57" s="269">
        <v>2.5494705495016499E-2</v>
      </c>
      <c r="E57" s="5">
        <f t="shared" si="1"/>
        <v>5.9716272016876196E-2</v>
      </c>
      <c r="F57" s="5">
        <f t="shared" si="2"/>
        <v>2.24947054950165E-2</v>
      </c>
      <c r="G57" s="5"/>
      <c r="H57" s="5">
        <f t="shared" si="4"/>
        <v>3.7692469558244665E-2</v>
      </c>
    </row>
    <row r="58" spans="1:8">
      <c r="A58" s="268">
        <f t="shared" si="3"/>
        <v>45105</v>
      </c>
      <c r="B58" s="269">
        <v>-7.4996714670177003E-2</v>
      </c>
      <c r="C58" s="269">
        <v>-6.1983278600026198E-2</v>
      </c>
      <c r="E58" s="5">
        <f t="shared" si="1"/>
        <v>-7.7996714670177006E-2</v>
      </c>
      <c r="F58" s="5">
        <f t="shared" si="2"/>
        <v>-6.4983278600026201E-2</v>
      </c>
      <c r="G58" s="5"/>
      <c r="H58" s="5">
        <f t="shared" si="4"/>
        <v>-3.9864246868918513E-3</v>
      </c>
    </row>
    <row r="59" spans="1:8">
      <c r="A59" s="268">
        <f t="shared" si="3"/>
        <v>45135</v>
      </c>
      <c r="B59" s="269">
        <v>3.4914764853626302E-2</v>
      </c>
      <c r="C59" s="269">
        <v>-2.04255249240731E-2</v>
      </c>
      <c r="E59" s="5">
        <f t="shared" si="1"/>
        <v>3.19147648536263E-2</v>
      </c>
      <c r="F59" s="5">
        <f t="shared" si="2"/>
        <v>-2.3425524924073099E-2</v>
      </c>
      <c r="G59" s="5"/>
      <c r="H59" s="5">
        <f t="shared" si="4"/>
        <v>6.0302591088103513E-2</v>
      </c>
    </row>
    <row r="60" spans="1:8">
      <c r="A60" s="268">
        <f t="shared" si="3"/>
        <v>45166</v>
      </c>
      <c r="B60" s="269">
        <v>-0.120810441573471</v>
      </c>
      <c r="C60" s="269">
        <v>3.8559426867563001E-2</v>
      </c>
      <c r="E60" s="5">
        <f t="shared" si="1"/>
        <v>-0.123810441573471</v>
      </c>
      <c r="F60" s="5">
        <f t="shared" si="2"/>
        <v>3.5559426867562999E-2</v>
      </c>
      <c r="G60" s="5"/>
      <c r="H60" s="5">
        <f t="shared" si="4"/>
        <v>-0.16017680888425848</v>
      </c>
    </row>
    <row r="61" spans="1:8">
      <c r="A61" s="268">
        <f t="shared" si="3"/>
        <v>45197</v>
      </c>
      <c r="B61" s="269">
        <v>-2.0262231664763101E-2</v>
      </c>
      <c r="C61" s="269">
        <v>1.142773211254949E-2</v>
      </c>
      <c r="E61" s="5">
        <f t="shared" si="1"/>
        <v>-2.32622316647631E-2</v>
      </c>
      <c r="F61" s="5">
        <f t="shared" si="2"/>
        <v>8.4277321125494908E-3</v>
      </c>
      <c r="G61" s="5"/>
      <c r="H61" s="5">
        <f t="shared" si="4"/>
        <v>-2.9843188290069433E-2</v>
      </c>
    </row>
    <row r="62" spans="1:8">
      <c r="A62" s="268">
        <f t="shared" si="3"/>
        <v>45227</v>
      </c>
      <c r="B62" s="269">
        <v>0.13284128292273001</v>
      </c>
      <c r="C62" s="269">
        <v>5.2237200231539903E-2</v>
      </c>
      <c r="E62" s="5">
        <f t="shared" si="1"/>
        <v>0.12984128292273001</v>
      </c>
      <c r="F62" s="5">
        <f t="shared" si="2"/>
        <v>4.92372002315399E-2</v>
      </c>
      <c r="G62" s="5"/>
      <c r="H62" s="5">
        <f t="shared" si="4"/>
        <v>7.8459336946930983E-2</v>
      </c>
    </row>
    <row r="63" spans="1:8">
      <c r="A63" s="268">
        <f t="shared" si="3"/>
        <v>45258</v>
      </c>
      <c r="B63" s="269">
        <v>4.6901995383704896E-3</v>
      </c>
      <c r="C63" s="269">
        <v>-1.8469465894238399E-3</v>
      </c>
      <c r="E63" s="5">
        <f t="shared" si="1"/>
        <v>1.6901995383704896E-3</v>
      </c>
      <c r="F63" s="5">
        <f t="shared" si="2"/>
        <v>-4.84694658942384E-3</v>
      </c>
      <c r="G63" s="5"/>
      <c r="H63" s="5">
        <f t="shared" si="4"/>
        <v>9.6823007491590833E-3</v>
      </c>
    </row>
    <row r="64" spans="1:8">
      <c r="A64" s="268">
        <f t="shared" si="3"/>
        <v>45288</v>
      </c>
      <c r="B64" s="269">
        <v>7.2509253975176505E-2</v>
      </c>
      <c r="C64" s="269">
        <v>4.45079023149485E-2</v>
      </c>
      <c r="E64" s="5">
        <f t="shared" si="1"/>
        <v>6.9509253975176502E-2</v>
      </c>
      <c r="F64" s="5">
        <f t="shared" si="2"/>
        <v>4.1507902314948497E-2</v>
      </c>
      <c r="G64" s="5"/>
      <c r="H64" s="5">
        <f t="shared" si="4"/>
        <v>2.6612598536326609E-2</v>
      </c>
    </row>
    <row r="65" spans="5:8">
      <c r="F65" s="6"/>
      <c r="G65" s="6"/>
      <c r="H65" s="6"/>
    </row>
    <row r="66" spans="5:8">
      <c r="E66" s="8"/>
      <c r="F66" s="9"/>
      <c r="G66" s="9"/>
      <c r="H66" s="9"/>
    </row>
    <row r="67" spans="5:8">
      <c r="E67" s="10"/>
      <c r="F67" s="11"/>
      <c r="G67" s="11"/>
      <c r="H67" s="11"/>
    </row>
    <row r="68" spans="5:8">
      <c r="E68" s="12"/>
      <c r="F68" s="11"/>
      <c r="G68" s="11"/>
      <c r="H68" s="11"/>
    </row>
    <row r="69" spans="5:8">
      <c r="E69" s="12"/>
      <c r="F69" s="12"/>
      <c r="G69" s="12"/>
      <c r="H69" s="12"/>
    </row>
    <row r="70" spans="5:8">
      <c r="E70" s="12"/>
      <c r="F70" s="11"/>
      <c r="G70" s="11"/>
      <c r="H70" s="11"/>
    </row>
    <row r="71" spans="5:8">
      <c r="E71" s="12"/>
      <c r="F71" s="11"/>
      <c r="G71" s="11"/>
      <c r="H71" s="11"/>
    </row>
    <row r="72" spans="5:8">
      <c r="E72" s="12"/>
      <c r="F72" s="13"/>
      <c r="G72" s="13"/>
      <c r="H72" s="13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  <row r="123" spans="6:8">
      <c r="F123" s="6"/>
      <c r="G123" s="6"/>
      <c r="H123" s="6"/>
    </row>
    <row r="124" spans="6:8">
      <c r="F124" s="6"/>
      <c r="G124" s="6"/>
      <c r="H124" s="6"/>
    </row>
  </sheetData>
  <mergeCells count="2">
    <mergeCell ref="B3:C3"/>
    <mergeCell ref="E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2"/>
  <sheetViews>
    <sheetView workbookViewId="0">
      <selection activeCell="J13" sqref="J13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</row>
    <row r="2" spans="1:18">
      <c r="A2" s="234"/>
      <c r="B2" s="234"/>
      <c r="C2" s="234"/>
      <c r="D2" s="234"/>
    </row>
    <row r="3" spans="1:18">
      <c r="A3" s="234"/>
      <c r="B3" s="234"/>
      <c r="C3" s="234"/>
      <c r="D3" s="234"/>
      <c r="I3" s="285" t="s">
        <v>58</v>
      </c>
      <c r="J3" s="288"/>
      <c r="L3" s="285" t="s">
        <v>58</v>
      </c>
      <c r="M3" s="288"/>
      <c r="R3" s="1"/>
    </row>
    <row r="4" spans="1:18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>
      <c r="A5" s="234"/>
      <c r="B5" s="284" t="s">
        <v>60</v>
      </c>
      <c r="C5" s="282"/>
      <c r="D5" s="234"/>
      <c r="F5" s="285" t="s">
        <v>59</v>
      </c>
      <c r="G5" s="288"/>
    </row>
    <row r="6" spans="1:18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>
      <c r="A7" s="234" t="s">
        <v>801</v>
      </c>
      <c r="B7" s="234">
        <v>-0.10875</v>
      </c>
      <c r="C7" s="234">
        <v>-6.25E-2</v>
      </c>
      <c r="D7" s="234">
        <f>0.0032</f>
        <v>3.2000000000000002E-3</v>
      </c>
      <c r="F7">
        <f t="shared" ref="F7:F42" si="0">B7-D7</f>
        <v>-0.11194999999999999</v>
      </c>
      <c r="G7">
        <f t="shared" ref="G7:G42" si="1">C7-D7</f>
        <v>-6.5699999999999995E-2</v>
      </c>
      <c r="I7" t="s">
        <v>65</v>
      </c>
      <c r="J7" s="40">
        <f>INTERCEPT(F7:F42,G7:G42)</f>
        <v>1.5992832356627025E-2</v>
      </c>
      <c r="L7" t="s">
        <v>66</v>
      </c>
      <c r="M7" s="40">
        <f>INTERCEPT(B7:B42,C7:C42)</f>
        <v>1.3079548619244808E-2</v>
      </c>
    </row>
    <row r="8" spans="1:18">
      <c r="A8" s="234" t="s">
        <v>802</v>
      </c>
      <c r="B8" s="234">
        <v>-3.3509999999999998E-2</v>
      </c>
      <c r="C8" s="234">
        <v>-2.29E-2</v>
      </c>
      <c r="D8" s="234">
        <f t="shared" ref="D8:D42" si="2">0.0032</f>
        <v>3.2000000000000002E-3</v>
      </c>
      <c r="F8">
        <f t="shared" si="0"/>
        <v>-3.671E-2</v>
      </c>
      <c r="G8">
        <f t="shared" si="1"/>
        <v>-2.6100000000000002E-2</v>
      </c>
      <c r="I8" t="s">
        <v>68</v>
      </c>
      <c r="J8" s="40">
        <f>SLOPE(F7:F42,G7:G42)</f>
        <v>1.9104011679319399</v>
      </c>
      <c r="L8" t="s">
        <v>69</v>
      </c>
      <c r="M8" s="40">
        <f>SLOPE(B7:B42,C7:C42)</f>
        <v>1.9104011679319399</v>
      </c>
    </row>
    <row r="9" spans="1:18">
      <c r="A9" s="234" t="s">
        <v>803</v>
      </c>
      <c r="B9" s="234">
        <v>6.8429999999999991E-2</v>
      </c>
      <c r="C9" s="234">
        <v>3.0699999999999998E-2</v>
      </c>
      <c r="D9" s="234">
        <f t="shared" si="2"/>
        <v>3.2000000000000002E-3</v>
      </c>
      <c r="F9">
        <f t="shared" si="0"/>
        <v>6.5229999999999996E-2</v>
      </c>
      <c r="G9">
        <f t="shared" si="1"/>
        <v>2.7499999999999997E-2</v>
      </c>
    </row>
    <row r="10" spans="1:18">
      <c r="A10" s="234" t="s">
        <v>804</v>
      </c>
      <c r="B10" s="234">
        <v>-0.16945000000000002</v>
      </c>
      <c r="C10" s="234">
        <v>-9.4500000000000015E-2</v>
      </c>
      <c r="D10" s="234">
        <f t="shared" si="2"/>
        <v>3.2000000000000002E-3</v>
      </c>
      <c r="F10">
        <f t="shared" si="0"/>
        <v>-0.17265000000000003</v>
      </c>
      <c r="G10">
        <f t="shared" si="1"/>
        <v>-9.7700000000000009E-2</v>
      </c>
      <c r="J10" s="40"/>
    </row>
    <row r="11" spans="1:18">
      <c r="A11" s="234" t="s">
        <v>805</v>
      </c>
      <c r="B11" s="234">
        <v>4.409999999999999E-3</v>
      </c>
      <c r="C11" s="234">
        <v>-3.1000000000000008E-3</v>
      </c>
      <c r="D11" s="234">
        <f t="shared" si="2"/>
        <v>3.2000000000000002E-3</v>
      </c>
      <c r="F11">
        <f t="shared" si="0"/>
        <v>1.2099999999999988E-3</v>
      </c>
      <c r="G11">
        <f t="shared" si="1"/>
        <v>-6.3000000000000009E-3</v>
      </c>
    </row>
    <row r="12" spans="1:18">
      <c r="A12" s="234" t="s">
        <v>806</v>
      </c>
      <c r="B12" s="234">
        <v>-0.14861999999999997</v>
      </c>
      <c r="C12" s="234">
        <v>-8.3799999999999986E-2</v>
      </c>
      <c r="D12" s="234">
        <f t="shared" si="2"/>
        <v>3.2000000000000002E-3</v>
      </c>
      <c r="F12">
        <f t="shared" si="0"/>
        <v>-0.15181999999999998</v>
      </c>
      <c r="G12">
        <f t="shared" si="1"/>
        <v>-8.699999999999998E-2</v>
      </c>
    </row>
    <row r="13" spans="1:18">
      <c r="A13" s="234" t="s">
        <v>807</v>
      </c>
      <c r="B13" s="234">
        <v>0.19414999999999999</v>
      </c>
      <c r="C13" s="234">
        <v>9.6500000000000002E-2</v>
      </c>
      <c r="D13" s="234">
        <f t="shared" si="2"/>
        <v>3.2000000000000002E-3</v>
      </c>
      <c r="F13">
        <f t="shared" si="0"/>
        <v>0.19094999999999998</v>
      </c>
      <c r="G13">
        <f t="shared" si="1"/>
        <v>9.3300000000000008E-2</v>
      </c>
    </row>
    <row r="14" spans="1:18">
      <c r="A14" s="234" t="s">
        <v>808</v>
      </c>
      <c r="B14" s="234">
        <v>-5.6119999999999996E-2</v>
      </c>
      <c r="C14" s="234">
        <v>-3.5799999999999998E-2</v>
      </c>
      <c r="D14" s="234">
        <f t="shared" si="2"/>
        <v>3.2000000000000002E-3</v>
      </c>
      <c r="F14">
        <f t="shared" si="0"/>
        <v>-5.9319999999999998E-2</v>
      </c>
      <c r="G14">
        <f t="shared" si="1"/>
        <v>-3.9E-2</v>
      </c>
    </row>
    <row r="15" spans="1:18">
      <c r="A15" s="234" t="s">
        <v>809</v>
      </c>
      <c r="B15" s="234">
        <v>-0.16214000000000001</v>
      </c>
      <c r="C15" s="234">
        <v>-9.1600000000000001E-2</v>
      </c>
      <c r="D15" s="234">
        <f t="shared" si="2"/>
        <v>3.2000000000000002E-3</v>
      </c>
      <c r="F15">
        <f t="shared" si="0"/>
        <v>-0.16534000000000001</v>
      </c>
      <c r="G15">
        <f t="shared" si="1"/>
        <v>-9.4799999999999995E-2</v>
      </c>
    </row>
    <row r="16" spans="1:18">
      <c r="A16" s="234" t="s">
        <v>405</v>
      </c>
      <c r="B16" s="234">
        <v>0.16544</v>
      </c>
      <c r="C16" s="234">
        <v>8.0600000000000005E-2</v>
      </c>
      <c r="D16" s="234">
        <f t="shared" si="2"/>
        <v>3.2000000000000002E-3</v>
      </c>
      <c r="F16">
        <f t="shared" si="0"/>
        <v>0.16224</v>
      </c>
      <c r="G16">
        <f t="shared" si="1"/>
        <v>7.740000000000001E-2</v>
      </c>
    </row>
    <row r="17" spans="1:7">
      <c r="A17" s="234" t="s">
        <v>406</v>
      </c>
      <c r="B17" s="234">
        <v>0.106</v>
      </c>
      <c r="C17" s="234">
        <v>4.9000000000000002E-2</v>
      </c>
      <c r="D17" s="234">
        <f t="shared" si="2"/>
        <v>3.2000000000000002E-3</v>
      </c>
      <c r="F17">
        <f t="shared" si="0"/>
        <v>0.1028</v>
      </c>
      <c r="G17">
        <f t="shared" si="1"/>
        <v>4.58E-2</v>
      </c>
    </row>
    <row r="18" spans="1:7">
      <c r="A18" s="234" t="s">
        <v>407</v>
      </c>
      <c r="B18" s="234">
        <v>-0.10221999999999999</v>
      </c>
      <c r="C18" s="234">
        <v>-6.08E-2</v>
      </c>
      <c r="D18" s="234">
        <f t="shared" si="2"/>
        <v>3.2000000000000002E-3</v>
      </c>
      <c r="F18">
        <f t="shared" si="0"/>
        <v>-0.10541999999999999</v>
      </c>
      <c r="G18">
        <f t="shared" si="1"/>
        <v>-6.4000000000000001E-2</v>
      </c>
    </row>
    <row r="19" spans="1:7">
      <c r="A19" s="234" t="s">
        <v>810</v>
      </c>
      <c r="B19" s="234">
        <v>0.14631</v>
      </c>
      <c r="C19" s="234">
        <v>6.989999999999999E-2</v>
      </c>
      <c r="D19" s="234">
        <f t="shared" si="2"/>
        <v>3.2000000000000002E-3</v>
      </c>
      <c r="F19">
        <f t="shared" si="0"/>
        <v>0.14310999999999999</v>
      </c>
      <c r="G19">
        <f t="shared" si="1"/>
        <v>6.6699999999999995E-2</v>
      </c>
    </row>
    <row r="20" spans="1:7">
      <c r="A20" s="234" t="s">
        <v>811</v>
      </c>
      <c r="B20" s="234">
        <v>-2.9349999999999994E-2</v>
      </c>
      <c r="C20" s="234">
        <v>-2.2499999999999999E-2</v>
      </c>
      <c r="D20" s="234">
        <f t="shared" si="2"/>
        <v>3.2000000000000002E-3</v>
      </c>
      <c r="F20">
        <f t="shared" si="0"/>
        <v>-3.2549999999999996E-2</v>
      </c>
      <c r="G20">
        <f t="shared" si="1"/>
        <v>-2.5700000000000001E-2</v>
      </c>
    </row>
    <row r="21" spans="1:7">
      <c r="A21" s="234" t="s">
        <v>812</v>
      </c>
      <c r="B21" s="234">
        <v>6.8129999999999996E-2</v>
      </c>
      <c r="C21" s="234">
        <v>2.8699999999999996E-2</v>
      </c>
      <c r="D21" s="234">
        <f t="shared" si="2"/>
        <v>3.2000000000000002E-3</v>
      </c>
      <c r="F21">
        <f t="shared" si="0"/>
        <v>6.4930000000000002E-2</v>
      </c>
      <c r="G21">
        <f t="shared" si="1"/>
        <v>2.5499999999999995E-2</v>
      </c>
    </row>
    <row r="22" spans="1:7">
      <c r="A22" s="234" t="s">
        <v>813</v>
      </c>
      <c r="B22" s="234">
        <v>3.1739999999999997E-2</v>
      </c>
      <c r="C22" s="234">
        <v>9.5999999999999992E-3</v>
      </c>
      <c r="D22" s="234">
        <f t="shared" si="2"/>
        <v>3.2000000000000002E-3</v>
      </c>
      <c r="F22">
        <f t="shared" si="0"/>
        <v>2.8539999999999996E-2</v>
      </c>
      <c r="G22">
        <f t="shared" si="1"/>
        <v>6.3999999999999994E-3</v>
      </c>
    </row>
    <row r="23" spans="1:7">
      <c r="A23" s="234" t="s">
        <v>814</v>
      </c>
      <c r="B23" s="234">
        <v>2.7089999999999999E-2</v>
      </c>
      <c r="C23" s="234">
        <v>7.0999999999999995E-3</v>
      </c>
      <c r="D23" s="234">
        <f t="shared" si="2"/>
        <v>3.2000000000000002E-3</v>
      </c>
      <c r="F23">
        <f t="shared" si="0"/>
        <v>2.3889999999999998E-2</v>
      </c>
      <c r="G23">
        <f t="shared" si="1"/>
        <v>3.8999999999999994E-3</v>
      </c>
    </row>
    <row r="24" spans="1:7">
      <c r="A24" s="234" t="s">
        <v>815</v>
      </c>
      <c r="B24" s="234">
        <v>0.14452999999999999</v>
      </c>
      <c r="C24" s="234">
        <v>6.8699999999999997E-2</v>
      </c>
      <c r="D24" s="234">
        <f t="shared" si="2"/>
        <v>3.2000000000000002E-3</v>
      </c>
      <c r="F24">
        <f t="shared" si="0"/>
        <v>0.14132999999999998</v>
      </c>
      <c r="G24">
        <f t="shared" si="1"/>
        <v>6.5500000000000003E-2</v>
      </c>
    </row>
    <row r="25" spans="1:7">
      <c r="A25" s="234" t="s">
        <v>816</v>
      </c>
      <c r="B25" s="234">
        <v>8.4040000000000004E-2</v>
      </c>
      <c r="C25" s="234">
        <v>3.6600000000000001E-2</v>
      </c>
      <c r="D25" s="234">
        <f t="shared" si="2"/>
        <v>3.2000000000000002E-3</v>
      </c>
      <c r="F25">
        <f t="shared" si="0"/>
        <v>8.0840000000000009E-2</v>
      </c>
      <c r="G25">
        <f t="shared" si="1"/>
        <v>3.3399999999999999E-2</v>
      </c>
    </row>
    <row r="26" spans="1:7">
      <c r="A26" s="234" t="s">
        <v>817</v>
      </c>
      <c r="B26" s="234">
        <v>-2.2359999999999998E-2</v>
      </c>
      <c r="C26" s="234">
        <v>-1.9400000000000001E-2</v>
      </c>
      <c r="D26" s="234">
        <f t="shared" si="2"/>
        <v>3.2000000000000002E-3</v>
      </c>
      <c r="F26">
        <f t="shared" si="0"/>
        <v>-2.5559999999999999E-2</v>
      </c>
      <c r="G26">
        <f t="shared" si="1"/>
        <v>-2.2600000000000002E-2</v>
      </c>
    </row>
    <row r="27" spans="1:7">
      <c r="A27" s="234" t="s">
        <v>818</v>
      </c>
      <c r="B27" s="234">
        <v>-7.7089999999999992E-2</v>
      </c>
      <c r="C27" s="234">
        <v>-4.8100000000000004E-2</v>
      </c>
      <c r="D27" s="234">
        <f t="shared" si="2"/>
        <v>3.2000000000000002E-3</v>
      </c>
      <c r="F27">
        <f t="shared" si="0"/>
        <v>-8.0289999999999986E-2</v>
      </c>
      <c r="G27">
        <f t="shared" si="1"/>
        <v>-5.1300000000000005E-2</v>
      </c>
    </row>
    <row r="28" spans="1:7">
      <c r="A28" s="234" t="s">
        <v>417</v>
      </c>
      <c r="B28" s="234">
        <v>-3.6789999999999989E-2</v>
      </c>
      <c r="C28" s="234">
        <v>-2.7099999999999999E-2</v>
      </c>
      <c r="D28" s="234">
        <f t="shared" si="2"/>
        <v>3.2000000000000002E-3</v>
      </c>
      <c r="F28">
        <f t="shared" si="0"/>
        <v>-3.9989999999999991E-2</v>
      </c>
      <c r="G28">
        <f t="shared" si="1"/>
        <v>-3.0300000000000001E-2</v>
      </c>
    </row>
    <row r="29" spans="1:7">
      <c r="A29" s="234" t="s">
        <v>418</v>
      </c>
      <c r="B29" s="234">
        <v>0.19052999999999998</v>
      </c>
      <c r="C29" s="234">
        <v>9.2699999999999991E-2</v>
      </c>
      <c r="D29" s="234">
        <f t="shared" si="2"/>
        <v>3.2000000000000002E-3</v>
      </c>
      <c r="F29">
        <f t="shared" si="0"/>
        <v>0.18732999999999997</v>
      </c>
      <c r="G29">
        <f t="shared" si="1"/>
        <v>8.9499999999999996E-2</v>
      </c>
    </row>
    <row r="30" spans="1:7">
      <c r="A30" s="234" t="s">
        <v>419</v>
      </c>
      <c r="B30" s="234">
        <v>0.11499999999999999</v>
      </c>
      <c r="C30" s="234">
        <v>5.2999999999999999E-2</v>
      </c>
      <c r="D30" s="234">
        <f t="shared" si="2"/>
        <v>3.2000000000000002E-3</v>
      </c>
      <c r="F30">
        <f t="shared" si="0"/>
        <v>0.1118</v>
      </c>
      <c r="G30">
        <f t="shared" si="1"/>
        <v>4.9799999999999997E-2</v>
      </c>
    </row>
    <row r="31" spans="1:7">
      <c r="A31" s="234" t="s">
        <v>819</v>
      </c>
      <c r="B31" s="234">
        <v>3.6930000000000004E-2</v>
      </c>
      <c r="C31" s="234">
        <v>1.17E-2</v>
      </c>
      <c r="D31" s="234">
        <f t="shared" si="2"/>
        <v>3.2000000000000002E-3</v>
      </c>
      <c r="F31">
        <f t="shared" si="0"/>
        <v>3.3730000000000003E-2</v>
      </c>
      <c r="G31">
        <f t="shared" si="1"/>
        <v>8.5000000000000006E-3</v>
      </c>
    </row>
    <row r="32" spans="1:7">
      <c r="A32" s="234" t="s">
        <v>820</v>
      </c>
      <c r="B32" s="234">
        <v>0.11851</v>
      </c>
      <c r="C32" s="234">
        <v>5.4900000000000004E-2</v>
      </c>
      <c r="D32" s="234">
        <f t="shared" si="2"/>
        <v>3.2000000000000002E-3</v>
      </c>
      <c r="F32">
        <f t="shared" si="0"/>
        <v>0.11531000000000001</v>
      </c>
      <c r="G32">
        <f t="shared" si="1"/>
        <v>5.1700000000000003E-2</v>
      </c>
    </row>
    <row r="33" spans="1:7">
      <c r="A33" s="234" t="s">
        <v>821</v>
      </c>
      <c r="B33" s="234">
        <v>7.6240000000000002E-2</v>
      </c>
      <c r="C33" s="234">
        <v>3.2600000000000004E-2</v>
      </c>
      <c r="D33" s="234">
        <f t="shared" si="2"/>
        <v>3.2000000000000002E-3</v>
      </c>
      <c r="F33">
        <f t="shared" si="0"/>
        <v>7.3040000000000008E-2</v>
      </c>
      <c r="G33">
        <f t="shared" si="1"/>
        <v>2.9400000000000003E-2</v>
      </c>
    </row>
    <row r="34" spans="1:7">
      <c r="A34" s="234" t="s">
        <v>822</v>
      </c>
      <c r="B34" s="234">
        <v>-6.5099999999999991E-2</v>
      </c>
      <c r="C34" s="234">
        <v>-4.2000000000000003E-2</v>
      </c>
      <c r="D34" s="234">
        <f t="shared" si="2"/>
        <v>3.2000000000000002E-3</v>
      </c>
      <c r="F34">
        <f t="shared" si="0"/>
        <v>-6.8299999999999986E-2</v>
      </c>
      <c r="G34">
        <f t="shared" si="1"/>
        <v>-4.5200000000000004E-2</v>
      </c>
    </row>
    <row r="35" spans="1:7">
      <c r="A35" s="234" t="s">
        <v>823</v>
      </c>
      <c r="B35" s="234">
        <v>0.10521999999999999</v>
      </c>
      <c r="C35" s="234">
        <v>4.7800000000000002E-2</v>
      </c>
      <c r="D35" s="234">
        <f t="shared" si="2"/>
        <v>3.2000000000000002E-3</v>
      </c>
      <c r="F35">
        <f t="shared" si="0"/>
        <v>0.10202</v>
      </c>
      <c r="G35">
        <f t="shared" si="1"/>
        <v>4.4600000000000001E-2</v>
      </c>
    </row>
    <row r="36" spans="1:7">
      <c r="A36" s="234" t="s">
        <v>824</v>
      </c>
      <c r="B36" s="234">
        <v>7.4520000000000003E-2</v>
      </c>
      <c r="C36" s="234">
        <v>3.1800000000000002E-2</v>
      </c>
      <c r="D36" s="234">
        <f t="shared" si="2"/>
        <v>3.2000000000000002E-3</v>
      </c>
      <c r="F36">
        <f t="shared" si="0"/>
        <v>7.1320000000000008E-2</v>
      </c>
      <c r="G36">
        <f t="shared" si="1"/>
        <v>2.86E-2</v>
      </c>
    </row>
    <row r="37" spans="1:7">
      <c r="A37" s="234" t="s">
        <v>825</v>
      </c>
      <c r="B37" s="234">
        <v>4.6609999999999992E-2</v>
      </c>
      <c r="C37" s="234">
        <v>1.6899999999999998E-2</v>
      </c>
      <c r="D37" s="234">
        <f t="shared" si="2"/>
        <v>3.2000000000000002E-3</v>
      </c>
      <c r="F37">
        <f t="shared" si="0"/>
        <v>4.340999999999999E-2</v>
      </c>
      <c r="G37">
        <f t="shared" si="1"/>
        <v>1.3699999999999999E-2</v>
      </c>
    </row>
    <row r="38" spans="1:7">
      <c r="A38" s="234" t="s">
        <v>826</v>
      </c>
      <c r="B38" s="234">
        <v>5.4509999999999996E-2</v>
      </c>
      <c r="C38" s="234">
        <v>2.0899999999999998E-2</v>
      </c>
      <c r="D38" s="234">
        <f t="shared" si="2"/>
        <v>3.2000000000000002E-3</v>
      </c>
      <c r="F38">
        <f t="shared" si="0"/>
        <v>5.1309999999999995E-2</v>
      </c>
      <c r="G38">
        <f t="shared" si="1"/>
        <v>1.7699999999999997E-2</v>
      </c>
    </row>
    <row r="39" spans="1:7">
      <c r="A39" s="234" t="s">
        <v>827</v>
      </c>
      <c r="B39" s="234">
        <v>5.466E-2</v>
      </c>
      <c r="C39" s="234">
        <v>2.1400000000000002E-2</v>
      </c>
      <c r="D39" s="234">
        <f t="shared" si="2"/>
        <v>3.2000000000000002E-3</v>
      </c>
      <c r="F39">
        <f t="shared" si="0"/>
        <v>5.1459999999999999E-2</v>
      </c>
      <c r="G39">
        <f t="shared" si="1"/>
        <v>1.8200000000000001E-2</v>
      </c>
    </row>
    <row r="40" spans="1:7">
      <c r="A40" s="234" t="s">
        <v>429</v>
      </c>
      <c r="B40" s="234">
        <v>2.8800000000000023E-3</v>
      </c>
      <c r="C40" s="234">
        <v>-5.7999999999999996E-3</v>
      </c>
      <c r="D40" s="234">
        <f t="shared" si="2"/>
        <v>3.2000000000000002E-3</v>
      </c>
      <c r="F40">
        <f t="shared" si="0"/>
        <v>-3.199999999999978E-4</v>
      </c>
      <c r="G40">
        <f t="shared" si="1"/>
        <v>-8.9999999999999993E-3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f t="shared" si="2"/>
        <v>3.2000000000000002E-3</v>
      </c>
      <c r="F41">
        <f t="shared" si="0"/>
        <v>0.14209000000000002</v>
      </c>
      <c r="G41">
        <f t="shared" si="1"/>
        <v>6.5900000000000014E-2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f t="shared" si="2"/>
        <v>3.2000000000000002E-3</v>
      </c>
      <c r="F42">
        <f t="shared" si="0"/>
        <v>-4.2699999999999995E-2</v>
      </c>
      <c r="G42">
        <f t="shared" si="1"/>
        <v>-3.1199999999999999E-2</v>
      </c>
    </row>
  </sheetData>
  <mergeCells count="6">
    <mergeCell ref="I3:J3"/>
    <mergeCell ref="L3:M3"/>
    <mergeCell ref="I4:J4"/>
    <mergeCell ref="L4:M4"/>
    <mergeCell ref="B5:C5"/>
    <mergeCell ref="F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2"/>
  <sheetViews>
    <sheetView workbookViewId="0">
      <selection activeCell="A6" sqref="A6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  <c r="R1" s="1"/>
    </row>
    <row r="2" spans="1:18">
      <c r="A2" s="234"/>
      <c r="B2" s="234"/>
      <c r="C2" s="234"/>
      <c r="D2" s="234"/>
      <c r="E2" s="310"/>
      <c r="F2" s="310"/>
      <c r="G2" s="310"/>
      <c r="H2" s="310"/>
      <c r="I2" s="310"/>
      <c r="J2" s="310"/>
    </row>
    <row r="3" spans="1:18" s="313" customFormat="1">
      <c r="A3" s="234"/>
      <c r="B3" s="234"/>
      <c r="C3" s="234"/>
      <c r="D3" s="234"/>
      <c r="E3" s="310"/>
      <c r="F3" s="310"/>
      <c r="G3" s="310"/>
      <c r="H3" s="310"/>
      <c r="I3" s="312" t="s">
        <v>58</v>
      </c>
      <c r="J3" s="314"/>
      <c r="K3"/>
      <c r="L3" s="285" t="s">
        <v>58</v>
      </c>
      <c r="M3" s="288"/>
    </row>
    <row r="4" spans="1:18" s="313" customFormat="1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 s="313" customFormat="1">
      <c r="A5" s="234"/>
      <c r="B5" s="284" t="s">
        <v>60</v>
      </c>
      <c r="C5" s="284"/>
      <c r="D5" s="315"/>
      <c r="F5" s="285" t="s">
        <v>59</v>
      </c>
      <c r="G5" s="285"/>
    </row>
    <row r="6" spans="1:18" s="313" customFormat="1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 s="313" customFormat="1">
      <c r="A7" s="234" t="s">
        <v>801</v>
      </c>
      <c r="B7" s="234">
        <v>-0.10875</v>
      </c>
      <c r="C7" s="234">
        <v>-6.25E-2</v>
      </c>
      <c r="D7" s="234">
        <v>0</v>
      </c>
      <c r="F7" s="313">
        <f t="shared" ref="F7:F42" si="0">B7-D7</f>
        <v>-0.10875</v>
      </c>
      <c r="G7" s="313">
        <f t="shared" ref="G7:G42" si="1">C7-D7</f>
        <v>-6.25E-2</v>
      </c>
      <c r="I7" s="313" t="s">
        <v>65</v>
      </c>
      <c r="J7" s="40">
        <f>INTERCEPT(F7:F42,G7:G42)</f>
        <v>1.5920502618598321E-2</v>
      </c>
      <c r="L7" s="313" t="s">
        <v>66</v>
      </c>
      <c r="M7" s="40">
        <f>INTERCEPT(B7:B42,C7:C42)</f>
        <v>1.3079548619244808E-2</v>
      </c>
    </row>
    <row r="8" spans="1:18" s="313" customFormat="1">
      <c r="A8" s="234" t="s">
        <v>802</v>
      </c>
      <c r="B8" s="234">
        <v>-3.3509999999999998E-2</v>
      </c>
      <c r="C8" s="234">
        <v>-2.29E-2</v>
      </c>
      <c r="D8" s="234">
        <v>0</v>
      </c>
      <c r="F8" s="313">
        <f t="shared" si="0"/>
        <v>-3.3509999999999998E-2</v>
      </c>
      <c r="G8" s="313">
        <f t="shared" si="1"/>
        <v>-2.29E-2</v>
      </c>
      <c r="I8" s="313" t="s">
        <v>68</v>
      </c>
      <c r="J8" s="40">
        <f>SLOPE(F7:F42,G7:G42)</f>
        <v>1.9182902417238019</v>
      </c>
      <c r="L8" s="313" t="s">
        <v>69</v>
      </c>
      <c r="M8" s="40">
        <f>SLOPE(B7:B42,C7:C42)</f>
        <v>1.9104011679319399</v>
      </c>
    </row>
    <row r="9" spans="1:18" s="313" customFormat="1">
      <c r="A9" s="234" t="s">
        <v>803</v>
      </c>
      <c r="B9" s="234">
        <v>6.8429999999999991E-2</v>
      </c>
      <c r="C9" s="234">
        <v>3.0699999999999998E-2</v>
      </c>
      <c r="D9" s="234">
        <v>1E-4</v>
      </c>
      <c r="F9" s="313">
        <f t="shared" si="0"/>
        <v>6.8329999999999988E-2</v>
      </c>
      <c r="G9" s="313">
        <f t="shared" si="1"/>
        <v>3.0599999999999999E-2</v>
      </c>
    </row>
    <row r="10" spans="1:18" s="313" customFormat="1">
      <c r="A10" s="234" t="s">
        <v>804</v>
      </c>
      <c r="B10" s="234">
        <v>-0.16945000000000002</v>
      </c>
      <c r="C10" s="234">
        <v>-9.4500000000000015E-2</v>
      </c>
      <c r="D10" s="234">
        <v>1E-4</v>
      </c>
      <c r="F10" s="313">
        <f t="shared" si="0"/>
        <v>-0.16955000000000001</v>
      </c>
      <c r="G10" s="313">
        <f t="shared" si="1"/>
        <v>-9.4600000000000017E-2</v>
      </c>
      <c r="J10" s="40"/>
    </row>
    <row r="11" spans="1:18" s="313" customFormat="1">
      <c r="A11" s="234" t="s">
        <v>805</v>
      </c>
      <c r="B11" s="234">
        <v>4.409999999999999E-3</v>
      </c>
      <c r="C11" s="234">
        <v>-3.1000000000000008E-3</v>
      </c>
      <c r="D11" s="234">
        <v>2.9999999999999997E-4</v>
      </c>
      <c r="F11" s="313">
        <f t="shared" si="0"/>
        <v>4.1099999999999991E-3</v>
      </c>
      <c r="G11" s="313">
        <f t="shared" si="1"/>
        <v>-3.4000000000000007E-3</v>
      </c>
    </row>
    <row r="12" spans="1:18" s="313" customFormat="1">
      <c r="A12" s="234" t="s">
        <v>806</v>
      </c>
      <c r="B12" s="234">
        <v>-0.14861999999999997</v>
      </c>
      <c r="C12" s="234">
        <v>-8.3799999999999986E-2</v>
      </c>
      <c r="D12" s="234">
        <v>5.9999999999999995E-4</v>
      </c>
      <c r="F12" s="313">
        <f t="shared" si="0"/>
        <v>-0.14921999999999996</v>
      </c>
      <c r="G12" s="313">
        <f t="shared" si="1"/>
        <v>-8.4399999999999989E-2</v>
      </c>
    </row>
    <row r="13" spans="1:18" s="313" customFormat="1">
      <c r="A13" s="234" t="s">
        <v>807</v>
      </c>
      <c r="B13" s="234">
        <v>0.19414999999999999</v>
      </c>
      <c r="C13" s="234">
        <v>9.6500000000000002E-2</v>
      </c>
      <c r="D13" s="234">
        <v>8.0000000000000004E-4</v>
      </c>
      <c r="F13" s="313">
        <f t="shared" si="0"/>
        <v>0.19334999999999999</v>
      </c>
      <c r="G13" s="313">
        <f t="shared" si="1"/>
        <v>9.5700000000000007E-2</v>
      </c>
    </row>
    <row r="14" spans="1:18" s="313" customFormat="1">
      <c r="A14" s="234" t="s">
        <v>808</v>
      </c>
      <c r="B14" s="234">
        <v>-5.6119999999999996E-2</v>
      </c>
      <c r="C14" s="234">
        <v>-3.5799999999999998E-2</v>
      </c>
      <c r="D14" s="234">
        <v>1.9E-3</v>
      </c>
      <c r="F14" s="313">
        <f t="shared" si="0"/>
        <v>-5.8019999999999995E-2</v>
      </c>
      <c r="G14" s="313">
        <f t="shared" si="1"/>
        <v>-3.7699999999999997E-2</v>
      </c>
    </row>
    <row r="15" spans="1:18" s="313" customFormat="1">
      <c r="A15" s="234" t="s">
        <v>809</v>
      </c>
      <c r="B15" s="234">
        <v>-0.16214000000000001</v>
      </c>
      <c r="C15" s="234">
        <v>-9.1600000000000001E-2</v>
      </c>
      <c r="D15" s="234">
        <v>1.9E-3</v>
      </c>
      <c r="F15" s="313">
        <f t="shared" si="0"/>
        <v>-0.16404000000000002</v>
      </c>
      <c r="G15" s="313">
        <f t="shared" si="1"/>
        <v>-9.35E-2</v>
      </c>
    </row>
    <row r="16" spans="1:18" s="313" customFormat="1">
      <c r="A16" s="234" t="s">
        <v>405</v>
      </c>
      <c r="B16" s="234">
        <v>0.16544</v>
      </c>
      <c r="C16" s="234">
        <v>8.0600000000000005E-2</v>
      </c>
      <c r="D16" s="234">
        <v>2.3E-3</v>
      </c>
      <c r="F16" s="313">
        <f t="shared" si="0"/>
        <v>0.16314000000000001</v>
      </c>
      <c r="G16" s="313">
        <f t="shared" si="1"/>
        <v>7.8300000000000008E-2</v>
      </c>
    </row>
    <row r="17" spans="1:7" s="313" customFormat="1">
      <c r="A17" s="234" t="s">
        <v>406</v>
      </c>
      <c r="B17" s="234">
        <v>0.106</v>
      </c>
      <c r="C17" s="234">
        <v>4.9000000000000002E-2</v>
      </c>
      <c r="D17" s="234">
        <v>2.8999999999999998E-3</v>
      </c>
      <c r="F17" s="313">
        <f t="shared" si="0"/>
        <v>0.1031</v>
      </c>
      <c r="G17" s="313">
        <f t="shared" si="1"/>
        <v>4.6100000000000002E-2</v>
      </c>
    </row>
    <row r="18" spans="1:7" s="313" customFormat="1">
      <c r="A18" s="234" t="s">
        <v>407</v>
      </c>
      <c r="B18" s="234">
        <v>-0.10221999999999999</v>
      </c>
      <c r="C18" s="234">
        <v>-6.08E-2</v>
      </c>
      <c r="D18" s="234">
        <v>3.3000000000000004E-3</v>
      </c>
      <c r="F18" s="313">
        <f t="shared" si="0"/>
        <v>-0.10551999999999999</v>
      </c>
      <c r="G18" s="313">
        <f t="shared" si="1"/>
        <v>-6.4100000000000004E-2</v>
      </c>
    </row>
    <row r="19" spans="1:7" s="313" customFormat="1">
      <c r="A19" s="234" t="s">
        <v>810</v>
      </c>
      <c r="B19" s="234">
        <v>0.14631</v>
      </c>
      <c r="C19" s="234">
        <v>6.989999999999999E-2</v>
      </c>
      <c r="D19" s="234">
        <v>3.4999999999999996E-3</v>
      </c>
      <c r="F19" s="313">
        <f t="shared" si="0"/>
        <v>0.14280999999999999</v>
      </c>
      <c r="G19" s="313">
        <f t="shared" si="1"/>
        <v>6.6399999999999987E-2</v>
      </c>
    </row>
    <row r="20" spans="1:7" s="313" customFormat="1">
      <c r="A20" s="234" t="s">
        <v>811</v>
      </c>
      <c r="B20" s="234">
        <v>-2.9349999999999994E-2</v>
      </c>
      <c r="C20" s="234">
        <v>-2.2499999999999999E-2</v>
      </c>
      <c r="D20" s="234">
        <v>3.4000000000000002E-3</v>
      </c>
      <c r="F20" s="313">
        <f t="shared" si="0"/>
        <v>-3.2749999999999994E-2</v>
      </c>
      <c r="G20" s="313">
        <f t="shared" si="1"/>
        <v>-2.5899999999999999E-2</v>
      </c>
    </row>
    <row r="21" spans="1:7" s="313" customFormat="1">
      <c r="A21" s="234" t="s">
        <v>812</v>
      </c>
      <c r="B21" s="234">
        <v>6.8129999999999996E-2</v>
      </c>
      <c r="C21" s="234">
        <v>2.8699999999999996E-2</v>
      </c>
      <c r="D21" s="234">
        <v>3.5999999999999999E-3</v>
      </c>
      <c r="F21" s="313">
        <f t="shared" si="0"/>
        <v>6.452999999999999E-2</v>
      </c>
      <c r="G21" s="313">
        <f t="shared" si="1"/>
        <v>2.5099999999999997E-2</v>
      </c>
    </row>
    <row r="22" spans="1:7" s="313" customFormat="1">
      <c r="A22" s="234" t="s">
        <v>813</v>
      </c>
      <c r="B22" s="234">
        <v>3.1739999999999997E-2</v>
      </c>
      <c r="C22" s="234">
        <v>9.5999999999999992E-3</v>
      </c>
      <c r="D22" s="234">
        <v>3.4999999999999996E-3</v>
      </c>
      <c r="F22" s="313">
        <f t="shared" si="0"/>
        <v>2.8239999999999998E-2</v>
      </c>
      <c r="G22" s="313">
        <f t="shared" si="1"/>
        <v>6.0999999999999995E-3</v>
      </c>
    </row>
    <row r="23" spans="1:7" s="313" customFormat="1">
      <c r="A23" s="234" t="s">
        <v>814</v>
      </c>
      <c r="B23" s="234">
        <v>2.7089999999999999E-2</v>
      </c>
      <c r="C23" s="234">
        <v>7.0999999999999995E-3</v>
      </c>
      <c r="D23" s="234">
        <v>3.5999999999999999E-3</v>
      </c>
      <c r="F23" s="313">
        <f t="shared" si="0"/>
        <v>2.349E-2</v>
      </c>
      <c r="G23" s="313">
        <f t="shared" si="1"/>
        <v>3.4999999999999996E-3</v>
      </c>
    </row>
    <row r="24" spans="1:7" s="313" customFormat="1">
      <c r="A24" s="234" t="s">
        <v>815</v>
      </c>
      <c r="B24" s="234">
        <v>0.14452999999999999</v>
      </c>
      <c r="C24" s="234">
        <v>6.8699999999999997E-2</v>
      </c>
      <c r="D24" s="234">
        <v>4.0000000000000001E-3</v>
      </c>
      <c r="F24" s="313">
        <f t="shared" si="0"/>
        <v>0.14052999999999999</v>
      </c>
      <c r="G24" s="313">
        <f t="shared" si="1"/>
        <v>6.4699999999999994E-2</v>
      </c>
    </row>
    <row r="25" spans="1:7" s="313" customFormat="1">
      <c r="A25" s="234" t="s">
        <v>816</v>
      </c>
      <c r="B25" s="234">
        <v>8.4040000000000004E-2</v>
      </c>
      <c r="C25" s="234">
        <v>3.6600000000000001E-2</v>
      </c>
      <c r="D25" s="234">
        <v>4.5000000000000005E-3</v>
      </c>
      <c r="F25" s="313">
        <f t="shared" si="0"/>
        <v>7.954E-2</v>
      </c>
      <c r="G25" s="313">
        <f t="shared" si="1"/>
        <v>3.2100000000000004E-2</v>
      </c>
    </row>
    <row r="26" spans="1:7" s="313" customFormat="1">
      <c r="A26" s="234" t="s">
        <v>817</v>
      </c>
      <c r="B26" s="234">
        <v>-2.2359999999999998E-2</v>
      </c>
      <c r="C26" s="234">
        <v>-1.9400000000000001E-2</v>
      </c>
      <c r="D26" s="234">
        <v>4.5000000000000005E-3</v>
      </c>
      <c r="F26" s="313">
        <f t="shared" si="0"/>
        <v>-2.6859999999999998E-2</v>
      </c>
      <c r="G26" s="313">
        <f t="shared" si="1"/>
        <v>-2.3900000000000001E-2</v>
      </c>
    </row>
    <row r="27" spans="1:7" s="313" customFormat="1">
      <c r="A27" s="234" t="s">
        <v>818</v>
      </c>
      <c r="B27" s="234">
        <v>-7.7089999999999992E-2</v>
      </c>
      <c r="C27" s="234">
        <v>-4.8100000000000004E-2</v>
      </c>
      <c r="D27" s="234">
        <v>4.3E-3</v>
      </c>
      <c r="F27" s="313">
        <f t="shared" si="0"/>
        <v>-8.138999999999999E-2</v>
      </c>
      <c r="G27" s="313">
        <f t="shared" si="1"/>
        <v>-5.2400000000000002E-2</v>
      </c>
    </row>
    <row r="28" spans="1:7" s="313" customFormat="1">
      <c r="A28" s="234" t="s">
        <v>417</v>
      </c>
      <c r="B28" s="234">
        <v>-3.6789999999999989E-2</v>
      </c>
      <c r="C28" s="234">
        <v>-2.7099999999999999E-2</v>
      </c>
      <c r="D28" s="234">
        <v>4.7000000000000002E-3</v>
      </c>
      <c r="F28" s="313">
        <f t="shared" si="0"/>
        <v>-4.1489999999999992E-2</v>
      </c>
      <c r="G28" s="313">
        <f t="shared" si="1"/>
        <v>-3.1800000000000002E-2</v>
      </c>
    </row>
    <row r="29" spans="1:7" s="313" customFormat="1">
      <c r="A29" s="234" t="s">
        <v>418</v>
      </c>
      <c r="B29" s="234">
        <v>0.19052999999999998</v>
      </c>
      <c r="C29" s="234">
        <v>9.2699999999999991E-2</v>
      </c>
      <c r="D29" s="234">
        <v>4.4000000000000003E-3</v>
      </c>
      <c r="F29" s="313">
        <f t="shared" si="0"/>
        <v>0.18612999999999999</v>
      </c>
      <c r="G29" s="313">
        <f t="shared" si="1"/>
        <v>8.829999999999999E-2</v>
      </c>
    </row>
    <row r="30" spans="1:7" s="313" customFormat="1">
      <c r="A30" s="234" t="s">
        <v>419</v>
      </c>
      <c r="B30" s="234">
        <v>0.11499999999999999</v>
      </c>
      <c r="C30" s="234">
        <v>5.2999999999999999E-2</v>
      </c>
      <c r="D30" s="234">
        <v>4.3E-3</v>
      </c>
      <c r="F30" s="313">
        <f t="shared" si="0"/>
        <v>0.11069999999999999</v>
      </c>
      <c r="G30" s="313">
        <f t="shared" si="1"/>
        <v>4.87E-2</v>
      </c>
    </row>
    <row r="31" spans="1:7" s="313" customFormat="1">
      <c r="A31" s="234" t="s">
        <v>819</v>
      </c>
      <c r="B31" s="234">
        <v>3.6930000000000004E-2</v>
      </c>
      <c r="C31" s="234">
        <v>1.17E-2</v>
      </c>
      <c r="D31" s="234">
        <v>4.7000000000000002E-3</v>
      </c>
      <c r="F31" s="313">
        <f t="shared" si="0"/>
        <v>3.2230000000000002E-2</v>
      </c>
      <c r="G31" s="313">
        <f t="shared" si="1"/>
        <v>7.0000000000000001E-3</v>
      </c>
    </row>
    <row r="32" spans="1:7" s="313" customFormat="1">
      <c r="A32" s="234" t="s">
        <v>820</v>
      </c>
      <c r="B32" s="234">
        <v>0.11851</v>
      </c>
      <c r="C32" s="234">
        <v>5.4900000000000004E-2</v>
      </c>
      <c r="D32" s="234">
        <v>4.1999999999999997E-3</v>
      </c>
      <c r="F32" s="313">
        <f t="shared" si="0"/>
        <v>0.11431000000000001</v>
      </c>
      <c r="G32" s="313">
        <f t="shared" si="1"/>
        <v>5.0700000000000002E-2</v>
      </c>
    </row>
    <row r="33" spans="1:7" s="313" customFormat="1">
      <c r="A33" s="234" t="s">
        <v>821</v>
      </c>
      <c r="B33" s="234">
        <v>7.6240000000000002E-2</v>
      </c>
      <c r="C33" s="234">
        <v>3.2600000000000004E-2</v>
      </c>
      <c r="D33" s="234">
        <v>4.3E-3</v>
      </c>
      <c r="F33" s="313">
        <f t="shared" si="0"/>
        <v>7.1940000000000004E-2</v>
      </c>
      <c r="G33" s="313">
        <f t="shared" si="1"/>
        <v>2.8300000000000006E-2</v>
      </c>
    </row>
    <row r="34" spans="1:7" s="313" customFormat="1">
      <c r="A34" s="234" t="s">
        <v>822</v>
      </c>
      <c r="B34" s="234">
        <v>-6.5099999999999991E-2</v>
      </c>
      <c r="C34" s="234">
        <v>-4.2000000000000003E-2</v>
      </c>
      <c r="D34" s="234">
        <v>4.7000000000000002E-3</v>
      </c>
      <c r="F34" s="313">
        <f t="shared" si="0"/>
        <v>-6.9799999999999987E-2</v>
      </c>
      <c r="G34" s="313">
        <f t="shared" si="1"/>
        <v>-4.6700000000000005E-2</v>
      </c>
    </row>
    <row r="35" spans="1:7" s="313" customFormat="1">
      <c r="A35" s="234" t="s">
        <v>823</v>
      </c>
      <c r="B35" s="234">
        <v>0.10521999999999999</v>
      </c>
      <c r="C35" s="234">
        <v>4.7800000000000002E-2</v>
      </c>
      <c r="D35" s="234">
        <v>4.4000000000000003E-3</v>
      </c>
      <c r="F35" s="313">
        <f t="shared" si="0"/>
        <v>0.10081999999999999</v>
      </c>
      <c r="G35" s="313">
        <f t="shared" si="1"/>
        <v>4.3400000000000001E-2</v>
      </c>
    </row>
    <row r="36" spans="1:7" s="313" customFormat="1">
      <c r="A36" s="234" t="s">
        <v>824</v>
      </c>
      <c r="B36" s="234">
        <v>7.4520000000000003E-2</v>
      </c>
      <c r="C36" s="234">
        <v>3.1800000000000002E-2</v>
      </c>
      <c r="D36" s="234">
        <v>4.0999999999999995E-3</v>
      </c>
      <c r="F36" s="313">
        <f t="shared" si="0"/>
        <v>7.042000000000001E-2</v>
      </c>
      <c r="G36" s="313">
        <f t="shared" si="1"/>
        <v>2.7700000000000002E-2</v>
      </c>
    </row>
    <row r="37" spans="1:7" s="313" customFormat="1">
      <c r="A37" s="234" t="s">
        <v>825</v>
      </c>
      <c r="B37" s="234">
        <v>4.6609999999999992E-2</v>
      </c>
      <c r="C37" s="234">
        <v>1.6899999999999998E-2</v>
      </c>
      <c r="D37" s="234">
        <v>4.5000000000000005E-3</v>
      </c>
      <c r="F37" s="313">
        <f t="shared" si="0"/>
        <v>4.2109999999999995E-2</v>
      </c>
      <c r="G37" s="313">
        <f t="shared" si="1"/>
        <v>1.2399999999999998E-2</v>
      </c>
    </row>
    <row r="38" spans="1:7" s="313" customFormat="1">
      <c r="A38" s="234" t="s">
        <v>826</v>
      </c>
      <c r="B38" s="234">
        <v>5.4509999999999996E-2</v>
      </c>
      <c r="C38" s="234">
        <v>2.0899999999999998E-2</v>
      </c>
      <c r="D38" s="234">
        <v>4.7999999999999996E-3</v>
      </c>
      <c r="F38" s="313">
        <f t="shared" si="0"/>
        <v>4.9709999999999997E-2</v>
      </c>
      <c r="G38" s="313">
        <f t="shared" si="1"/>
        <v>1.61E-2</v>
      </c>
    </row>
    <row r="39" spans="1:7" s="313" customFormat="1">
      <c r="A39" s="234" t="s">
        <v>827</v>
      </c>
      <c r="B39" s="234">
        <v>5.466E-2</v>
      </c>
      <c r="C39" s="234">
        <v>2.1400000000000002E-2</v>
      </c>
      <c r="D39" s="234">
        <v>4.0000000000000001E-3</v>
      </c>
      <c r="F39" s="313">
        <f t="shared" si="0"/>
        <v>5.0659999999999997E-2</v>
      </c>
      <c r="G39" s="313">
        <f t="shared" si="1"/>
        <v>1.7400000000000002E-2</v>
      </c>
    </row>
    <row r="40" spans="1:7" s="313" customFormat="1">
      <c r="A40" s="234" t="s">
        <v>429</v>
      </c>
      <c r="B40" s="234">
        <v>2.8800000000000023E-3</v>
      </c>
      <c r="C40" s="234">
        <v>-5.7999999999999996E-3</v>
      </c>
      <c r="D40" s="234">
        <v>3.9000000000000003E-3</v>
      </c>
      <c r="F40" s="313">
        <f t="shared" si="0"/>
        <v>-1.0199999999999979E-3</v>
      </c>
      <c r="G40" s="313">
        <f t="shared" si="1"/>
        <v>-9.7000000000000003E-3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v>4.0000000000000001E-3</v>
      </c>
      <c r="F41">
        <f t="shared" si="0"/>
        <v>0.14129000000000003</v>
      </c>
      <c r="G41">
        <f t="shared" si="1"/>
        <v>6.5100000000000005E-2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v>3.7000000000000002E-3</v>
      </c>
      <c r="F42">
        <f t="shared" si="0"/>
        <v>-4.3199999999999995E-2</v>
      </c>
      <c r="G42">
        <f t="shared" si="1"/>
        <v>-3.1699999999999999E-2</v>
      </c>
    </row>
  </sheetData>
  <mergeCells count="6">
    <mergeCell ref="F5:G5"/>
    <mergeCell ref="B5:C5"/>
    <mergeCell ref="I3:J3"/>
    <mergeCell ref="L3:M3"/>
    <mergeCell ref="I4:J4"/>
    <mergeCell ref="L4:M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tabSelected="1" workbookViewId="0">
      <selection activeCell="G3" sqref="G3"/>
    </sheetView>
  </sheetViews>
  <sheetFormatPr defaultRowHeight="14.5"/>
  <cols>
    <col min="2" max="2" width="19.36328125" bestFit="1" customWidth="1"/>
    <col min="5" max="5" width="34.453125" customWidth="1"/>
  </cols>
  <sheetData>
    <row r="1" spans="1:5">
      <c r="B1" s="1" t="s">
        <v>659</v>
      </c>
      <c r="C1" s="210"/>
      <c r="D1" s="210"/>
      <c r="E1" s="158"/>
    </row>
    <row r="2" spans="1:5">
      <c r="B2" s="1"/>
    </row>
    <row r="3" spans="1:5">
      <c r="C3" s="3" t="s">
        <v>670</v>
      </c>
      <c r="D3" s="3" t="s">
        <v>671</v>
      </c>
      <c r="E3" s="215" t="s">
        <v>665</v>
      </c>
    </row>
    <row r="4" spans="1:5">
      <c r="A4" s="208" t="s">
        <v>592</v>
      </c>
      <c r="B4" s="208" t="s">
        <v>644</v>
      </c>
      <c r="C4" s="211" t="s">
        <v>590</v>
      </c>
      <c r="D4" s="208" t="s">
        <v>669</v>
      </c>
      <c r="E4" s="213" t="s">
        <v>591</v>
      </c>
    </row>
    <row r="5" spans="1:5">
      <c r="A5" s="209" t="s">
        <v>593</v>
      </c>
      <c r="B5" s="209" t="s">
        <v>645</v>
      </c>
      <c r="C5" s="212">
        <v>30</v>
      </c>
      <c r="D5">
        <v>106.4</v>
      </c>
      <c r="E5" s="214">
        <v>36.6</v>
      </c>
    </row>
    <row r="6" spans="1:5">
      <c r="A6" s="209" t="s">
        <v>594</v>
      </c>
      <c r="B6" s="209" t="s">
        <v>645</v>
      </c>
      <c r="C6" s="210">
        <v>27.7</v>
      </c>
      <c r="D6">
        <v>108</v>
      </c>
      <c r="E6" s="214">
        <v>48.8</v>
      </c>
    </row>
    <row r="7" spans="1:5">
      <c r="A7" s="209" t="s">
        <v>595</v>
      </c>
      <c r="B7" s="209" t="s">
        <v>645</v>
      </c>
      <c r="C7" s="210">
        <v>26.2</v>
      </c>
      <c r="D7">
        <v>104.7</v>
      </c>
      <c r="E7" s="214">
        <v>64.600000000000009</v>
      </c>
    </row>
    <row r="8" spans="1:5">
      <c r="A8" s="209" t="s">
        <v>596</v>
      </c>
      <c r="B8" s="209" t="s">
        <v>645</v>
      </c>
      <c r="C8" s="210">
        <v>25.8</v>
      </c>
      <c r="D8">
        <v>106.1</v>
      </c>
      <c r="E8" s="214">
        <v>54.900000000000006</v>
      </c>
    </row>
    <row r="9" spans="1:5">
      <c r="A9" s="209" t="s">
        <v>597</v>
      </c>
      <c r="B9" s="209" t="s">
        <v>645</v>
      </c>
      <c r="C9" s="210">
        <v>23.8</v>
      </c>
      <c r="D9">
        <v>105.9</v>
      </c>
      <c r="E9" s="214">
        <v>57.3</v>
      </c>
    </row>
    <row r="10" spans="1:5">
      <c r="A10" s="209" t="s">
        <v>598</v>
      </c>
      <c r="B10" s="209" t="s">
        <v>645</v>
      </c>
      <c r="C10" s="210">
        <v>24.8</v>
      </c>
      <c r="D10">
        <v>104.1</v>
      </c>
      <c r="E10" s="214">
        <v>73.2</v>
      </c>
    </row>
    <row r="11" spans="1:5">
      <c r="A11" s="209" t="s">
        <v>599</v>
      </c>
      <c r="B11" s="209" t="s">
        <v>645</v>
      </c>
      <c r="C11" s="210">
        <v>26.2</v>
      </c>
      <c r="D11">
        <v>102.7</v>
      </c>
      <c r="E11" s="214">
        <v>65.900000000000006</v>
      </c>
    </row>
    <row r="12" spans="1:5">
      <c r="A12" s="209" t="s">
        <v>600</v>
      </c>
      <c r="B12" s="209" t="s">
        <v>645</v>
      </c>
      <c r="C12" s="210">
        <v>23.9</v>
      </c>
      <c r="D12">
        <v>103.1</v>
      </c>
      <c r="E12" s="214">
        <v>69.5</v>
      </c>
    </row>
    <row r="13" spans="1:5">
      <c r="A13" s="209" t="s">
        <v>601</v>
      </c>
      <c r="B13" s="209" t="s">
        <v>645</v>
      </c>
      <c r="C13" s="210">
        <v>21.8</v>
      </c>
      <c r="D13">
        <v>103.8</v>
      </c>
      <c r="E13" s="214">
        <v>70.7</v>
      </c>
    </row>
    <row r="14" spans="1:5">
      <c r="A14" s="209" t="s">
        <v>602</v>
      </c>
      <c r="B14" s="209" t="s">
        <v>645</v>
      </c>
      <c r="C14" s="210">
        <v>21.5</v>
      </c>
      <c r="D14">
        <v>103.7</v>
      </c>
      <c r="E14" s="214">
        <v>65.900000000000006</v>
      </c>
    </row>
    <row r="15" spans="1:5">
      <c r="A15" s="209" t="s">
        <v>603</v>
      </c>
      <c r="B15" s="209" t="s">
        <v>645</v>
      </c>
      <c r="C15" s="212">
        <v>22</v>
      </c>
      <c r="D15">
        <v>103.2</v>
      </c>
      <c r="E15" s="214">
        <v>75.599999999999994</v>
      </c>
    </row>
    <row r="16" spans="1:5">
      <c r="A16" s="209" t="s">
        <v>604</v>
      </c>
      <c r="B16" s="209" t="s">
        <v>645</v>
      </c>
      <c r="C16" s="210">
        <v>23.4</v>
      </c>
      <c r="D16">
        <v>102.7</v>
      </c>
      <c r="E16" s="214">
        <v>75.599999999999994</v>
      </c>
    </row>
    <row r="17" spans="1:5">
      <c r="A17" s="209" t="s">
        <v>605</v>
      </c>
      <c r="B17" s="209" t="s">
        <v>646</v>
      </c>
      <c r="C17" s="210">
        <v>23.9</v>
      </c>
      <c r="D17">
        <v>101.6</v>
      </c>
      <c r="E17" s="214">
        <v>79.3</v>
      </c>
    </row>
    <row r="18" spans="1:5">
      <c r="A18" s="209" t="s">
        <v>606</v>
      </c>
      <c r="B18" s="209" t="s">
        <v>646</v>
      </c>
      <c r="C18" s="210">
        <v>19.600000000000001</v>
      </c>
      <c r="D18">
        <v>99.1</v>
      </c>
      <c r="E18" s="214">
        <v>75.599999999999994</v>
      </c>
    </row>
    <row r="19" spans="1:5">
      <c r="A19" s="209" t="s">
        <v>607</v>
      </c>
      <c r="B19" s="209" t="s">
        <v>646</v>
      </c>
      <c r="C19" s="210">
        <v>22.5</v>
      </c>
      <c r="D19">
        <v>100.1</v>
      </c>
      <c r="E19" s="214">
        <v>69.5</v>
      </c>
    </row>
    <row r="20" spans="1:5">
      <c r="A20" s="209" t="s">
        <v>608</v>
      </c>
      <c r="B20" s="209" t="s">
        <v>646</v>
      </c>
      <c r="C20" s="210">
        <v>22.3</v>
      </c>
      <c r="D20">
        <v>96.3</v>
      </c>
      <c r="E20" s="214">
        <v>76.8</v>
      </c>
    </row>
    <row r="21" spans="1:5">
      <c r="A21" s="209" t="s">
        <v>609</v>
      </c>
      <c r="B21" s="209" t="s">
        <v>646</v>
      </c>
      <c r="C21" s="210">
        <v>19.399999999999999</v>
      </c>
      <c r="D21">
        <v>94.1</v>
      </c>
      <c r="E21" s="214">
        <v>70.7</v>
      </c>
    </row>
    <row r="22" spans="1:5">
      <c r="A22" s="209" t="s">
        <v>610</v>
      </c>
      <c r="B22" s="209" t="s">
        <v>647</v>
      </c>
      <c r="C22" s="210">
        <v>19.899999999999999</v>
      </c>
      <c r="D22">
        <v>92.5</v>
      </c>
      <c r="E22" s="214">
        <v>52.400000000000006</v>
      </c>
    </row>
    <row r="23" spans="1:5">
      <c r="A23" s="209" t="s">
        <v>611</v>
      </c>
      <c r="B23" s="209" t="s">
        <v>648</v>
      </c>
      <c r="C23" s="210">
        <v>15.1</v>
      </c>
      <c r="D23">
        <v>96.2</v>
      </c>
      <c r="E23" s="214">
        <v>47.599999999999994</v>
      </c>
    </row>
    <row r="24" spans="1:5">
      <c r="A24" s="209" t="s">
        <v>612</v>
      </c>
      <c r="B24" s="209" t="s">
        <v>649</v>
      </c>
      <c r="C24" s="210">
        <v>14.2</v>
      </c>
      <c r="D24">
        <v>95.5</v>
      </c>
      <c r="E24" s="214">
        <v>40.200000000000003</v>
      </c>
    </row>
    <row r="25" spans="1:5">
      <c r="A25" s="209" t="s">
        <v>613</v>
      </c>
      <c r="B25" s="209" t="s">
        <v>650</v>
      </c>
      <c r="C25" s="210">
        <v>21.7</v>
      </c>
      <c r="D25">
        <v>95.2</v>
      </c>
      <c r="E25" s="214">
        <v>58.5</v>
      </c>
    </row>
    <row r="26" spans="1:5">
      <c r="A26" s="209" t="s">
        <v>614</v>
      </c>
      <c r="B26" s="209" t="s">
        <v>650</v>
      </c>
      <c r="C26" s="210">
        <v>21.2</v>
      </c>
      <c r="D26">
        <v>92.4</v>
      </c>
      <c r="E26" s="214">
        <v>64.600000000000009</v>
      </c>
    </row>
    <row r="27" spans="1:5">
      <c r="A27" s="209" t="s">
        <v>615</v>
      </c>
      <c r="B27" s="209" t="s">
        <v>651</v>
      </c>
      <c r="C27" s="210">
        <v>26.2</v>
      </c>
      <c r="D27">
        <v>91.1</v>
      </c>
      <c r="E27" s="214">
        <v>68.300000000000011</v>
      </c>
    </row>
    <row r="28" spans="1:5">
      <c r="A28" s="209" t="s">
        <v>616</v>
      </c>
      <c r="B28" s="209" t="s">
        <v>651</v>
      </c>
      <c r="C28" s="210">
        <v>28.3</v>
      </c>
      <c r="D28">
        <v>93.6</v>
      </c>
      <c r="E28" s="214">
        <v>74.400000000000006</v>
      </c>
    </row>
    <row r="29" spans="1:5">
      <c r="A29" s="209" t="s">
        <v>617</v>
      </c>
      <c r="B29" s="209" t="s">
        <v>651</v>
      </c>
      <c r="C29" s="210">
        <v>26.3</v>
      </c>
      <c r="D29">
        <v>91.6</v>
      </c>
      <c r="E29" s="214">
        <v>62</v>
      </c>
    </row>
    <row r="30" spans="1:5">
      <c r="A30" s="209" t="s">
        <v>618</v>
      </c>
      <c r="B30" s="209" t="s">
        <v>651</v>
      </c>
      <c r="C30" s="210">
        <v>29.7</v>
      </c>
      <c r="D30">
        <v>93.3</v>
      </c>
      <c r="E30" s="214">
        <v>81.699999999999989</v>
      </c>
    </row>
    <row r="31" spans="1:5">
      <c r="A31" s="209" t="s">
        <v>619</v>
      </c>
      <c r="B31" s="209" t="s">
        <v>651</v>
      </c>
      <c r="C31" s="210">
        <v>28.7</v>
      </c>
      <c r="D31">
        <v>91.7</v>
      </c>
      <c r="E31" s="214">
        <v>68.300000000000011</v>
      </c>
    </row>
    <row r="32" spans="1:5">
      <c r="A32" s="209" t="s">
        <v>620</v>
      </c>
      <c r="B32" s="209" t="s">
        <v>651</v>
      </c>
      <c r="C32" s="210">
        <v>27.2</v>
      </c>
      <c r="D32">
        <v>92.1</v>
      </c>
      <c r="E32" s="214">
        <v>70.7</v>
      </c>
    </row>
    <row r="33" spans="1:5">
      <c r="A33" s="209" t="s">
        <v>621</v>
      </c>
      <c r="B33" s="209" t="s">
        <v>652</v>
      </c>
      <c r="C33" s="212">
        <v>30</v>
      </c>
      <c r="D33">
        <v>92.5</v>
      </c>
      <c r="E33" s="214">
        <v>61</v>
      </c>
    </row>
    <row r="34" spans="1:5">
      <c r="A34" s="209" t="s">
        <v>622</v>
      </c>
      <c r="B34" s="209" t="s">
        <v>652</v>
      </c>
      <c r="C34" s="212">
        <v>24</v>
      </c>
      <c r="D34">
        <v>92.3</v>
      </c>
      <c r="E34" s="214">
        <v>68.300000000000011</v>
      </c>
    </row>
    <row r="35" spans="1:5">
      <c r="A35" s="209" t="s">
        <v>623</v>
      </c>
      <c r="B35" s="209" t="s">
        <v>652</v>
      </c>
      <c r="C35" s="210">
        <v>27.6</v>
      </c>
      <c r="D35">
        <v>90.8</v>
      </c>
      <c r="E35" s="214">
        <v>41.5</v>
      </c>
    </row>
    <row r="36" spans="1:5">
      <c r="A36" s="209" t="s">
        <v>624</v>
      </c>
      <c r="B36" s="209" t="s">
        <v>652</v>
      </c>
      <c r="C36" s="210">
        <v>35.4</v>
      </c>
      <c r="D36">
        <v>90.9</v>
      </c>
      <c r="E36" s="214">
        <v>54.900000000000006</v>
      </c>
    </row>
    <row r="37" spans="1:5">
      <c r="A37" s="209" t="s">
        <v>625</v>
      </c>
      <c r="B37" s="209" t="s">
        <v>652</v>
      </c>
      <c r="C37" s="210">
        <v>31.6</v>
      </c>
      <c r="D37">
        <v>93.5</v>
      </c>
      <c r="E37" s="214">
        <v>51.2</v>
      </c>
    </row>
    <row r="38" spans="1:5">
      <c r="A38" s="209" t="s">
        <v>626</v>
      </c>
      <c r="B38" s="209" t="s">
        <v>652</v>
      </c>
      <c r="C38" s="210">
        <v>28.3</v>
      </c>
      <c r="D38">
        <v>95.6</v>
      </c>
      <c r="E38" s="214">
        <v>69.5</v>
      </c>
    </row>
    <row r="39" spans="1:5">
      <c r="A39" s="209" t="s">
        <v>627</v>
      </c>
      <c r="B39" s="209" t="s">
        <v>652</v>
      </c>
      <c r="C39" s="210">
        <v>26.8</v>
      </c>
      <c r="D39">
        <v>94.3</v>
      </c>
      <c r="E39" s="214">
        <v>79.3</v>
      </c>
    </row>
    <row r="40" spans="1:5">
      <c r="A40" s="209" t="s">
        <v>628</v>
      </c>
      <c r="B40" s="209" t="s">
        <v>652</v>
      </c>
      <c r="C40" s="212">
        <v>27</v>
      </c>
      <c r="D40">
        <v>92.8</v>
      </c>
      <c r="E40" s="214">
        <v>69.5</v>
      </c>
    </row>
    <row r="41" spans="1:5">
      <c r="A41" s="209" t="s">
        <v>629</v>
      </c>
      <c r="B41" s="209" t="s">
        <v>652</v>
      </c>
      <c r="C41" s="210">
        <v>25.3</v>
      </c>
      <c r="D41">
        <v>90.7</v>
      </c>
      <c r="E41" s="214">
        <v>69.5</v>
      </c>
    </row>
    <row r="42" spans="1:5">
      <c r="A42" s="209" t="s">
        <v>630</v>
      </c>
      <c r="B42" s="209" t="s">
        <v>652</v>
      </c>
      <c r="C42" s="210">
        <v>27.9</v>
      </c>
      <c r="D42">
        <v>90.5</v>
      </c>
      <c r="E42" s="214">
        <v>62.1</v>
      </c>
    </row>
    <row r="43" spans="1:5">
      <c r="A43" s="209" t="s">
        <v>631</v>
      </c>
      <c r="B43" s="209" t="s">
        <v>652</v>
      </c>
      <c r="C43" s="210">
        <v>27.3</v>
      </c>
      <c r="D43">
        <v>94.4</v>
      </c>
      <c r="E43" s="214">
        <v>54.900000000000006</v>
      </c>
    </row>
    <row r="44" spans="1:5">
      <c r="A44" s="209" t="s">
        <v>632</v>
      </c>
      <c r="B44" s="209" t="s">
        <v>653</v>
      </c>
      <c r="C44" s="210">
        <v>17.399999999999999</v>
      </c>
      <c r="D44">
        <v>98.7</v>
      </c>
      <c r="E44" s="214">
        <v>32.9</v>
      </c>
    </row>
    <row r="45" spans="1:5">
      <c r="A45" s="209" t="s">
        <v>633</v>
      </c>
      <c r="B45" s="209" t="s">
        <v>654</v>
      </c>
      <c r="C45" s="212">
        <v>12</v>
      </c>
      <c r="D45">
        <v>94</v>
      </c>
      <c r="E45" s="214">
        <v>25.6</v>
      </c>
    </row>
    <row r="46" spans="1:5">
      <c r="A46" s="209" t="s">
        <v>634</v>
      </c>
      <c r="B46" s="209" t="s">
        <v>652</v>
      </c>
      <c r="C46" s="210">
        <v>17.600000000000001</v>
      </c>
      <c r="D46">
        <v>95.6</v>
      </c>
      <c r="E46" s="214">
        <v>20.7</v>
      </c>
    </row>
    <row r="47" spans="1:5">
      <c r="A47" s="209" t="s">
        <v>635</v>
      </c>
      <c r="B47" s="209" t="s">
        <v>655</v>
      </c>
      <c r="C47" s="210">
        <v>15.6</v>
      </c>
      <c r="D47">
        <v>98.5</v>
      </c>
      <c r="E47" s="214">
        <v>31.7</v>
      </c>
    </row>
    <row r="48" spans="1:5">
      <c r="A48" s="209" t="s">
        <v>636</v>
      </c>
      <c r="B48" s="209" t="s">
        <v>656</v>
      </c>
      <c r="C48" s="210">
        <v>16.100000000000001</v>
      </c>
      <c r="D48">
        <v>100.3</v>
      </c>
      <c r="E48" s="214">
        <v>42.699999999999996</v>
      </c>
    </row>
    <row r="49" spans="1:5">
      <c r="A49" s="209" t="s">
        <v>637</v>
      </c>
      <c r="B49" s="209" t="s">
        <v>657</v>
      </c>
      <c r="C49" s="210">
        <v>27.4</v>
      </c>
      <c r="D49">
        <v>103.2</v>
      </c>
      <c r="E49" s="214">
        <v>45.1</v>
      </c>
    </row>
    <row r="50" spans="1:5">
      <c r="A50" s="209" t="s">
        <v>638</v>
      </c>
      <c r="B50" s="209" t="s">
        <v>658</v>
      </c>
      <c r="C50" s="210">
        <v>26.1</v>
      </c>
      <c r="D50">
        <v>100.9</v>
      </c>
      <c r="E50" s="214">
        <v>73.2</v>
      </c>
    </row>
    <row r="51" spans="1:5">
      <c r="A51" s="209" t="s">
        <v>639</v>
      </c>
      <c r="B51" s="209" t="s">
        <v>657</v>
      </c>
      <c r="C51" s="212">
        <v>25</v>
      </c>
      <c r="D51">
        <v>98.7</v>
      </c>
      <c r="E51" s="214">
        <v>58.3</v>
      </c>
    </row>
    <row r="52" spans="1:5">
      <c r="A52" s="209" t="s">
        <v>640</v>
      </c>
      <c r="B52" s="209" t="s">
        <v>657</v>
      </c>
      <c r="C52" s="210">
        <v>30.3</v>
      </c>
      <c r="D52">
        <v>100.1</v>
      </c>
      <c r="E52" s="214">
        <v>40.200000000000003</v>
      </c>
    </row>
    <row r="53" spans="1:5">
      <c r="A53" s="209" t="s">
        <v>641</v>
      </c>
      <c r="B53" s="209" t="s">
        <v>657</v>
      </c>
      <c r="C53" s="210">
        <v>28.9</v>
      </c>
      <c r="D53">
        <v>101.3</v>
      </c>
      <c r="E53" s="214">
        <v>52.400000000000006</v>
      </c>
    </row>
    <row r="54" spans="1:5">
      <c r="A54" s="209" t="s">
        <v>642</v>
      </c>
      <c r="B54" s="209" t="s">
        <v>657</v>
      </c>
      <c r="C54" s="210">
        <v>25.7</v>
      </c>
      <c r="D54">
        <v>100.9</v>
      </c>
      <c r="E54" s="214">
        <v>57.3</v>
      </c>
    </row>
    <row r="55" spans="1:5">
      <c r="A55" s="209" t="s">
        <v>643</v>
      </c>
      <c r="B55" s="209" t="s">
        <v>657</v>
      </c>
      <c r="C55" s="210">
        <v>24.4</v>
      </c>
      <c r="D55">
        <v>97.6</v>
      </c>
      <c r="E55" s="214">
        <v>61.5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L26" sqref="L26"/>
    </sheetView>
  </sheetViews>
  <sheetFormatPr defaultRowHeight="14.5"/>
  <cols>
    <col min="1" max="1" width="10.5429687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5" width="9.54296875" customWidth="1"/>
    <col min="16" max="16" width="8.4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285" t="s">
        <v>60</v>
      </c>
      <c r="C1" s="288"/>
      <c r="D1" s="288"/>
      <c r="I1" s="285"/>
      <c r="J1" s="288"/>
      <c r="K1" s="288"/>
    </row>
    <row r="2" spans="1:18">
      <c r="A2" t="s">
        <v>209</v>
      </c>
      <c r="B2" t="s">
        <v>52</v>
      </c>
      <c r="C2" t="s">
        <v>53</v>
      </c>
      <c r="D2" t="s">
        <v>127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6DE7-7A7C-4EDC-A6CD-BF7F4B2DE455}">
  <dimension ref="A1:H26"/>
  <sheetViews>
    <sheetView workbookViewId="0">
      <selection activeCell="J32" sqref="J32"/>
    </sheetView>
  </sheetViews>
  <sheetFormatPr defaultRowHeight="14.5"/>
  <cols>
    <col min="1" max="1" width="10.54296875" bestFit="1" customWidth="1"/>
    <col min="2" max="2" width="11.453125" customWidth="1"/>
    <col min="3" max="3" width="10.453125" bestFit="1" customWidth="1"/>
    <col min="7" max="7" width="17.54296875" customWidth="1"/>
  </cols>
  <sheetData>
    <row r="1" spans="1:8" ht="21">
      <c r="A1" s="266" t="s">
        <v>869</v>
      </c>
      <c r="B1" s="234"/>
      <c r="C1" s="234"/>
      <c r="D1" s="234"/>
      <c r="E1" s="234"/>
    </row>
    <row r="4" spans="1:8">
      <c r="E4" s="287" t="s">
        <v>26</v>
      </c>
      <c r="F4" s="288"/>
      <c r="H4" t="s">
        <v>27</v>
      </c>
    </row>
    <row r="5" spans="1:8">
      <c r="A5" t="s">
        <v>209</v>
      </c>
      <c r="B5" t="s">
        <v>28</v>
      </c>
      <c r="C5" t="s">
        <v>29</v>
      </c>
      <c r="E5" t="s">
        <v>30</v>
      </c>
      <c r="F5" t="s">
        <v>31</v>
      </c>
    </row>
    <row r="6" spans="1:8">
      <c r="A6" s="43">
        <v>44225</v>
      </c>
      <c r="B6" s="29">
        <v>2.66491685871066E-2</v>
      </c>
      <c r="C6" s="29">
        <v>2.3251451798530299E-3</v>
      </c>
      <c r="D6" s="2"/>
      <c r="E6" s="2">
        <f t="shared" ref="E6:E17" si="0">B6-$B$19</f>
        <v>1.0365690878234805E-2</v>
      </c>
      <c r="F6" s="2">
        <f t="shared" ref="F6:F17" si="1">C6-$C$19</f>
        <v>3.5865547599501692E-3</v>
      </c>
      <c r="G6" s="2"/>
      <c r="H6" s="2">
        <f t="shared" ref="H6:H17" si="2">E6*F6</f>
        <v>3.7177117959505086E-5</v>
      </c>
    </row>
    <row r="7" spans="1:8">
      <c r="A7" s="43">
        <v>44253</v>
      </c>
      <c r="B7" s="29">
        <v>-7.9993111119980503E-2</v>
      </c>
      <c r="C7" s="29">
        <v>-0.18285430765304</v>
      </c>
      <c r="D7" s="2"/>
      <c r="E7" s="2">
        <f t="shared" si="0"/>
        <v>-9.6276588828852303E-2</v>
      </c>
      <c r="F7" s="2">
        <f t="shared" si="1"/>
        <v>-0.18159289807294288</v>
      </c>
      <c r="G7" s="2"/>
      <c r="H7" s="2">
        <f t="shared" si="2"/>
        <v>1.7483144782008408E-2</v>
      </c>
    </row>
    <row r="8" spans="1:8">
      <c r="A8" s="43">
        <v>44286</v>
      </c>
      <c r="B8" s="29">
        <v>0.12781874616733399</v>
      </c>
      <c r="C8" s="29">
        <v>7.7511807811569897E-2</v>
      </c>
      <c r="D8" s="2"/>
      <c r="E8" s="2">
        <f t="shared" si="0"/>
        <v>0.11153526845846219</v>
      </c>
      <c r="F8" s="2">
        <f t="shared" si="1"/>
        <v>7.8773217391667039E-2</v>
      </c>
      <c r="G8" s="2"/>
      <c r="H8" s="2">
        <f t="shared" si="2"/>
        <v>8.7859919491163861E-3</v>
      </c>
    </row>
    <row r="9" spans="1:8">
      <c r="A9" s="43">
        <v>44316</v>
      </c>
      <c r="B9" s="29">
        <v>4.30954365242011E-2</v>
      </c>
      <c r="C9" s="29">
        <v>-0.123367742221906</v>
      </c>
      <c r="D9" s="2"/>
      <c r="E9" s="2">
        <f t="shared" si="0"/>
        <v>2.6811958815329304E-2</v>
      </c>
      <c r="F9" s="2">
        <f t="shared" si="1"/>
        <v>-0.12210633264180885</v>
      </c>
      <c r="G9" s="2"/>
      <c r="H9" s="2">
        <f t="shared" si="2"/>
        <v>-3.2739099618830795E-3</v>
      </c>
    </row>
    <row r="10" spans="1:8">
      <c r="A10" s="43">
        <v>44344</v>
      </c>
      <c r="B10" s="29">
        <v>4.9127124826307102E-3</v>
      </c>
      <c r="C10" s="29">
        <v>-5.4880200659160501E-3</v>
      </c>
      <c r="D10" s="2"/>
      <c r="E10" s="2">
        <f t="shared" si="0"/>
        <v>-1.1370765226241086E-2</v>
      </c>
      <c r="F10" s="2">
        <f t="shared" si="1"/>
        <v>-4.2266104858189107E-3</v>
      </c>
      <c r="G10" s="2"/>
      <c r="H10" s="2">
        <f t="shared" si="2"/>
        <v>4.8059795537015612E-5</v>
      </c>
    </row>
    <row r="11" spans="1:8">
      <c r="A11" s="43">
        <v>44377</v>
      </c>
      <c r="B11" s="29">
        <v>-1.49670290589293E-2</v>
      </c>
      <c r="C11" s="29">
        <v>0.18919986086454399</v>
      </c>
      <c r="D11" s="2"/>
      <c r="E11" s="2">
        <f t="shared" si="0"/>
        <v>-3.1250506767801098E-2</v>
      </c>
      <c r="F11" s="2">
        <f t="shared" si="1"/>
        <v>0.19046127044464112</v>
      </c>
      <c r="G11" s="2"/>
      <c r="H11" s="2">
        <f t="shared" si="2"/>
        <v>-5.9520112210342526E-3</v>
      </c>
    </row>
    <row r="12" spans="1:8">
      <c r="A12" s="43">
        <v>44407</v>
      </c>
      <c r="B12" s="29">
        <v>6.4728517382665898E-2</v>
      </c>
      <c r="C12" s="29">
        <v>-4.9386820408811101E-2</v>
      </c>
      <c r="D12" s="2"/>
      <c r="E12" s="2">
        <f t="shared" si="0"/>
        <v>4.8445039673794099E-2</v>
      </c>
      <c r="F12" s="2">
        <f t="shared" si="1"/>
        <v>-4.8125410828713959E-2</v>
      </c>
      <c r="G12" s="2"/>
      <c r="H12" s="2">
        <f t="shared" si="2"/>
        <v>-2.331437436914688E-3</v>
      </c>
    </row>
    <row r="13" spans="1:8">
      <c r="A13" s="43">
        <v>44439</v>
      </c>
      <c r="B13" s="29">
        <v>4.9579659557048199E-3</v>
      </c>
      <c r="C13" s="29">
        <v>9.2515097626366199E-2</v>
      </c>
      <c r="D13" s="2"/>
      <c r="E13" s="2">
        <f t="shared" si="0"/>
        <v>-1.1325511753166977E-2</v>
      </c>
      <c r="F13" s="2">
        <f t="shared" si="1"/>
        <v>9.3776507206463341E-2</v>
      </c>
      <c r="G13" s="1"/>
      <c r="H13" s="2">
        <f t="shared" si="2"/>
        <v>-1.0620669345377482E-3</v>
      </c>
    </row>
    <row r="14" spans="1:8">
      <c r="A14" s="43">
        <v>44469</v>
      </c>
      <c r="B14" s="29">
        <v>-6.7552166575601202E-2</v>
      </c>
      <c r="C14" s="29">
        <v>1.5531905153964401E-2</v>
      </c>
      <c r="E14" s="2">
        <f t="shared" si="0"/>
        <v>-8.3835644284473002E-2</v>
      </c>
      <c r="F14" s="2">
        <f t="shared" si="1"/>
        <v>1.6793314734061541E-2</v>
      </c>
      <c r="H14" s="2">
        <f t="shared" si="2"/>
        <v>-1.4078783604019826E-3</v>
      </c>
    </row>
    <row r="15" spans="1:8">
      <c r="A15" s="43">
        <v>44498</v>
      </c>
      <c r="B15" s="29">
        <v>4.5291651401516399E-2</v>
      </c>
      <c r="C15" s="29">
        <v>0.25277600549802298</v>
      </c>
      <c r="E15" s="2">
        <f t="shared" si="0"/>
        <v>2.9008173692644603E-2</v>
      </c>
      <c r="F15" s="2">
        <f t="shared" si="1"/>
        <v>0.25403741507812011</v>
      </c>
      <c r="H15" s="2">
        <f t="shared" si="2"/>
        <v>7.3691614610165608E-3</v>
      </c>
    </row>
    <row r="16" spans="1:8">
      <c r="A16" s="43">
        <v>44530</v>
      </c>
      <c r="B16" s="29">
        <v>-3.9738062631339097E-2</v>
      </c>
      <c r="C16" s="29">
        <v>-0.13370681790633401</v>
      </c>
      <c r="E16" s="2">
        <f t="shared" si="0"/>
        <v>-5.6021540340210896E-2</v>
      </c>
      <c r="F16" s="2">
        <f t="shared" si="1"/>
        <v>-0.13244540832623689</v>
      </c>
      <c r="H16" s="2">
        <f t="shared" si="2"/>
        <v>7.4197957854239835E-3</v>
      </c>
    </row>
    <row r="17" spans="1:8">
      <c r="A17" s="43">
        <v>44560</v>
      </c>
      <c r="B17" s="29">
        <v>8.0197903391152098E-2</v>
      </c>
      <c r="C17" s="29">
        <v>-0.15019302883947899</v>
      </c>
      <c r="E17" s="2">
        <f t="shared" si="0"/>
        <v>6.3914425682280299E-2</v>
      </c>
      <c r="F17" s="2">
        <f t="shared" si="1"/>
        <v>-0.14893161925938186</v>
      </c>
      <c r="H17" s="2">
        <f t="shared" si="2"/>
        <v>-9.5188789108954282E-3</v>
      </c>
    </row>
    <row r="19" spans="1:8">
      <c r="A19" t="s">
        <v>13</v>
      </c>
      <c r="B19" s="29">
        <f>AVERAGE(B6:B17)</f>
        <v>1.6283477708871796E-2</v>
      </c>
      <c r="C19" s="29">
        <f>AVERAGE(C6:C17)</f>
        <v>-1.2614095800971396E-3</v>
      </c>
    </row>
    <row r="20" spans="1:8">
      <c r="D20" t="s">
        <v>32</v>
      </c>
      <c r="H20" s="17">
        <f>AVERAGE(H6:H17)</f>
        <v>1.4664290054495568E-3</v>
      </c>
    </row>
    <row r="21" spans="1:8">
      <c r="D21" t="s">
        <v>33</v>
      </c>
      <c r="H21">
        <f>_xlfn.COVARIANCE.P(B6:B17,C6:C17)</f>
        <v>1.4664290054495568E-3</v>
      </c>
    </row>
    <row r="23" spans="1:8">
      <c r="D23" t="s">
        <v>34</v>
      </c>
      <c r="H23">
        <f>H21/(H25*H26)</f>
        <v>0.19096668798888022</v>
      </c>
    </row>
    <row r="24" spans="1:8">
      <c r="D24" t="s">
        <v>35</v>
      </c>
      <c r="H24">
        <f>CORREL(B6:B17,C6:C17)</f>
        <v>0.19096668798888022</v>
      </c>
    </row>
    <row r="25" spans="1:8">
      <c r="G25" t="s">
        <v>36</v>
      </c>
      <c r="H25">
        <f>STDEVP(B6:B17)</f>
        <v>5.8601806070021835E-2</v>
      </c>
    </row>
    <row r="26" spans="1:8">
      <c r="G26" t="s">
        <v>37</v>
      </c>
      <c r="H26">
        <f>STDEVP(C6:C17)</f>
        <v>0.13103654248057442</v>
      </c>
    </row>
  </sheetData>
  <mergeCells count="1">
    <mergeCell ref="E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54296875" bestFit="1" customWidth="1"/>
  </cols>
  <sheetData>
    <row r="1" spans="1:5">
      <c r="E1" t="s">
        <v>39</v>
      </c>
    </row>
    <row r="2" spans="1:5">
      <c r="B2" t="s">
        <v>491</v>
      </c>
      <c r="C2" t="s">
        <v>40</v>
      </c>
      <c r="E2" t="s">
        <v>17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41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42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493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4.5"/>
  <sheetData>
    <row r="4" spans="2:5">
      <c r="B4" s="1" t="s">
        <v>491</v>
      </c>
      <c r="C4" s="1" t="s">
        <v>212</v>
      </c>
    </row>
    <row r="5" spans="2:5">
      <c r="B5" s="1" t="s">
        <v>16</v>
      </c>
      <c r="C5" s="1" t="s">
        <v>16</v>
      </c>
      <c r="D5" s="1" t="s">
        <v>490</v>
      </c>
      <c r="E5" s="1" t="s">
        <v>492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85" t="s">
        <v>443</v>
      </c>
      <c r="C8" s="285"/>
      <c r="D8" s="1" t="s">
        <v>17</v>
      </c>
    </row>
    <row r="9" spans="2:5">
      <c r="B9" s="3" t="s">
        <v>0</v>
      </c>
      <c r="C9" s="3" t="s">
        <v>491</v>
      </c>
      <c r="D9" s="1" t="s">
        <v>16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4.5"/>
  <cols>
    <col min="1" max="1" width="9.453125" bestFit="1" customWidth="1"/>
    <col min="2" max="2" width="9" bestFit="1" customWidth="1"/>
    <col min="3" max="3" width="12.453125" bestFit="1" customWidth="1"/>
    <col min="4" max="4" width="2.453125" customWidth="1"/>
    <col min="5" max="5" width="13.453125" bestFit="1" customWidth="1"/>
  </cols>
  <sheetData>
    <row r="1" spans="1:5">
      <c r="A1" s="1" t="s">
        <v>209</v>
      </c>
      <c r="B1" s="1" t="s">
        <v>17</v>
      </c>
      <c r="C1" s="1" t="s">
        <v>580</v>
      </c>
      <c r="E1" s="1" t="s">
        <v>576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16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577</v>
      </c>
      <c r="B64" s="40">
        <f>SLOPE(C2:C61,B2:B61)</f>
        <v>0.6172588196669182</v>
      </c>
      <c r="C64" s="40"/>
      <c r="D64" s="40"/>
      <c r="E64" s="40"/>
    </row>
    <row r="65" spans="1:2">
      <c r="A65" s="190" t="s">
        <v>578</v>
      </c>
      <c r="B65" s="191">
        <f>(B64-1)</f>
        <v>-0.3827411803330818</v>
      </c>
    </row>
    <row r="66" spans="1:2">
      <c r="A66" s="190" t="s">
        <v>579</v>
      </c>
      <c r="B66" s="191">
        <f>(E63/B63-1)*100</f>
        <v>-0.37571597481538266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54296875" bestFit="1" customWidth="1"/>
    <col min="5" max="5" width="3.81640625" customWidth="1"/>
    <col min="6" max="6" width="12.54296875" bestFit="1" customWidth="1"/>
  </cols>
  <sheetData>
    <row r="1" spans="1:9">
      <c r="B1" t="s">
        <v>52</v>
      </c>
      <c r="C1" t="s">
        <v>53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46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47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54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55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56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57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0"/>
    </row>
    <row r="22" spans="1:10">
      <c r="A22" s="43">
        <v>43371</v>
      </c>
      <c r="B22">
        <v>-2.0068267408298101E-2</v>
      </c>
      <c r="C22">
        <v>2.04473980356001E-3</v>
      </c>
      <c r="I22" s="160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150</v>
      </c>
      <c r="D1" t="s">
        <v>151</v>
      </c>
      <c r="E1" t="s">
        <v>152</v>
      </c>
      <c r="F1" t="s">
        <v>153</v>
      </c>
    </row>
    <row r="2" spans="1:13">
      <c r="A2" t="s">
        <v>6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17</v>
      </c>
    </row>
    <row r="3" spans="1:13">
      <c r="A3" t="s">
        <v>154</v>
      </c>
      <c r="J3" t="s">
        <v>155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156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157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796875" defaultRowHeight="14.5"/>
  <cols>
    <col min="1" max="1" width="9.1796875" style="20" customWidth="1"/>
    <col min="2" max="5" width="9.54296875" style="20" bestFit="1" customWidth="1"/>
    <col min="6" max="8" width="9.1796875" style="20" customWidth="1"/>
    <col min="9" max="9" width="11.54296875" style="20" customWidth="1"/>
    <col min="10" max="15" width="9.1796875" style="20" customWidth="1"/>
    <col min="16" max="16384" width="9.1796875" style="20"/>
  </cols>
  <sheetData>
    <row r="1" spans="1:12">
      <c r="A1" s="31" t="s">
        <v>156</v>
      </c>
      <c r="B1" s="32"/>
      <c r="J1" s="31"/>
      <c r="K1" s="31"/>
      <c r="L1" s="31"/>
    </row>
    <row r="2" spans="1:12">
      <c r="B2" s="166" t="s">
        <v>494</v>
      </c>
      <c r="C2" s="166" t="s">
        <v>495</v>
      </c>
      <c r="D2" s="166" t="s">
        <v>496</v>
      </c>
    </row>
    <row r="3" spans="1:12">
      <c r="A3" s="166" t="s">
        <v>494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6" t="s">
        <v>495</v>
      </c>
      <c r="B4" s="51">
        <v>-0.02</v>
      </c>
      <c r="C4" s="51">
        <v>0.09</v>
      </c>
      <c r="D4" s="51">
        <v>0.04</v>
      </c>
      <c r="I4" s="33"/>
    </row>
    <row r="5" spans="1:12">
      <c r="A5" s="166" t="s">
        <v>496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6" t="s">
        <v>494</v>
      </c>
      <c r="C7" s="166" t="s">
        <v>495</v>
      </c>
      <c r="D7" s="166" t="s">
        <v>496</v>
      </c>
      <c r="E7" s="31" t="s">
        <v>158</v>
      </c>
      <c r="I7" s="33"/>
    </row>
    <row r="8" spans="1:12">
      <c r="A8" s="20" t="s">
        <v>13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159</v>
      </c>
      <c r="B11" s="37"/>
      <c r="I11" s="33"/>
    </row>
    <row r="12" spans="1:12" ht="15.75" customHeight="1">
      <c r="A12" s="38" t="s">
        <v>17</v>
      </c>
      <c r="B12" s="38" t="s">
        <v>160</v>
      </c>
      <c r="C12" s="38" t="s">
        <v>161</v>
      </c>
      <c r="D12" s="38" t="s">
        <v>162</v>
      </c>
      <c r="E12" s="38" t="s">
        <v>13</v>
      </c>
      <c r="F12" s="38" t="s">
        <v>163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164</v>
      </c>
    </row>
    <row r="26" spans="1:7" ht="15.75" customHeight="1">
      <c r="A26" s="38" t="s">
        <v>17</v>
      </c>
      <c r="B26" s="166" t="s">
        <v>494</v>
      </c>
      <c r="C26" s="166" t="s">
        <v>495</v>
      </c>
      <c r="D26" s="166" t="s">
        <v>496</v>
      </c>
      <c r="E26" s="38" t="s">
        <v>13</v>
      </c>
      <c r="F26" s="38" t="s">
        <v>163</v>
      </c>
      <c r="G26" s="38" t="s">
        <v>165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7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7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7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7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7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7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7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7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7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7">
        <v>0.27</v>
      </c>
    </row>
    <row r="38" spans="1:7">
      <c r="F38" s="20">
        <f>SUM(F27:F37)</f>
        <v>3.8686075399748545</v>
      </c>
    </row>
    <row r="40" spans="1:7" ht="21" customHeight="1">
      <c r="A40" s="36" t="s">
        <v>166</v>
      </c>
    </row>
    <row r="41" spans="1:7" ht="15.75" customHeight="1">
      <c r="A41" s="38" t="s">
        <v>17</v>
      </c>
      <c r="B41" s="166" t="s">
        <v>494</v>
      </c>
      <c r="C41" s="166" t="s">
        <v>495</v>
      </c>
      <c r="D41" s="166" t="s">
        <v>496</v>
      </c>
      <c r="E41" s="38" t="s">
        <v>13</v>
      </c>
      <c r="F41" s="38" t="s">
        <v>167</v>
      </c>
      <c r="G41" s="38" t="s">
        <v>168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50</v>
      </c>
      <c r="F44" s="20" t="s">
        <v>51</v>
      </c>
    </row>
    <row r="45" spans="1:7">
      <c r="D45" s="20" t="s">
        <v>169</v>
      </c>
      <c r="E45" s="20">
        <f>0</f>
        <v>0</v>
      </c>
      <c r="F45" s="39">
        <f>E8</f>
        <v>0.05</v>
      </c>
    </row>
    <row r="46" spans="1:7">
      <c r="D46" s="20" t="s">
        <v>170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171</v>
      </c>
      <c r="C3" t="s">
        <v>172</v>
      </c>
      <c r="D3" t="s">
        <v>173</v>
      </c>
      <c r="E3" t="s">
        <v>174</v>
      </c>
      <c r="F3" t="s">
        <v>158</v>
      </c>
    </row>
    <row r="4" spans="1:6">
      <c r="A4" t="s">
        <v>13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175</v>
      </c>
    </row>
    <row r="7" spans="1:6">
      <c r="B7" t="s">
        <v>171</v>
      </c>
      <c r="C7" t="s">
        <v>172</v>
      </c>
      <c r="D7" t="s">
        <v>173</v>
      </c>
      <c r="E7" t="s">
        <v>174</v>
      </c>
    </row>
    <row r="8" spans="1:6">
      <c r="A8" t="s">
        <v>171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172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173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174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6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13</v>
      </c>
      <c r="B14">
        <f>SUMPRODUCT(B13:E13,B4:E4)</f>
        <v>0.20300042868082199</v>
      </c>
    </row>
    <row r="15" spans="1:6">
      <c r="A15" t="s">
        <v>24</v>
      </c>
      <c r="B15">
        <f>SUMPRODUCT(MMULT(B13:E13,B8:E11),B13:E13)</f>
        <v>8.3449229418380677E-2</v>
      </c>
    </row>
    <row r="16" spans="1:6">
      <c r="A16" t="s">
        <v>176</v>
      </c>
      <c r="B16">
        <f>SQRT(B15)</f>
        <v>0.28887580275679142</v>
      </c>
    </row>
    <row r="17" spans="1:3">
      <c r="A17" t="s">
        <v>168</v>
      </c>
      <c r="B17">
        <f>(B14-0.01)/B16</f>
        <v>0.66810867105858551</v>
      </c>
    </row>
    <row r="19" spans="1:3">
      <c r="B19" t="s">
        <v>177</v>
      </c>
    </row>
    <row r="20" spans="1:3">
      <c r="A20" t="s">
        <v>171</v>
      </c>
      <c r="B20">
        <f>B13</f>
        <v>1</v>
      </c>
      <c r="C20">
        <f>B20/(1+$C$13)</f>
        <v>0.49501147778198873</v>
      </c>
    </row>
    <row r="21" spans="1:3">
      <c r="A21" t="s">
        <v>178</v>
      </c>
      <c r="B21">
        <f>C13</f>
        <v>1.0201551779783511</v>
      </c>
      <c r="C21">
        <f>B21/(1+$C$13)</f>
        <v>0.50498852221801127</v>
      </c>
    </row>
    <row r="22" spans="1:3">
      <c r="A22" t="s">
        <v>179</v>
      </c>
      <c r="B22">
        <f>D13</f>
        <v>0.1386915190257931</v>
      </c>
      <c r="C22">
        <f>B22/(1+$C$13)</f>
        <v>6.8653893788786655E-2</v>
      </c>
    </row>
    <row r="23" spans="1:3">
      <c r="A23" t="s">
        <v>180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796875" defaultRowHeight="14.5"/>
  <cols>
    <col min="1" max="1" width="10.54296875" bestFit="1" customWidth="1"/>
    <col min="5" max="5" width="12" bestFit="1" customWidth="1"/>
    <col min="6" max="6" width="12.54296875" bestFit="1" customWidth="1"/>
    <col min="7" max="7" width="27.54296875" customWidth="1"/>
    <col min="8" max="8" width="12.54296875" bestFit="1" customWidth="1"/>
    <col min="9" max="9" width="21.453125" customWidth="1"/>
    <col min="10" max="10" width="8" customWidth="1"/>
    <col min="12" max="12" width="8.453125" customWidth="1"/>
    <col min="13" max="13" width="12.54296875" bestFit="1" customWidth="1"/>
    <col min="14" max="14" width="16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63</v>
      </c>
      <c r="B1" s="197">
        <v>2E-3</v>
      </c>
      <c r="F1" s="291" t="s">
        <v>59</v>
      </c>
      <c r="G1" s="290"/>
      <c r="H1" s="290"/>
      <c r="I1" s="290"/>
      <c r="J1" s="1"/>
      <c r="N1" s="54" t="s">
        <v>588</v>
      </c>
      <c r="P1" s="1"/>
      <c r="Q1" s="1"/>
    </row>
    <row r="2" spans="1:17">
      <c r="A2" s="1"/>
      <c r="B2" s="289"/>
      <c r="C2" s="290"/>
      <c r="D2" s="290"/>
      <c r="E2" s="3"/>
      <c r="F2" s="55"/>
      <c r="G2" s="54" t="s">
        <v>583</v>
      </c>
      <c r="H2" s="53"/>
      <c r="I2" s="54" t="s">
        <v>583</v>
      </c>
      <c r="J2" s="1"/>
      <c r="N2" s="54" t="s">
        <v>585</v>
      </c>
      <c r="P2" s="1"/>
      <c r="Q2" s="1"/>
    </row>
    <row r="3" spans="1:17">
      <c r="B3" s="289" t="s">
        <v>60</v>
      </c>
      <c r="C3" s="290"/>
      <c r="D3" s="290"/>
      <c r="E3" s="3"/>
      <c r="F3" s="55"/>
      <c r="G3" s="54" t="s">
        <v>181</v>
      </c>
      <c r="H3" s="54"/>
      <c r="I3" s="54" t="s">
        <v>182</v>
      </c>
      <c r="J3" s="3"/>
      <c r="N3" s="54" t="s">
        <v>587</v>
      </c>
      <c r="P3" s="3"/>
      <c r="Q3" s="3"/>
    </row>
    <row r="4" spans="1:17" ht="23.5">
      <c r="B4" s="1" t="s">
        <v>17</v>
      </c>
      <c r="C4" s="1" t="s">
        <v>181</v>
      </c>
      <c r="D4" s="1" t="s">
        <v>182</v>
      </c>
      <c r="E4" s="1"/>
      <c r="F4" s="56" t="s">
        <v>183</v>
      </c>
      <c r="G4" s="201" t="s">
        <v>184</v>
      </c>
      <c r="H4" s="56" t="s">
        <v>182</v>
      </c>
      <c r="I4" s="201" t="s">
        <v>185</v>
      </c>
      <c r="J4" s="28"/>
      <c r="N4" s="200" t="s">
        <v>586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7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92" t="s">
        <v>584</v>
      </c>
      <c r="L40" s="292"/>
      <c r="M40" s="292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17</v>
      </c>
      <c r="L41" s="203" t="s">
        <v>181</v>
      </c>
      <c r="M41" s="44" t="s">
        <v>182</v>
      </c>
    </row>
    <row r="42" spans="1:16">
      <c r="A42" s="44"/>
      <c r="B42" s="42" t="s">
        <v>17</v>
      </c>
      <c r="C42" s="42" t="s">
        <v>181</v>
      </c>
      <c r="D42" s="42" t="s">
        <v>182</v>
      </c>
      <c r="E42" s="1"/>
      <c r="F42" s="41" t="s">
        <v>186</v>
      </c>
      <c r="G42" s="45">
        <v>0</v>
      </c>
      <c r="H42" s="41" t="s">
        <v>186</v>
      </c>
      <c r="I42" s="45">
        <v>0</v>
      </c>
      <c r="J42" s="4"/>
      <c r="K42" s="204">
        <v>0.86031090364370344</v>
      </c>
      <c r="L42" s="204">
        <v>0</v>
      </c>
      <c r="M42" s="204">
        <v>0</v>
      </c>
      <c r="N42" s="3"/>
      <c r="O42" s="3"/>
      <c r="P42" s="1"/>
    </row>
    <row r="43" spans="1:16">
      <c r="A43" t="s">
        <v>13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13</v>
      </c>
      <c r="G43" s="18">
        <f>AVERAGE(G5:G40)+B1</f>
        <v>1.5475000000000001E-2</v>
      </c>
      <c r="H43" s="3" t="s">
        <v>13</v>
      </c>
      <c r="I43" s="18">
        <f>AVERAGE(I5:I40)+B1</f>
        <v>1.5475000000000001E-2</v>
      </c>
      <c r="J43" s="6"/>
      <c r="L43" s="196"/>
      <c r="M43" s="3" t="s">
        <v>13</v>
      </c>
      <c r="N43" s="18">
        <f>AVERAGE(N5:N40)+B1</f>
        <v>1.3313311233886311E-2</v>
      </c>
      <c r="O43" s="1"/>
      <c r="P43" s="6"/>
    </row>
    <row r="44" spans="1:16">
      <c r="A44" s="47" t="s">
        <v>188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187</v>
      </c>
      <c r="G44" s="18">
        <f>AVERAGE(G5:G40)</f>
        <v>1.3475000000000001E-2</v>
      </c>
      <c r="H44" s="3" t="s">
        <v>187</v>
      </c>
      <c r="I44" s="18">
        <f>AVERAGE(I5:I40)</f>
        <v>1.3475000000000001E-2</v>
      </c>
      <c r="J44" s="6"/>
      <c r="K44" s="1"/>
      <c r="L44" s="198"/>
      <c r="M44" s="3" t="s">
        <v>187</v>
      </c>
      <c r="N44" s="18">
        <f>AVERAGE(N5:N40)</f>
        <v>1.1313311233886311E-2</v>
      </c>
      <c r="O44" s="1"/>
      <c r="P44" s="6"/>
    </row>
    <row r="45" spans="1:16">
      <c r="A45" s="44" t="s">
        <v>168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188</v>
      </c>
      <c r="G45" s="18">
        <f>STDEVP(G5:G40)</f>
        <v>4.731299078712127E-2</v>
      </c>
      <c r="H45" s="3" t="s">
        <v>42</v>
      </c>
      <c r="I45" s="18">
        <f>STDEVP(I5:I40)</f>
        <v>4.731299078712127E-2</v>
      </c>
      <c r="K45" s="1"/>
      <c r="L45" s="199"/>
      <c r="M45" s="3" t="s">
        <v>42</v>
      </c>
      <c r="N45" s="18">
        <f>STDEVP(N5:N40)</f>
        <v>4.0703881858154524E-2</v>
      </c>
      <c r="O45" s="1"/>
      <c r="P45" s="6"/>
    </row>
    <row r="46" spans="1:16">
      <c r="E46" s="6"/>
      <c r="F46" s="41" t="s">
        <v>168</v>
      </c>
      <c r="G46" s="153">
        <f>(G44)/G45</f>
        <v>0.28480550005027233</v>
      </c>
      <c r="H46" s="41" t="s">
        <v>168</v>
      </c>
      <c r="I46" s="153">
        <f>(I44)/I45</f>
        <v>0.28480550005027233</v>
      </c>
      <c r="J46" s="26"/>
      <c r="M46" s="41" t="s">
        <v>168</v>
      </c>
      <c r="N46" s="153">
        <f>(N44)/N45</f>
        <v>0.27794182563007386</v>
      </c>
      <c r="O46" s="1"/>
      <c r="P46" s="29"/>
    </row>
    <row r="47" spans="1:16">
      <c r="F47" s="58" t="s">
        <v>189</v>
      </c>
      <c r="G47" s="165">
        <f>INTERCEPT(F5:F40,G5:G40)</f>
        <v>9.1796413233198194E-3</v>
      </c>
      <c r="H47" s="57" t="s">
        <v>189</v>
      </c>
      <c r="I47" s="165">
        <f>INTERCEPT(H5:H40,I5:I40)</f>
        <v>-2.4008774237008947E-3</v>
      </c>
      <c r="J47" s="48"/>
      <c r="N47" s="192" t="s">
        <v>181</v>
      </c>
      <c r="O47" s="192" t="s">
        <v>182</v>
      </c>
      <c r="P47" s="59"/>
    </row>
    <row r="48" spans="1:16">
      <c r="F48" s="58" t="s">
        <v>190</v>
      </c>
      <c r="G48" s="194">
        <f>SLOPE(F5:F40,G5:G40)</f>
        <v>-0.68622455683264005</v>
      </c>
      <c r="H48" s="192" t="s">
        <v>190</v>
      </c>
      <c r="I48" s="195">
        <f>SLOPE(H5:H40,I5:I40)</f>
        <v>1.3174391088576127</v>
      </c>
      <c r="J48" s="26"/>
      <c r="M48" s="57" t="s">
        <v>189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3" t="s">
        <v>581</v>
      </c>
      <c r="G49" s="26">
        <f>(C43-G43)/(G44)</f>
        <v>-1.0049895792207795</v>
      </c>
      <c r="H49" s="193" t="s">
        <v>581</v>
      </c>
      <c r="I49" s="26">
        <f>($D$43-I43)/I44</f>
        <v>0.13926638724715693</v>
      </c>
      <c r="M49" s="192" t="s">
        <v>190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3" t="s">
        <v>582</v>
      </c>
      <c r="G50" s="26">
        <f>G48-1</f>
        <v>-1.6862245568326402</v>
      </c>
      <c r="H50" s="193" t="s">
        <v>582</v>
      </c>
      <c r="I50" s="26">
        <f>I48-1</f>
        <v>0.31743910885761273</v>
      </c>
      <c r="M50" s="193" t="s">
        <v>581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2"/>
      <c r="H51" s="202"/>
      <c r="I51" s="44"/>
      <c r="K51" s="44"/>
      <c r="L51" s="44"/>
      <c r="M51" s="205" t="s">
        <v>582</v>
      </c>
      <c r="N51" s="153">
        <f>N49-1</f>
        <v>-1.7976471690946267</v>
      </c>
      <c r="O51" s="206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5429687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202</v>
      </c>
      <c r="G2" s="285" t="s">
        <v>16</v>
      </c>
      <c r="H2" s="288"/>
      <c r="I2" s="288"/>
    </row>
    <row r="3" spans="1:16">
      <c r="E3" s="4">
        <v>1.0000000000000001E-5</v>
      </c>
      <c r="H3" s="1" t="s">
        <v>38</v>
      </c>
      <c r="I3" s="1" t="s">
        <v>203</v>
      </c>
      <c r="L3" t="s">
        <v>204</v>
      </c>
    </row>
    <row r="4" spans="1:16">
      <c r="B4" s="285" t="s">
        <v>60</v>
      </c>
      <c r="C4" s="288"/>
      <c r="E4" s="1" t="s">
        <v>205</v>
      </c>
      <c r="G4" s="1" t="s">
        <v>206</v>
      </c>
      <c r="H4" s="1" t="s">
        <v>17</v>
      </c>
      <c r="I4" s="1" t="s">
        <v>17</v>
      </c>
      <c r="K4" s="1" t="s">
        <v>207</v>
      </c>
      <c r="L4" s="1" t="s">
        <v>207</v>
      </c>
      <c r="N4" s="1" t="s">
        <v>208</v>
      </c>
    </row>
    <row r="5" spans="1:16">
      <c r="A5" s="1" t="s">
        <v>209</v>
      </c>
      <c r="B5" s="1" t="s">
        <v>206</v>
      </c>
      <c r="C5" s="1" t="s">
        <v>17</v>
      </c>
      <c r="E5" s="1" t="s">
        <v>17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68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4.5"/>
  <cols>
    <col min="1" max="1" width="9.5429687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209</v>
      </c>
      <c r="B1" s="7" t="s">
        <v>212</v>
      </c>
      <c r="C1" s="7" t="s">
        <v>213</v>
      </c>
    </row>
    <row r="2" spans="1:9">
      <c r="A2" s="163">
        <v>43860</v>
      </c>
      <c r="B2">
        <v>5.0843903694797889E-2</v>
      </c>
      <c r="C2">
        <v>1.9800000000000002E-2</v>
      </c>
      <c r="E2" t="s">
        <v>214</v>
      </c>
      <c r="F2" t="s">
        <v>215</v>
      </c>
      <c r="G2" s="4" t="s">
        <v>47</v>
      </c>
      <c r="H2" t="s">
        <v>216</v>
      </c>
      <c r="I2" t="s">
        <v>217</v>
      </c>
    </row>
    <row r="3" spans="1:9">
      <c r="A3" s="163">
        <v>43890</v>
      </c>
      <c r="B3">
        <v>3.7895950238514511E-2</v>
      </c>
      <c r="C3">
        <v>3.6099999999999903E-2</v>
      </c>
      <c r="D3" s="162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59">
        <f>(G3^2*F3)/E3</f>
        <v>0.48954056310066146</v>
      </c>
      <c r="I3" s="159">
        <f>1-H3</f>
        <v>0.51045943689933848</v>
      </c>
    </row>
    <row r="4" spans="1:9">
      <c r="A4" s="163">
        <v>43919</v>
      </c>
      <c r="B4">
        <v>-3.2152122497598683E-2</v>
      </c>
      <c r="C4">
        <v>2E-3</v>
      </c>
      <c r="D4" s="162"/>
    </row>
    <row r="5" spans="1:9">
      <c r="A5" s="163">
        <v>43950</v>
      </c>
      <c r="B5">
        <v>-7.9307355781586278E-2</v>
      </c>
      <c r="C5">
        <v>1.14E-2</v>
      </c>
      <c r="D5" s="162"/>
    </row>
    <row r="6" spans="1:9">
      <c r="A6" s="163">
        <v>43980</v>
      </c>
      <c r="B6">
        <v>-3.7663882554005039E-2</v>
      </c>
      <c r="C6">
        <v>1.12E-2</v>
      </c>
      <c r="D6" s="162"/>
    </row>
    <row r="7" spans="1:9">
      <c r="A7" s="163">
        <v>44011</v>
      </c>
      <c r="B7">
        <v>8.4383313704003895E-3</v>
      </c>
      <c r="C7">
        <v>8.3999999999999995E-3</v>
      </c>
      <c r="D7" s="162"/>
    </row>
    <row r="8" spans="1:9">
      <c r="A8" s="163">
        <v>44041</v>
      </c>
      <c r="B8">
        <v>-5.7677310033791798E-2</v>
      </c>
      <c r="C8">
        <v>1.9400000000000001E-2</v>
      </c>
      <c r="D8" s="162"/>
    </row>
    <row r="9" spans="1:9">
      <c r="A9" s="163">
        <v>44072</v>
      </c>
      <c r="B9">
        <v>-1.250289387472992E-3</v>
      </c>
      <c r="C9">
        <v>2.5000000000000001E-3</v>
      </c>
      <c r="D9" s="162"/>
    </row>
    <row r="10" spans="1:9">
      <c r="A10" s="163">
        <v>44103</v>
      </c>
      <c r="B10">
        <v>1.5634894260993029E-2</v>
      </c>
      <c r="C10">
        <v>2.5999999999999999E-2</v>
      </c>
      <c r="D10" s="162"/>
    </row>
    <row r="11" spans="1:9">
      <c r="A11" s="163">
        <v>44133</v>
      </c>
      <c r="B11">
        <v>6.2851017703577816E-2</v>
      </c>
      <c r="C11">
        <v>2.3400000000000001E-2</v>
      </c>
      <c r="D11" s="162"/>
    </row>
    <row r="12" spans="1:9">
      <c r="A12" s="163">
        <v>44164</v>
      </c>
      <c r="B12">
        <v>8.1864131934943022E-3</v>
      </c>
      <c r="C12">
        <v>3.2000000000000001E-2</v>
      </c>
      <c r="D12" s="162"/>
    </row>
    <row r="13" spans="1:9">
      <c r="A13" s="163">
        <v>44194</v>
      </c>
      <c r="B13">
        <v>-2.1634586666526758E-3</v>
      </c>
      <c r="C13">
        <v>1.15E-2</v>
      </c>
      <c r="D13" s="162"/>
    </row>
    <row r="14" spans="1:9">
      <c r="A14" s="163">
        <v>44225</v>
      </c>
      <c r="B14">
        <v>6.7950355972360377E-2</v>
      </c>
      <c r="C14">
        <v>5.6899999999999999E-2</v>
      </c>
      <c r="D14" s="162"/>
    </row>
    <row r="15" spans="1:9">
      <c r="A15" s="163">
        <v>44255</v>
      </c>
      <c r="B15">
        <v>-4.0626472410250108E-2</v>
      </c>
      <c r="C15">
        <v>-3.5400000000000001E-2</v>
      </c>
      <c r="D15" s="162"/>
    </row>
    <row r="16" spans="1:9">
      <c r="A16" s="163">
        <v>44283</v>
      </c>
      <c r="B16">
        <v>-1.511755089332196E-2</v>
      </c>
      <c r="C16">
        <v>-2.23E-2</v>
      </c>
      <c r="D16" s="162"/>
    </row>
    <row r="17" spans="1:4">
      <c r="A17" s="163">
        <v>44314</v>
      </c>
      <c r="B17">
        <v>-5.6176209421377958E-2</v>
      </c>
      <c r="C17">
        <v>4.3E-3</v>
      </c>
      <c r="D17" s="162"/>
    </row>
    <row r="18" spans="1:4">
      <c r="A18" s="163">
        <v>44344</v>
      </c>
      <c r="B18">
        <v>-1.5911531162417541E-2</v>
      </c>
      <c r="C18">
        <v>2.7900000000000001E-2</v>
      </c>
      <c r="D18" s="162"/>
    </row>
    <row r="19" spans="1:4">
      <c r="A19" s="163">
        <v>44375</v>
      </c>
      <c r="B19">
        <v>-1.0600635052978501E-2</v>
      </c>
      <c r="C19">
        <v>6.1999999999999998E-3</v>
      </c>
      <c r="D19" s="162"/>
    </row>
    <row r="20" spans="1:4">
      <c r="A20" s="163">
        <v>44405</v>
      </c>
      <c r="B20">
        <v>3.8913394252502682E-2</v>
      </c>
      <c r="C20">
        <v>3.3499999999999898E-2</v>
      </c>
      <c r="D20" s="162"/>
    </row>
    <row r="21" spans="1:4">
      <c r="A21" s="163">
        <v>44436</v>
      </c>
      <c r="B21">
        <v>2.3196412840078791E-2</v>
      </c>
      <c r="C21">
        <v>3.5999999999999997E-2</v>
      </c>
      <c r="D21" s="162"/>
    </row>
    <row r="22" spans="1:4">
      <c r="A22" s="163">
        <v>44467</v>
      </c>
      <c r="B22">
        <v>3.1710989315308302E-2</v>
      </c>
      <c r="C22">
        <v>2.0999999999999999E-3</v>
      </c>
      <c r="D22" s="162"/>
    </row>
    <row r="23" spans="1:4">
      <c r="A23" s="163">
        <v>44497</v>
      </c>
      <c r="B23">
        <v>-0.2357214774062989</v>
      </c>
      <c r="C23">
        <v>-7.4899999999999994E-2</v>
      </c>
      <c r="D23" s="162"/>
    </row>
    <row r="24" spans="1:4">
      <c r="A24" s="163">
        <v>44528</v>
      </c>
      <c r="B24">
        <v>8.989623584892964E-2</v>
      </c>
      <c r="C24">
        <v>1.8699999999999901E-2</v>
      </c>
      <c r="D24" s="162"/>
    </row>
    <row r="25" spans="1:4">
      <c r="A25" s="163">
        <v>44558</v>
      </c>
      <c r="B25">
        <v>-8.6153304283064516E-2</v>
      </c>
      <c r="C25">
        <v>-9.3600000000000003E-2</v>
      </c>
      <c r="D25" s="162"/>
    </row>
    <row r="26" spans="1:4">
      <c r="A26" s="163">
        <v>44589</v>
      </c>
      <c r="B26">
        <v>0.18369298535781869</v>
      </c>
      <c r="C26">
        <v>8.6199999999999999E-2</v>
      </c>
      <c r="D26" s="162"/>
    </row>
    <row r="27" spans="1:4">
      <c r="A27" s="163">
        <v>44620</v>
      </c>
      <c r="B27">
        <v>4.0922642823122482E-2</v>
      </c>
      <c r="C27">
        <v>3.5799999999999998E-2</v>
      </c>
      <c r="D27" s="162"/>
    </row>
    <row r="28" spans="1:4">
      <c r="A28" s="163">
        <v>44648</v>
      </c>
      <c r="B28">
        <v>2.2579257390105401E-2</v>
      </c>
      <c r="C28">
        <v>1.29E-2</v>
      </c>
      <c r="D28" s="162"/>
    </row>
    <row r="29" spans="1:4">
      <c r="A29" s="163">
        <v>44679</v>
      </c>
      <c r="B29">
        <v>-6.2542798365952694E-3</v>
      </c>
      <c r="C29">
        <v>4.1699999999999897E-2</v>
      </c>
      <c r="D29" s="162"/>
    </row>
    <row r="30" spans="1:4">
      <c r="A30" s="163">
        <v>44709</v>
      </c>
      <c r="B30">
        <v>-8.5101151780856879E-2</v>
      </c>
      <c r="C30">
        <v>-6.7299999999999999E-2</v>
      </c>
      <c r="D30" s="162"/>
    </row>
    <row r="31" spans="1:4">
      <c r="A31" s="163">
        <v>44740</v>
      </c>
      <c r="B31">
        <v>8.7034053125332092E-2</v>
      </c>
      <c r="C31">
        <v>7.1099999999999997E-2</v>
      </c>
      <c r="D31" s="162"/>
    </row>
    <row r="32" spans="1:4">
      <c r="A32" s="163">
        <v>44770</v>
      </c>
      <c r="B32">
        <v>7.6017440324677707E-2</v>
      </c>
      <c r="C32">
        <v>1.38E-2</v>
      </c>
      <c r="D32" s="162"/>
    </row>
    <row r="33" spans="1:4">
      <c r="A33" s="163">
        <v>44801</v>
      </c>
      <c r="B33">
        <v>-7.6065421717074755E-2</v>
      </c>
      <c r="C33">
        <v>-2.4199999999999999E-2</v>
      </c>
      <c r="D33" s="162"/>
    </row>
    <row r="34" spans="1:4">
      <c r="A34" s="163">
        <v>44832</v>
      </c>
      <c r="B34">
        <v>7.2895892696218753E-2</v>
      </c>
      <c r="C34">
        <v>1.61E-2</v>
      </c>
      <c r="D34" s="162"/>
    </row>
    <row r="35" spans="1:4">
      <c r="A35" s="163">
        <v>44862</v>
      </c>
      <c r="B35">
        <v>-8.0268660519472818E-2</v>
      </c>
      <c r="C35">
        <v>2.2100000000000002E-2</v>
      </c>
      <c r="D35" s="162"/>
    </row>
    <row r="36" spans="1:4">
      <c r="A36" s="163">
        <v>44893</v>
      </c>
      <c r="B36">
        <v>1.8246479147417342E-2</v>
      </c>
      <c r="C36">
        <v>3.9899999999999998E-2</v>
      </c>
      <c r="D36" s="162"/>
    </row>
    <row r="37" spans="1:4">
      <c r="A37" s="163">
        <v>44923</v>
      </c>
      <c r="B37">
        <v>-1.7876956249486861E-3</v>
      </c>
      <c r="C37">
        <v>2.9100000000000001E-2</v>
      </c>
      <c r="D37" s="162"/>
    </row>
    <row r="38" spans="1:4">
      <c r="A38" s="163">
        <v>44954</v>
      </c>
      <c r="B38">
        <v>7.353837027289048E-2</v>
      </c>
      <c r="C38">
        <v>1.9999999999999901E-4</v>
      </c>
      <c r="D38" s="162"/>
    </row>
    <row r="39" spans="1:4">
      <c r="A39" s="163">
        <v>44985</v>
      </c>
      <c r="B39">
        <v>-8.4428787635322008E-2</v>
      </c>
      <c r="C39">
        <v>-8.0100000000000005E-2</v>
      </c>
      <c r="D39" s="162"/>
    </row>
    <row r="40" spans="1:4">
      <c r="A40" s="163">
        <v>45013</v>
      </c>
      <c r="B40">
        <v>-0.14778281211724181</v>
      </c>
      <c r="C40">
        <v>-0.1326</v>
      </c>
      <c r="D40" s="162"/>
    </row>
    <row r="41" spans="1:4">
      <c r="A41" s="163">
        <v>45044</v>
      </c>
      <c r="B41">
        <v>0.13155101120000551</v>
      </c>
      <c r="C41">
        <v>0.13650000000000001</v>
      </c>
      <c r="D41" s="162"/>
    </row>
    <row r="42" spans="1:4">
      <c r="A42" s="163">
        <v>45074</v>
      </c>
      <c r="B42">
        <v>6.8144793969852737E-3</v>
      </c>
      <c r="C42">
        <v>5.5899999999999998E-2</v>
      </c>
      <c r="D42" s="162"/>
    </row>
    <row r="43" spans="1:4">
      <c r="A43" s="163">
        <v>45105</v>
      </c>
      <c r="B43">
        <v>-3.1714980993078012E-2</v>
      </c>
      <c r="C43">
        <v>2.47E-2</v>
      </c>
      <c r="D43" s="162"/>
    </row>
    <row r="44" spans="1:4">
      <c r="A44" s="163">
        <v>45135</v>
      </c>
      <c r="B44">
        <v>1.7035732531146749E-2</v>
      </c>
      <c r="C44">
        <v>5.7799999999999997E-2</v>
      </c>
      <c r="D44" s="162"/>
    </row>
    <row r="45" spans="1:4">
      <c r="A45" s="163">
        <v>45166</v>
      </c>
      <c r="B45">
        <v>1.7656448853695831E-2</v>
      </c>
      <c r="C45">
        <v>7.6399999999999996E-2</v>
      </c>
      <c r="D45" s="162"/>
    </row>
    <row r="46" spans="1:4">
      <c r="A46" s="163">
        <v>45197</v>
      </c>
      <c r="B46">
        <v>-1.2869741154377159E-2</v>
      </c>
      <c r="C46">
        <v>-3.6199999999999899E-2</v>
      </c>
      <c r="D46" s="162"/>
    </row>
    <row r="47" spans="1:4">
      <c r="A47" s="163">
        <v>45227</v>
      </c>
      <c r="B47">
        <v>-8.1299130349501675E-2</v>
      </c>
      <c r="C47">
        <v>-2.0899999999999998E-2</v>
      </c>
      <c r="D47" s="162"/>
    </row>
    <row r="48" spans="1:4">
      <c r="A48" s="163">
        <v>45258</v>
      </c>
      <c r="B48">
        <v>0.1223153204810587</v>
      </c>
      <c r="C48">
        <v>0.12479999999999999</v>
      </c>
      <c r="D48" s="162"/>
    </row>
    <row r="49" spans="1:4">
      <c r="A49" s="163">
        <v>45288</v>
      </c>
      <c r="B49">
        <v>1.7501782408830529E-2</v>
      </c>
      <c r="C49">
        <v>4.6399999999999997E-2</v>
      </c>
      <c r="D49" s="162"/>
    </row>
    <row r="50" spans="1:4">
      <c r="A50" s="163">
        <v>45319</v>
      </c>
      <c r="B50">
        <v>-5.4897313557708612E-2</v>
      </c>
      <c r="C50">
        <v>-2.9999999999999997E-4</v>
      </c>
      <c r="D50" s="162"/>
    </row>
    <row r="51" spans="1:4">
      <c r="A51" s="163">
        <v>45350</v>
      </c>
      <c r="B51">
        <v>1.1996391966177539E-2</v>
      </c>
      <c r="C51">
        <v>2.7799999999999998E-2</v>
      </c>
      <c r="D51" s="162"/>
    </row>
    <row r="52" spans="1:4">
      <c r="A52" s="163">
        <v>45379</v>
      </c>
      <c r="B52">
        <v>0.1203781510755961</v>
      </c>
      <c r="C52">
        <v>3.0800000000000001E-2</v>
      </c>
      <c r="D52" s="162"/>
    </row>
    <row r="53" spans="1:4">
      <c r="A53" s="163">
        <v>45410</v>
      </c>
      <c r="B53">
        <v>6.4112003736934015E-2</v>
      </c>
      <c r="C53">
        <v>4.9299999999999997E-2</v>
      </c>
      <c r="D53" s="162"/>
    </row>
    <row r="54" spans="1:4">
      <c r="A54" s="163">
        <v>45440</v>
      </c>
      <c r="B54">
        <v>2.406050237626231E-2</v>
      </c>
      <c r="C54">
        <v>2.8999999999999998E-3</v>
      </c>
      <c r="D54" s="162"/>
    </row>
    <row r="55" spans="1:4">
      <c r="A55" s="163">
        <v>45471</v>
      </c>
      <c r="B55">
        <v>1.974072745087279E-2</v>
      </c>
      <c r="C55">
        <v>2.75E-2</v>
      </c>
      <c r="D55" s="162"/>
    </row>
    <row r="56" spans="1:4">
      <c r="A56" s="163">
        <v>45501</v>
      </c>
      <c r="B56">
        <v>-3.9441009904520902E-2</v>
      </c>
      <c r="C56">
        <v>1.2699999999999999E-2</v>
      </c>
      <c r="D56" s="162"/>
    </row>
    <row r="57" spans="1:4">
      <c r="A57" s="163">
        <v>45532</v>
      </c>
      <c r="B57">
        <v>7.7179265708166639E-3</v>
      </c>
      <c r="C57">
        <v>2.8999999999999901E-2</v>
      </c>
      <c r="D57" s="162"/>
    </row>
    <row r="58" spans="1:4">
      <c r="A58" s="163">
        <v>45563</v>
      </c>
      <c r="B58">
        <v>-9.9484856940726708E-3</v>
      </c>
      <c r="C58">
        <v>-4.3700000000000003E-2</v>
      </c>
      <c r="D58" s="162"/>
    </row>
    <row r="59" spans="1:4">
      <c r="A59" s="163">
        <v>45593</v>
      </c>
      <c r="B59">
        <v>-9.7863096962537852E-2</v>
      </c>
      <c r="C59">
        <v>6.6500000000000004E-2</v>
      </c>
      <c r="D59" s="162"/>
    </row>
    <row r="60" spans="1:4">
      <c r="A60" s="163">
        <v>45624</v>
      </c>
      <c r="B60">
        <v>-8.7905842258344281E-3</v>
      </c>
      <c r="C60">
        <v>-1.55E-2</v>
      </c>
      <c r="D60" s="162"/>
    </row>
    <row r="61" spans="1:4">
      <c r="A61" s="163">
        <v>45654</v>
      </c>
      <c r="B61">
        <v>4.2824211999999999E-3</v>
      </c>
      <c r="C61" s="40">
        <v>2.3157238530000001E-3</v>
      </c>
      <c r="D61" s="16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54296875" bestFit="1" customWidth="1"/>
  </cols>
  <sheetData>
    <row r="1" spans="1:10">
      <c r="B1" s="285" t="s">
        <v>191</v>
      </c>
      <c r="C1" s="288"/>
      <c r="D1" s="288"/>
    </row>
    <row r="2" spans="1:10">
      <c r="B2" s="1" t="s">
        <v>181</v>
      </c>
      <c r="C2" s="1" t="s">
        <v>182</v>
      </c>
      <c r="D2" s="1" t="s">
        <v>589</v>
      </c>
    </row>
    <row r="3" spans="1:10">
      <c r="B3">
        <v>0.15</v>
      </c>
      <c r="C3">
        <v>0.26</v>
      </c>
      <c r="D3">
        <v>0.04</v>
      </c>
    </row>
    <row r="5" spans="1:10">
      <c r="B5" s="285" t="s">
        <v>156</v>
      </c>
      <c r="C5" s="288"/>
      <c r="D5" s="288"/>
    </row>
    <row r="6" spans="1:10">
      <c r="F6" s="285"/>
      <c r="G6" s="288"/>
      <c r="H6" s="288"/>
    </row>
    <row r="7" spans="1:10">
      <c r="B7" s="1" t="s">
        <v>181</v>
      </c>
      <c r="C7" s="1" t="s">
        <v>182</v>
      </c>
      <c r="D7" s="1" t="s">
        <v>589</v>
      </c>
      <c r="F7" s="1"/>
      <c r="G7" s="1"/>
      <c r="H7" s="1"/>
    </row>
    <row r="8" spans="1:10">
      <c r="A8" s="1" t="s">
        <v>181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182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589</v>
      </c>
      <c r="B10">
        <v>-1.1039999999999999E-2</v>
      </c>
      <c r="C10">
        <v>-8.9999999999999993E-3</v>
      </c>
      <c r="D10">
        <v>0.09</v>
      </c>
    </row>
    <row r="13" spans="1:10">
      <c r="B13" s="285" t="s">
        <v>195</v>
      </c>
      <c r="C13" s="288"/>
      <c r="D13" s="288"/>
      <c r="H13" s="285" t="s">
        <v>196</v>
      </c>
      <c r="I13" s="288"/>
      <c r="J13" s="288"/>
    </row>
    <row r="14" spans="1:10">
      <c r="B14" s="287" t="s">
        <v>197</v>
      </c>
      <c r="C14" s="288"/>
      <c r="D14" s="288"/>
      <c r="H14" s="287" t="s">
        <v>197</v>
      </c>
      <c r="I14" s="288"/>
      <c r="J14" s="288"/>
    </row>
    <row r="15" spans="1:10">
      <c r="B15" s="1" t="s">
        <v>181</v>
      </c>
      <c r="C15" s="1" t="s">
        <v>182</v>
      </c>
      <c r="D15" s="1" t="s">
        <v>589</v>
      </c>
      <c r="F15" s="1"/>
      <c r="H15" s="1" t="s">
        <v>181</v>
      </c>
      <c r="I15" s="1" t="s">
        <v>182</v>
      </c>
      <c r="J15" s="1" t="s">
        <v>589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198</v>
      </c>
      <c r="C18" t="s">
        <v>199</v>
      </c>
      <c r="D18" t="s">
        <v>13</v>
      </c>
      <c r="E18" t="s">
        <v>200</v>
      </c>
      <c r="H18" t="s">
        <v>198</v>
      </c>
      <c r="I18" t="s">
        <v>199</v>
      </c>
      <c r="J18" t="s">
        <v>13</v>
      </c>
      <c r="K18" t="s">
        <v>200</v>
      </c>
    </row>
    <row r="19" spans="1:13">
      <c r="A19" s="1" t="s">
        <v>181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181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188</v>
      </c>
    </row>
    <row r="20" spans="1:13">
      <c r="A20" s="1" t="s">
        <v>182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182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589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589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201</v>
      </c>
      <c r="B23">
        <f>SUMPRODUCT(MMULT(B16:D16,B8:D10),B16:D16)</f>
        <v>1.4152000000000001E-2</v>
      </c>
      <c r="G23" t="s">
        <v>201</v>
      </c>
      <c r="H23">
        <f>SUMPRODUCT(MMULT(H16:J16,B8:D10),H16:J16)</f>
        <v>1.8505869967445267E-2</v>
      </c>
    </row>
    <row r="24" spans="1:13">
      <c r="A24" t="s">
        <v>48</v>
      </c>
      <c r="B24">
        <f>SUMPRODUCT(B16:D16,B3:D3)</f>
        <v>0.161</v>
      </c>
      <c r="G24" t="s">
        <v>48</v>
      </c>
      <c r="H24">
        <f>SUMPRODUCT(H16:J16,B3:D3)</f>
        <v>0.1960234858663748</v>
      </c>
    </row>
    <row r="25" spans="1:13">
      <c r="A25" t="s">
        <v>168</v>
      </c>
      <c r="B25">
        <f>(B24-0.01)/SQRT(B23)</f>
        <v>1.2693109813750256</v>
      </c>
      <c r="G25" t="s">
        <v>168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5.81640625" customWidth="1"/>
    <col min="12" max="12" width="12.81640625" bestFit="1" customWidth="1"/>
    <col min="15" max="15" width="13.453125" bestFit="1" customWidth="1"/>
    <col min="16" max="16" width="12.5429687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85" t="s">
        <v>60</v>
      </c>
      <c r="C3" s="288"/>
      <c r="F3" s="285" t="s">
        <v>59</v>
      </c>
      <c r="G3" s="288"/>
    </row>
    <row r="4" spans="1:18">
      <c r="A4" t="s">
        <v>43</v>
      </c>
      <c r="B4" s="49" t="s">
        <v>61</v>
      </c>
      <c r="C4" s="49" t="s">
        <v>62</v>
      </c>
      <c r="D4" s="1" t="s">
        <v>63</v>
      </c>
      <c r="F4" s="49" t="s">
        <v>61</v>
      </c>
      <c r="G4" s="49" t="s">
        <v>62</v>
      </c>
    </row>
    <row r="5" spans="1:18">
      <c r="A5" t="s">
        <v>64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128</v>
      </c>
    </row>
    <row r="6" spans="1:18" ht="15.75" customHeight="1" thickBot="1">
      <c r="A6" t="s">
        <v>67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70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129</v>
      </c>
      <c r="K7" s="23"/>
    </row>
    <row r="8" spans="1:18">
      <c r="A8" t="s">
        <v>71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130</v>
      </c>
      <c r="K8">
        <v>0.699141442456367</v>
      </c>
    </row>
    <row r="9" spans="1:18">
      <c r="A9" t="s">
        <v>72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131</v>
      </c>
      <c r="K9">
        <v>0.48879875655996952</v>
      </c>
    </row>
    <row r="10" spans="1:18">
      <c r="A10" t="s">
        <v>73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132</v>
      </c>
      <c r="K10">
        <v>0.47983031369260049</v>
      </c>
    </row>
    <row r="11" spans="1:18">
      <c r="A11" t="s">
        <v>74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133</v>
      </c>
      <c r="K11">
        <v>5.082403213542204E-2</v>
      </c>
    </row>
    <row r="12" spans="1:18" ht="15.75" customHeight="1" thickBot="1">
      <c r="A12" t="s">
        <v>75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134</v>
      </c>
      <c r="K12" s="21">
        <v>59</v>
      </c>
    </row>
    <row r="13" spans="1:18">
      <c r="A13" t="s">
        <v>76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77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135</v>
      </c>
    </row>
    <row r="15" spans="1:18">
      <c r="A15" t="s">
        <v>78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136</v>
      </c>
      <c r="L15" s="22" t="s">
        <v>137</v>
      </c>
      <c r="M15" s="22" t="s">
        <v>138</v>
      </c>
      <c r="N15" s="22" t="s">
        <v>139</v>
      </c>
      <c r="O15" s="22" t="s">
        <v>140</v>
      </c>
    </row>
    <row r="16" spans="1:18">
      <c r="A16" t="s">
        <v>79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141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80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142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81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7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82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83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143</v>
      </c>
      <c r="L20" s="22" t="s">
        <v>133</v>
      </c>
      <c r="M20" s="22" t="s">
        <v>144</v>
      </c>
      <c r="N20" s="22" t="s">
        <v>145</v>
      </c>
      <c r="O20" s="22" t="s">
        <v>146</v>
      </c>
      <c r="P20" s="22" t="s">
        <v>147</v>
      </c>
      <c r="Q20" s="24"/>
      <c r="R20" s="24"/>
    </row>
    <row r="21" spans="1:18">
      <c r="A21" t="s">
        <v>84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148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85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149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86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87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88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89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90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91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92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93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94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95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96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97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98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99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100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101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102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103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104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105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106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107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108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109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110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111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112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113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114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115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116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117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118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119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120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121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122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123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124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125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126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453125" bestFit="1" customWidth="1"/>
    <col min="3" max="3" width="11.54296875" bestFit="1" customWidth="1"/>
    <col min="5" max="5" width="12.54296875" bestFit="1" customWidth="1"/>
    <col min="6" max="6" width="9.54296875" bestFit="1" customWidth="1"/>
  </cols>
  <sheetData>
    <row r="3" spans="1:5">
      <c r="B3" s="285" t="s">
        <v>501</v>
      </c>
      <c r="C3" s="285"/>
    </row>
    <row r="4" spans="1:5">
      <c r="B4" s="3" t="s">
        <v>497</v>
      </c>
      <c r="C4" s="3" t="s">
        <v>498</v>
      </c>
      <c r="D4" s="1" t="s">
        <v>507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85" t="s">
        <v>502</v>
      </c>
      <c r="C8" s="285"/>
      <c r="D8" s="285"/>
      <c r="E8" s="285"/>
    </row>
    <row r="9" spans="1:5">
      <c r="B9" s="3" t="s">
        <v>508</v>
      </c>
      <c r="C9" s="3" t="s">
        <v>456</v>
      </c>
      <c r="D9" s="3" t="s">
        <v>187</v>
      </c>
      <c r="E9" s="1" t="s">
        <v>505</v>
      </c>
    </row>
    <row r="10" spans="1:5">
      <c r="A10" s="1" t="s">
        <v>499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500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158</v>
      </c>
      <c r="B13">
        <v>0.02</v>
      </c>
    </row>
    <row r="15" spans="1:5">
      <c r="B15" s="285" t="s">
        <v>156</v>
      </c>
      <c r="C15" s="285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85" t="s">
        <v>13</v>
      </c>
      <c r="C19" s="285"/>
    </row>
    <row r="20" spans="2:6">
      <c r="B20" s="3" t="s">
        <v>0</v>
      </c>
      <c r="C20" s="3" t="s">
        <v>1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219</v>
      </c>
    </row>
    <row r="25" spans="2:6">
      <c r="B25" s="285" t="s">
        <v>6</v>
      </c>
      <c r="C25" s="285"/>
    </row>
    <row r="26" spans="2:6">
      <c r="B26" s="3" t="s">
        <v>0</v>
      </c>
      <c r="C26" s="3" t="s">
        <v>1</v>
      </c>
      <c r="D26" s="1" t="s">
        <v>13</v>
      </c>
      <c r="E26" s="1" t="s">
        <v>226</v>
      </c>
      <c r="F26" s="1" t="s">
        <v>168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503</v>
      </c>
    </row>
    <row r="30" spans="2:6">
      <c r="B30" s="285" t="s">
        <v>6</v>
      </c>
      <c r="C30" s="285"/>
    </row>
    <row r="31" spans="2:6">
      <c r="B31" s="3" t="s">
        <v>0</v>
      </c>
      <c r="C31" s="3" t="s">
        <v>1</v>
      </c>
      <c r="D31" s="1" t="s">
        <v>504</v>
      </c>
      <c r="E31" s="1" t="s">
        <v>226</v>
      </c>
      <c r="F31" s="1" t="s">
        <v>506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4.5"/>
  <cols>
    <col min="1" max="1" width="10.453125" customWidth="1"/>
    <col min="4" max="4" width="3.54296875" customWidth="1"/>
    <col min="5" max="5" width="8.453125" customWidth="1"/>
    <col min="6" max="6" width="9.54296875" bestFit="1" customWidth="1"/>
    <col min="11" max="11" width="2" customWidth="1"/>
    <col min="12" max="12" width="21.453125" bestFit="1" customWidth="1"/>
    <col min="13" max="13" width="4.453125" customWidth="1"/>
    <col min="14" max="14" width="19.81640625" bestFit="1" customWidth="1"/>
    <col min="15" max="15" width="3.453125" customWidth="1"/>
    <col min="17" max="17" width="12" bestFit="1" customWidth="1"/>
    <col min="19" max="19" width="11.453125" bestFit="1" customWidth="1"/>
    <col min="20" max="20" width="12.81640625" bestFit="1" customWidth="1"/>
    <col min="21" max="21" width="14.54296875" bestFit="1" customWidth="1"/>
    <col min="22" max="22" width="11.4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293" t="s">
        <v>59</v>
      </c>
      <c r="O1" s="288"/>
      <c r="P1" s="288"/>
      <c r="Q1" s="288"/>
    </row>
    <row r="2" spans="1:27" ht="15" customHeight="1">
      <c r="B2" s="4" t="s">
        <v>0</v>
      </c>
      <c r="C2" s="4" t="s">
        <v>1</v>
      </c>
      <c r="D2" s="4"/>
      <c r="L2" s="3" t="s">
        <v>220</v>
      </c>
      <c r="N2" s="4" t="s">
        <v>220</v>
      </c>
      <c r="O2" s="4"/>
      <c r="P2" s="4" t="s">
        <v>0</v>
      </c>
      <c r="Q2" s="4" t="s">
        <v>1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156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0</v>
      </c>
      <c r="G4" t="s">
        <v>1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0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1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87" t="s">
        <v>221</v>
      </c>
      <c r="U6" s="288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0</v>
      </c>
      <c r="U7" s="4" t="s">
        <v>1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0</v>
      </c>
      <c r="G8" t="s">
        <v>1</v>
      </c>
      <c r="H8" t="s">
        <v>63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222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13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535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223</v>
      </c>
      <c r="F11" s="1" t="s">
        <v>509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224</v>
      </c>
      <c r="F12" t="s">
        <v>225</v>
      </c>
      <c r="G12" t="s">
        <v>13</v>
      </c>
      <c r="H12" t="s">
        <v>24</v>
      </c>
      <c r="I12" t="s">
        <v>226</v>
      </c>
      <c r="J12" t="s">
        <v>168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4.5"/>
  <cols>
    <col min="1" max="1" width="12" customWidth="1"/>
    <col min="2" max="2" width="11.1796875" style="3" bestFit="1" customWidth="1"/>
    <col min="3" max="3" width="17.54296875" customWidth="1"/>
    <col min="4" max="5" width="13.54296875" bestFit="1" customWidth="1"/>
    <col min="6" max="6" width="10.453125" customWidth="1"/>
    <col min="8" max="8" width="12.453125" bestFit="1" customWidth="1"/>
  </cols>
  <sheetData>
    <row r="2" spans="1:8">
      <c r="D2" s="285" t="s">
        <v>443</v>
      </c>
      <c r="E2" s="285"/>
      <c r="F2" s="285"/>
    </row>
    <row r="3" spans="1:8">
      <c r="D3" s="3">
        <v>1</v>
      </c>
      <c r="E3" s="3">
        <v>2</v>
      </c>
      <c r="H3" s="1" t="s">
        <v>211</v>
      </c>
    </row>
    <row r="4" spans="1:8">
      <c r="A4" s="1" t="s">
        <v>515</v>
      </c>
      <c r="B4" s="3" t="s">
        <v>512</v>
      </c>
      <c r="C4" s="1" t="s">
        <v>513</v>
      </c>
      <c r="D4" s="1" t="s">
        <v>511</v>
      </c>
      <c r="E4" s="1" t="s">
        <v>180</v>
      </c>
      <c r="F4" s="1" t="s">
        <v>514</v>
      </c>
      <c r="H4" s="1"/>
    </row>
    <row r="5" spans="1:8">
      <c r="A5" s="169" t="s">
        <v>0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69" t="s">
        <v>1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69" t="s">
        <v>2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69" t="s">
        <v>432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7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68"/>
      <c r="D12" s="1" t="s">
        <v>443</v>
      </c>
      <c r="E12" s="1" t="s">
        <v>510</v>
      </c>
      <c r="F12" s="1" t="s">
        <v>519</v>
      </c>
    </row>
    <row r="13" spans="1:8">
      <c r="D13" s="1" t="s">
        <v>213</v>
      </c>
    </row>
    <row r="14" spans="1:8">
      <c r="C14" s="3" t="s">
        <v>0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1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2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432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7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516</v>
      </c>
      <c r="G21" s="1" t="s">
        <v>517</v>
      </c>
      <c r="H21" s="1" t="s">
        <v>514</v>
      </c>
      <c r="I21" s="1" t="s">
        <v>227</v>
      </c>
    </row>
    <row r="22" spans="3:9">
      <c r="C22" s="3" t="s">
        <v>518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520</v>
      </c>
      <c r="D23">
        <f>H22+I22</f>
        <v>4.9313333333333341E-2</v>
      </c>
    </row>
    <row r="24" spans="3:9">
      <c r="C24" s="1" t="s">
        <v>521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532</v>
      </c>
      <c r="B1" t="s">
        <v>533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209</v>
      </c>
      <c r="B2" s="1" t="s">
        <v>534</v>
      </c>
      <c r="C2" s="1" t="s">
        <v>522</v>
      </c>
      <c r="D2" s="1" t="s">
        <v>523</v>
      </c>
      <c r="E2" s="1" t="s">
        <v>524</v>
      </c>
      <c r="F2" s="1"/>
      <c r="O2" s="1" t="s">
        <v>530</v>
      </c>
    </row>
    <row r="3" spans="1:15">
      <c r="A3" s="163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156</v>
      </c>
      <c r="O3">
        <f>SUMPRODUCT(B3:D3,$H$15:$J$15)+0.003</f>
        <v>2.6149486668811433E-2</v>
      </c>
    </row>
    <row r="4" spans="1:15">
      <c r="A4" s="163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3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3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3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3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13</v>
      </c>
      <c r="O8">
        <f t="shared" si="0"/>
        <v>2.0906493574165347E-3</v>
      </c>
    </row>
    <row r="9" spans="1:15">
      <c r="A9" s="163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534</v>
      </c>
      <c r="I9" t="s">
        <v>528</v>
      </c>
      <c r="J9" t="s">
        <v>529</v>
      </c>
      <c r="K9" t="s">
        <v>158</v>
      </c>
      <c r="O9">
        <f t="shared" si="0"/>
        <v>7.6995936473643972E-2</v>
      </c>
    </row>
    <row r="10" spans="1:15">
      <c r="A10" s="163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3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3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219</v>
      </c>
      <c r="O12">
        <f t="shared" si="0"/>
        <v>-5.6471421243713307E-2</v>
      </c>
    </row>
    <row r="13" spans="1:15">
      <c r="A13" s="163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3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525</v>
      </c>
      <c r="I14" t="s">
        <v>526</v>
      </c>
      <c r="J14" t="s">
        <v>527</v>
      </c>
      <c r="K14" t="s">
        <v>187</v>
      </c>
      <c r="L14" t="s">
        <v>226</v>
      </c>
      <c r="M14" t="s">
        <v>168</v>
      </c>
      <c r="O14">
        <f t="shared" si="0"/>
        <v>6.2467289793668758E-3</v>
      </c>
    </row>
    <row r="15" spans="1:15">
      <c r="A15" s="163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3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3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3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3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3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3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3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3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3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3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3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3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3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3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3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3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3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3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3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3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3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3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3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3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3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3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3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3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3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3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3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3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3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3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3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3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3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3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3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3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3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3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3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3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3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3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3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4.5"/>
  <cols>
    <col min="2" max="2" width="10.81640625" bestFit="1" customWidth="1"/>
  </cols>
  <sheetData>
    <row r="1" spans="1:14">
      <c r="I1" t="s">
        <v>156</v>
      </c>
    </row>
    <row r="2" spans="1:14">
      <c r="B2" t="s">
        <v>545</v>
      </c>
      <c r="C2" t="s">
        <v>536</v>
      </c>
      <c r="D2" t="s">
        <v>537</v>
      </c>
      <c r="E2" t="s">
        <v>538</v>
      </c>
      <c r="F2" t="s">
        <v>539</v>
      </c>
      <c r="G2" t="s">
        <v>546</v>
      </c>
      <c r="J2" t="s">
        <v>540</v>
      </c>
      <c r="K2" t="s">
        <v>536</v>
      </c>
      <c r="L2" t="s">
        <v>537</v>
      </c>
      <c r="M2" t="s">
        <v>538</v>
      </c>
      <c r="N2" t="s">
        <v>539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540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536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537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538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539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541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545</v>
      </c>
      <c r="K10" t="s">
        <v>536</v>
      </c>
      <c r="L10" t="s">
        <v>537</v>
      </c>
      <c r="M10" t="s">
        <v>538</v>
      </c>
      <c r="N10" t="s">
        <v>539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542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540</v>
      </c>
      <c r="K14" t="s">
        <v>536</v>
      </c>
      <c r="L14" t="s">
        <v>537</v>
      </c>
      <c r="M14" t="s">
        <v>538</v>
      </c>
      <c r="N14" t="s">
        <v>539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543</v>
      </c>
      <c r="K17" t="s">
        <v>228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187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24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544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168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540</v>
      </c>
      <c r="K23" t="s">
        <v>228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187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42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168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532</v>
      </c>
      <c r="B1" t="s">
        <v>531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4.5"/>
  <cols>
    <col min="1" max="1" width="17" bestFit="1" customWidth="1"/>
    <col min="2" max="2" width="6.54296875" customWidth="1"/>
    <col min="3" max="3" width="18.81640625" bestFit="1" customWidth="1"/>
    <col min="4" max="4" width="11.453125" customWidth="1"/>
    <col min="5" max="5" width="12.1796875" bestFit="1" customWidth="1"/>
    <col min="6" max="6" width="3.453125" customWidth="1"/>
    <col min="8" max="8" width="9.1796875" customWidth="1"/>
    <col min="9" max="9" width="12.453125" bestFit="1" customWidth="1"/>
  </cols>
  <sheetData>
    <row r="2" spans="1:8" ht="15" thickBot="1">
      <c r="A2" s="21"/>
      <c r="B2" s="21"/>
      <c r="C2" s="21"/>
      <c r="D2" s="21"/>
      <c r="E2" s="21"/>
      <c r="F2" s="21"/>
      <c r="G2" s="21"/>
      <c r="H2" s="21"/>
    </row>
    <row r="3" spans="1:8" ht="15" thickBot="1">
      <c r="A3" s="179" t="s">
        <v>209</v>
      </c>
      <c r="B3" s="179" t="s">
        <v>557</v>
      </c>
      <c r="C3" s="179" t="s">
        <v>547</v>
      </c>
      <c r="D3" s="179" t="s">
        <v>548</v>
      </c>
      <c r="E3" s="179" t="s">
        <v>549</v>
      </c>
      <c r="F3" s="179"/>
      <c r="G3" s="180" t="s">
        <v>550</v>
      </c>
      <c r="H3" s="180" t="s">
        <v>551</v>
      </c>
    </row>
    <row r="4" spans="1:8">
      <c r="A4" s="171">
        <v>42825</v>
      </c>
      <c r="B4" s="184" t="s">
        <v>555</v>
      </c>
      <c r="C4" s="172">
        <v>-400</v>
      </c>
      <c r="D4" s="173">
        <f>-C4</f>
        <v>400</v>
      </c>
      <c r="E4" s="14">
        <v>1</v>
      </c>
      <c r="F4" s="171"/>
      <c r="G4">
        <f>C4/E4</f>
        <v>-400</v>
      </c>
    </row>
    <row r="5" spans="1:8">
      <c r="A5" s="171">
        <v>43465</v>
      </c>
      <c r="B5" s="184" t="s">
        <v>555</v>
      </c>
      <c r="C5" s="173">
        <v>-200</v>
      </c>
      <c r="D5" s="172">
        <f t="shared" ref="D5:D12" si="0">D4-C5</f>
        <v>600</v>
      </c>
      <c r="E5" s="14">
        <v>1.0995279490227576</v>
      </c>
      <c r="F5" s="171"/>
      <c r="G5">
        <f t="shared" ref="G5:G15" si="1">C5/E5</f>
        <v>-181.8962402708878</v>
      </c>
    </row>
    <row r="6" spans="1:8">
      <c r="A6" s="171">
        <v>43862</v>
      </c>
      <c r="B6" s="184" t="s">
        <v>555</v>
      </c>
      <c r="C6" s="173">
        <v>-300</v>
      </c>
      <c r="D6" s="172">
        <f t="shared" si="0"/>
        <v>900</v>
      </c>
      <c r="E6" s="14">
        <v>1.3276419532541912</v>
      </c>
      <c r="F6" s="171"/>
      <c r="G6">
        <f t="shared" si="1"/>
        <v>-225.9645375507065</v>
      </c>
    </row>
    <row r="7" spans="1:8">
      <c r="A7" s="171">
        <v>44012</v>
      </c>
      <c r="B7" s="184" t="s">
        <v>555</v>
      </c>
      <c r="C7" s="173">
        <v>-400</v>
      </c>
      <c r="D7" s="173">
        <f t="shared" si="0"/>
        <v>1300</v>
      </c>
      <c r="E7" s="14">
        <v>1.4068994625314917</v>
      </c>
      <c r="F7" s="171"/>
      <c r="G7">
        <f t="shared" si="1"/>
        <v>-284.31313725876595</v>
      </c>
    </row>
    <row r="8" spans="1:8">
      <c r="A8" s="171">
        <v>44165</v>
      </c>
      <c r="B8" s="184" t="s">
        <v>555</v>
      </c>
      <c r="C8" s="173">
        <v>-500</v>
      </c>
      <c r="D8" s="172">
        <f t="shared" si="0"/>
        <v>1800</v>
      </c>
      <c r="E8" s="14">
        <v>1.65613685062501</v>
      </c>
      <c r="F8" s="171"/>
      <c r="G8">
        <f t="shared" si="1"/>
        <v>-301.90741774226257</v>
      </c>
    </row>
    <row r="9" spans="1:8">
      <c r="A9" s="171">
        <v>44227</v>
      </c>
      <c r="B9" s="184" t="s">
        <v>555</v>
      </c>
      <c r="C9" s="173">
        <v>-100</v>
      </c>
      <c r="D9" s="172">
        <f t="shared" si="0"/>
        <v>1900</v>
      </c>
      <c r="E9" s="14">
        <v>1.707646204692111</v>
      </c>
      <c r="F9" s="171"/>
      <c r="G9">
        <f t="shared" si="1"/>
        <v>-58.560139521423892</v>
      </c>
    </row>
    <row r="10" spans="1:8">
      <c r="A10" s="171">
        <v>44651</v>
      </c>
      <c r="B10" s="184" t="s">
        <v>555</v>
      </c>
      <c r="C10" s="173">
        <v>-600</v>
      </c>
      <c r="D10" s="172">
        <f t="shared" si="0"/>
        <v>2500</v>
      </c>
      <c r="E10" s="14">
        <v>2.1161960835838807</v>
      </c>
      <c r="F10" s="171"/>
      <c r="G10">
        <f t="shared" si="1"/>
        <v>-283.52760155565119</v>
      </c>
      <c r="H10" s="170"/>
    </row>
    <row r="11" spans="1:8">
      <c r="A11" s="171">
        <v>44742</v>
      </c>
      <c r="B11" s="184" t="s">
        <v>555</v>
      </c>
      <c r="C11" s="173">
        <v>-100</v>
      </c>
      <c r="D11" s="172">
        <f t="shared" si="0"/>
        <v>2600</v>
      </c>
      <c r="E11" s="14">
        <v>1.7738107116633894</v>
      </c>
      <c r="F11" s="171"/>
      <c r="G11">
        <f t="shared" si="1"/>
        <v>-56.375801173409926</v>
      </c>
    </row>
    <row r="12" spans="1:8">
      <c r="A12" s="171">
        <v>45046</v>
      </c>
      <c r="B12" s="184" t="s">
        <v>555</v>
      </c>
      <c r="C12" s="173">
        <v>-200</v>
      </c>
      <c r="D12" s="172">
        <f t="shared" si="0"/>
        <v>2800</v>
      </c>
      <c r="E12" s="14">
        <v>1.9818286355377743</v>
      </c>
      <c r="F12" s="171"/>
      <c r="G12">
        <f t="shared" si="1"/>
        <v>-100.91689887492693</v>
      </c>
    </row>
    <row r="13" spans="1:8">
      <c r="A13" s="174">
        <v>45138</v>
      </c>
      <c r="B13" s="185" t="s">
        <v>556</v>
      </c>
      <c r="C13" s="175">
        <v>700</v>
      </c>
      <c r="D13" s="173"/>
      <c r="E13" s="14">
        <v>2.193122493527162</v>
      </c>
      <c r="F13" s="171"/>
      <c r="H13" s="2">
        <f>C13/E13</f>
        <v>319.1796181316812</v>
      </c>
    </row>
    <row r="14" spans="1:8">
      <c r="A14" s="171">
        <v>45230</v>
      </c>
      <c r="B14" s="184" t="s">
        <v>555</v>
      </c>
      <c r="C14" s="173">
        <v>-100</v>
      </c>
      <c r="D14" s="172">
        <f>D12-C14</f>
        <v>2900</v>
      </c>
      <c r="E14" s="14">
        <v>2.0133165968786741</v>
      </c>
      <c r="F14" s="171"/>
      <c r="G14">
        <f t="shared" si="1"/>
        <v>-49.669287063462363</v>
      </c>
      <c r="H14" s="2"/>
    </row>
    <row r="15" spans="1:8">
      <c r="A15" s="171">
        <v>45382</v>
      </c>
      <c r="B15" s="184" t="s">
        <v>555</v>
      </c>
      <c r="C15" s="173">
        <v>-100</v>
      </c>
      <c r="D15" s="172">
        <f>D14-C15</f>
        <v>3000</v>
      </c>
      <c r="E15" s="14">
        <v>2.5352256902236054</v>
      </c>
      <c r="F15" s="171"/>
      <c r="G15">
        <f t="shared" si="1"/>
        <v>-39.444220049371644</v>
      </c>
      <c r="H15" s="2"/>
    </row>
    <row r="16" spans="1:8">
      <c r="A16" s="174">
        <v>45565</v>
      </c>
      <c r="B16" s="185" t="s">
        <v>556</v>
      </c>
      <c r="C16" s="175">
        <v>900</v>
      </c>
      <c r="D16" s="173"/>
      <c r="E16" s="14">
        <v>2.8096869964660449</v>
      </c>
      <c r="F16" s="171"/>
      <c r="H16" s="2">
        <f>C16/E16</f>
        <v>320.32037772605912</v>
      </c>
    </row>
    <row r="17" spans="1:8" ht="15" thickBot="1">
      <c r="A17" s="183">
        <v>45657</v>
      </c>
      <c r="B17" s="182" t="s">
        <v>554</v>
      </c>
      <c r="C17" s="176">
        <v>3000</v>
      </c>
      <c r="D17" s="21"/>
      <c r="E17" s="177">
        <v>2.8843099546828985</v>
      </c>
      <c r="F17" s="21"/>
      <c r="G17" s="21"/>
      <c r="H17" s="178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553</v>
      </c>
      <c r="H21" s="181">
        <f>XIRR(C4:C17,A4:A17,0.1)</f>
        <v>0.11086307168006895</v>
      </c>
    </row>
    <row r="22" spans="1:8">
      <c r="G22" s="1" t="s">
        <v>559</v>
      </c>
      <c r="H22" s="181">
        <f>XNPV(H21,C4:C17,A4:A17)</f>
        <v>-2.1313886918505887E-5</v>
      </c>
    </row>
    <row r="23" spans="1:8">
      <c r="G23" s="1" t="s">
        <v>558</v>
      </c>
      <c r="H23" s="181">
        <f>SUM(C13,C16,C17)/-SUM(C4:C12,C14:C15)</f>
        <v>1.5333333333333334</v>
      </c>
    </row>
    <row r="24" spans="1:8">
      <c r="G24" s="1" t="s">
        <v>552</v>
      </c>
      <c r="H24" s="181">
        <f>H19/(-G19)</f>
        <v>0.84718605201785901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466</v>
      </c>
      <c r="B2" t="s">
        <v>467</v>
      </c>
      <c r="C2" t="s">
        <v>468</v>
      </c>
      <c r="D2" t="s">
        <v>469</v>
      </c>
      <c r="F2" t="s">
        <v>470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4.5"/>
  <cols>
    <col min="4" max="4" width="3.81640625" customWidth="1"/>
    <col min="5" max="5" width="12" bestFit="1" customWidth="1"/>
  </cols>
  <sheetData>
    <row r="2" spans="1:5">
      <c r="A2" s="4" t="s">
        <v>672</v>
      </c>
    </row>
    <row r="3" spans="1:5">
      <c r="A3" s="61">
        <v>0</v>
      </c>
      <c r="B3">
        <v>-1074.69</v>
      </c>
      <c r="C3" t="s">
        <v>675</v>
      </c>
      <c r="E3" t="s">
        <v>673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674</v>
      </c>
      <c r="B7" s="196">
        <f>IRR(B3:B5)</f>
        <v>5.930120788041604E-2</v>
      </c>
      <c r="C7" s="196"/>
      <c r="E7">
        <f>SUM(E4:E5)</f>
        <v>1074.6900000000537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4.5"/>
  <cols>
    <col min="1" max="1" width="17.81640625" bestFit="1" customWidth="1"/>
    <col min="3" max="3" width="10.1796875" bestFit="1" customWidth="1"/>
    <col min="4" max="4" width="14.1796875" bestFit="1" customWidth="1"/>
    <col min="5" max="5" width="3.54296875" customWidth="1"/>
    <col min="6" max="6" width="12" bestFit="1" customWidth="1"/>
    <col min="7" max="7" width="3.1796875" customWidth="1"/>
    <col min="8" max="8" width="10.54296875" bestFit="1" customWidth="1"/>
    <col min="9" max="9" width="11.54296875" bestFit="1" customWidth="1"/>
    <col min="10" max="10" width="24.81640625" bestFit="1" customWidth="1"/>
    <col min="11" max="11" width="25.453125" bestFit="1" customWidth="1"/>
    <col min="12" max="12" width="24.81640625" bestFit="1" customWidth="1"/>
    <col min="13" max="13" width="2.1796875" customWidth="1"/>
  </cols>
  <sheetData>
    <row r="1" spans="1:14">
      <c r="C1" s="1" t="s">
        <v>228</v>
      </c>
      <c r="H1" s="1" t="s">
        <v>725</v>
      </c>
      <c r="N1" s="3" t="s">
        <v>722</v>
      </c>
    </row>
    <row r="2" spans="1:14">
      <c r="A2" s="1" t="s">
        <v>723</v>
      </c>
      <c r="B2" s="1" t="s">
        <v>715</v>
      </c>
      <c r="C2" s="1" t="s">
        <v>716</v>
      </c>
      <c r="D2" s="1" t="s">
        <v>717</v>
      </c>
      <c r="H2" s="1" t="s">
        <v>726</v>
      </c>
      <c r="I2" s="1" t="s">
        <v>718</v>
      </c>
      <c r="K2" s="1" t="s">
        <v>678</v>
      </c>
      <c r="N2" s="3" t="s">
        <v>210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7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6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727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2">
        <f>(1+N4)^(1/4)-1</f>
        <v>2.9405459884575214E-2</v>
      </c>
    </row>
    <row r="8" spans="1:14">
      <c r="G8" s="216"/>
      <c r="H8" s="216"/>
      <c r="I8" s="2"/>
    </row>
    <row r="9" spans="1:14">
      <c r="B9" s="196"/>
      <c r="C9" s="196"/>
      <c r="D9" s="196" t="s">
        <v>679</v>
      </c>
      <c r="F9" s="1" t="s">
        <v>724</v>
      </c>
      <c r="I9" s="181" t="s">
        <v>679</v>
      </c>
      <c r="K9" s="1" t="s">
        <v>678</v>
      </c>
    </row>
    <row r="10" spans="1:14">
      <c r="B10" s="196"/>
      <c r="C10" s="196"/>
      <c r="D10" s="2">
        <f>SUM(D4:D7)</f>
        <v>1076.6608936632026</v>
      </c>
      <c r="F10" s="221">
        <f>IRR(F3:F7)</f>
        <v>2.9405459884628282E-2</v>
      </c>
      <c r="I10" s="2">
        <f>SUM(I4:I7)</f>
        <v>1076.6608936629805</v>
      </c>
      <c r="J10" t="s">
        <v>719</v>
      </c>
      <c r="K10" s="2">
        <f>SUM(K4:K7)</f>
        <v>1208.9958454968212</v>
      </c>
      <c r="L10" t="s">
        <v>719</v>
      </c>
    </row>
    <row r="11" spans="1:14">
      <c r="B11" s="196"/>
      <c r="I11" s="2">
        <f>-PV(F10,4,50,1000)</f>
        <v>1076.6608936629802</v>
      </c>
      <c r="J11" t="s">
        <v>720</v>
      </c>
      <c r="K11" s="2">
        <f>FV(F10,4,-50)+1000</f>
        <v>1208.9958454968209</v>
      </c>
      <c r="L11" t="s">
        <v>721</v>
      </c>
    </row>
    <row r="12" spans="1:14">
      <c r="F12" s="1" t="s">
        <v>674</v>
      </c>
      <c r="I12" s="196"/>
    </row>
    <row r="13" spans="1:14">
      <c r="F13" s="223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4.5"/>
  <cols>
    <col min="1" max="1" width="17" bestFit="1" customWidth="1"/>
    <col min="2" max="2" width="21.1796875" bestFit="1" customWidth="1"/>
    <col min="3" max="3" width="21.453125" bestFit="1" customWidth="1"/>
    <col min="4" max="4" width="17.54296875" bestFit="1" customWidth="1"/>
    <col min="5" max="5" width="4.1796875" customWidth="1"/>
    <col min="7" max="8" width="11.54296875" customWidth="1"/>
    <col min="9" max="9" width="4.54296875" customWidth="1"/>
  </cols>
  <sheetData>
    <row r="2" spans="1:11">
      <c r="B2" s="1" t="s">
        <v>685</v>
      </c>
      <c r="C2" s="1" t="s">
        <v>686</v>
      </c>
      <c r="D2" s="1" t="s">
        <v>687</v>
      </c>
      <c r="F2" s="1"/>
      <c r="G2" s="1"/>
      <c r="H2" s="3"/>
      <c r="J2" s="1"/>
      <c r="K2" s="1"/>
    </row>
    <row r="3" spans="1:11">
      <c r="B3" s="1" t="s">
        <v>682</v>
      </c>
      <c r="C3" s="3" t="s">
        <v>684</v>
      </c>
      <c r="D3" s="1" t="s">
        <v>681</v>
      </c>
      <c r="F3" s="3"/>
      <c r="J3" s="1"/>
      <c r="K3" s="1"/>
    </row>
    <row r="5" spans="1:11">
      <c r="A5" t="s">
        <v>683</v>
      </c>
      <c r="B5" s="217">
        <v>0.05</v>
      </c>
      <c r="C5" s="217">
        <v>0.08</v>
      </c>
      <c r="D5" s="217">
        <v>0.06</v>
      </c>
      <c r="F5" s="217"/>
      <c r="J5" s="217"/>
    </row>
    <row r="6" spans="1:11">
      <c r="A6" t="s">
        <v>680</v>
      </c>
      <c r="B6">
        <f>B5*1000/2</f>
        <v>25</v>
      </c>
      <c r="C6">
        <f>C5*1000/2</f>
        <v>40</v>
      </c>
      <c r="D6">
        <f>D5*1000/2</f>
        <v>30</v>
      </c>
      <c r="F6" s="217"/>
      <c r="J6" s="217"/>
    </row>
    <row r="7" spans="1:11">
      <c r="A7" t="s">
        <v>677</v>
      </c>
      <c r="B7" s="188">
        <v>0.06</v>
      </c>
      <c r="C7" s="188">
        <v>0.06</v>
      </c>
      <c r="D7" s="188">
        <v>0.06</v>
      </c>
      <c r="F7" s="217"/>
      <c r="J7" s="217"/>
    </row>
    <row r="8" spans="1:11">
      <c r="A8" t="s">
        <v>676</v>
      </c>
      <c r="B8" s="189">
        <f>B7/2</f>
        <v>0.03</v>
      </c>
      <c r="C8" s="189">
        <f>C7/2</f>
        <v>0.03</v>
      </c>
      <c r="D8" s="189">
        <f>D7/2</f>
        <v>0.03</v>
      </c>
    </row>
    <row r="9" spans="1:11">
      <c r="A9" t="s">
        <v>688</v>
      </c>
      <c r="B9">
        <v>4</v>
      </c>
      <c r="C9">
        <v>4</v>
      </c>
      <c r="D9">
        <v>4</v>
      </c>
    </row>
    <row r="10" spans="1:11">
      <c r="A10" s="196" t="s">
        <v>679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6"/>
      <c r="G11" s="181"/>
      <c r="J11" s="196"/>
      <c r="K11" s="181"/>
    </row>
    <row r="12" spans="1:11">
      <c r="B12" s="1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4.5"/>
  <cols>
    <col min="4" max="4" width="15.54296875" bestFit="1" customWidth="1"/>
  </cols>
  <sheetData>
    <row r="1" spans="1:4">
      <c r="A1" s="1" t="s">
        <v>689</v>
      </c>
      <c r="B1" s="1" t="s">
        <v>320</v>
      </c>
      <c r="C1" s="1" t="s">
        <v>690</v>
      </c>
      <c r="D1" s="1" t="s">
        <v>693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676</v>
      </c>
      <c r="C23" t="s">
        <v>679</v>
      </c>
      <c r="D23" t="s">
        <v>691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692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4.5"/>
  <cols>
    <col min="4" max="4" width="16.81640625" bestFit="1" customWidth="1"/>
    <col min="5" max="5" width="1.81640625" customWidth="1"/>
    <col min="6" max="6" width="15.1796875" bestFit="1" customWidth="1"/>
    <col min="7" max="7" width="10.1796875" bestFit="1" customWidth="1"/>
    <col min="9" max="9" width="16.81640625" bestFit="1" customWidth="1"/>
    <col min="11" max="11" width="10.81640625" bestFit="1" customWidth="1"/>
  </cols>
  <sheetData>
    <row r="1" spans="1:18">
      <c r="A1" s="1" t="s">
        <v>689</v>
      </c>
      <c r="B1" s="1" t="s">
        <v>320</v>
      </c>
      <c r="C1" s="1" t="s">
        <v>690</v>
      </c>
      <c r="D1" s="1" t="s">
        <v>443</v>
      </c>
      <c r="F1" s="1" t="s">
        <v>694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676</v>
      </c>
      <c r="C7" t="s">
        <v>679</v>
      </c>
      <c r="D7" t="s">
        <v>691</v>
      </c>
      <c r="F7" t="s">
        <v>695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692</v>
      </c>
    </row>
    <row r="11" spans="1:18">
      <c r="D11">
        <f>D8/(1+B8)</f>
        <v>3.71709840281037</v>
      </c>
    </row>
    <row r="13" spans="1:18">
      <c r="G13" s="46"/>
      <c r="J13" t="s">
        <v>696</v>
      </c>
      <c r="K13" t="s">
        <v>697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7"/>
      <c r="I14" t="s">
        <v>698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677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683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699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692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695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18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18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7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19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700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701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4.5"/>
  <cols>
    <col min="3" max="3" width="15.81640625" bestFit="1" customWidth="1"/>
    <col min="6" max="6" width="11" customWidth="1"/>
    <col min="7" max="7" width="18.54296875" bestFit="1" customWidth="1"/>
  </cols>
  <sheetData>
    <row r="1" spans="1:7">
      <c r="A1" s="4" t="s">
        <v>702</v>
      </c>
      <c r="B1" s="4" t="s">
        <v>704</v>
      </c>
      <c r="C1" s="4" t="s">
        <v>710</v>
      </c>
      <c r="D1" s="4" t="s">
        <v>707</v>
      </c>
      <c r="E1" s="4" t="s">
        <v>712</v>
      </c>
    </row>
    <row r="2" spans="1:7">
      <c r="A2" s="4" t="s">
        <v>703</v>
      </c>
      <c r="B2" s="4" t="s">
        <v>705</v>
      </c>
      <c r="C2" s="4" t="s">
        <v>706</v>
      </c>
      <c r="D2" s="4" t="s">
        <v>708</v>
      </c>
      <c r="E2" s="4" t="s">
        <v>707</v>
      </c>
    </row>
    <row r="3" spans="1:7">
      <c r="A3" t="s">
        <v>709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676</v>
      </c>
      <c r="D9" t="s">
        <v>711</v>
      </c>
      <c r="E9" t="s">
        <v>707</v>
      </c>
      <c r="F9" t="s">
        <v>713</v>
      </c>
      <c r="G9" t="s">
        <v>714</v>
      </c>
    </row>
    <row r="10" spans="1:7">
      <c r="B10" s="196">
        <f>IRR(B3:B7)</f>
        <v>2.8032880842573382E-2</v>
      </c>
      <c r="D10" s="216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0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4.5"/>
  <cols>
    <col min="2" max="3" width="12.453125" bestFit="1" customWidth="1"/>
    <col min="4" max="4" width="10.453125" bestFit="1" customWidth="1"/>
    <col min="5" max="5" width="2.81640625" customWidth="1"/>
    <col min="6" max="6" width="15.81640625" bestFit="1" customWidth="1"/>
  </cols>
  <sheetData>
    <row r="1" spans="1:7">
      <c r="B1" s="285" t="s">
        <v>59</v>
      </c>
      <c r="C1" s="285"/>
    </row>
    <row r="2" spans="1:7">
      <c r="B2" s="3" t="s">
        <v>491</v>
      </c>
      <c r="C2" s="3" t="s">
        <v>171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728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729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730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I34" sqref="I34"/>
    </sheetView>
  </sheetViews>
  <sheetFormatPr defaultRowHeight="14.5"/>
  <cols>
    <col min="2" max="2" width="11.1796875" customWidth="1"/>
    <col min="8" max="8" width="1.54296875" customWidth="1"/>
  </cols>
  <sheetData>
    <row r="1" spans="2:9">
      <c r="C1" s="285" t="s">
        <v>156</v>
      </c>
      <c r="D1" s="285"/>
      <c r="E1" s="285"/>
      <c r="F1" s="285"/>
      <c r="G1" s="285"/>
    </row>
    <row r="2" spans="2:9">
      <c r="C2" s="3" t="s">
        <v>0</v>
      </c>
      <c r="D2" s="3" t="s">
        <v>1</v>
      </c>
      <c r="E2" s="3" t="s">
        <v>2</v>
      </c>
      <c r="F2" s="3" t="s">
        <v>432</v>
      </c>
      <c r="G2" s="3" t="s">
        <v>433</v>
      </c>
    </row>
    <row r="3" spans="2:9">
      <c r="B3" s="164" t="s">
        <v>0</v>
      </c>
      <c r="C3" s="228">
        <v>2.5000000000000001E-3</v>
      </c>
      <c r="D3" s="228">
        <v>1.1999999999999999E-3</v>
      </c>
      <c r="E3" s="228">
        <v>8.0000000000000004E-4</v>
      </c>
      <c r="F3" s="228">
        <v>1E-3</v>
      </c>
      <c r="G3" s="228">
        <v>6.9999999999999999E-4</v>
      </c>
    </row>
    <row r="4" spans="2:9">
      <c r="B4" s="226" t="s">
        <v>1</v>
      </c>
      <c r="C4" s="228">
        <v>1.1999999999999999E-3</v>
      </c>
      <c r="D4" s="228">
        <v>3.0000000000000001E-3</v>
      </c>
      <c r="E4" s="228">
        <v>1.1000000000000001E-3</v>
      </c>
      <c r="F4" s="228">
        <v>1.2999999999999999E-3</v>
      </c>
      <c r="G4" s="228">
        <v>1E-3</v>
      </c>
    </row>
    <row r="5" spans="2:9">
      <c r="B5" s="226" t="s">
        <v>2</v>
      </c>
      <c r="C5" s="228">
        <v>8.0000000000000004E-4</v>
      </c>
      <c r="D5" s="228">
        <v>1.1000000000000001E-3</v>
      </c>
      <c r="E5" s="228">
        <v>2.2000000000000001E-3</v>
      </c>
      <c r="F5" s="228">
        <v>8.9999999999999998E-4</v>
      </c>
      <c r="G5" s="228">
        <v>5.9999999999999995E-4</v>
      </c>
    </row>
    <row r="6" spans="2:9">
      <c r="B6" s="226" t="s">
        <v>432</v>
      </c>
      <c r="C6" s="228">
        <v>1E-3</v>
      </c>
      <c r="D6" s="228">
        <v>1.2999999999999999E-3</v>
      </c>
      <c r="E6" s="228">
        <v>8.9999999999999998E-4</v>
      </c>
      <c r="F6" s="228">
        <v>2.8E-3</v>
      </c>
      <c r="G6" s="228">
        <v>1.1000000000000001E-3</v>
      </c>
    </row>
    <row r="7" spans="2:9">
      <c r="B7" s="226" t="s">
        <v>433</v>
      </c>
      <c r="C7" s="228">
        <v>6.9999999999999999E-4</v>
      </c>
      <c r="D7" s="228">
        <v>1E-3</v>
      </c>
      <c r="E7" s="228">
        <v>5.9999999999999995E-4</v>
      </c>
      <c r="F7" s="228">
        <v>1.1000000000000001E-3</v>
      </c>
      <c r="G7" s="228">
        <v>2E-3</v>
      </c>
    </row>
    <row r="8" spans="2:9">
      <c r="B8" s="226"/>
      <c r="C8" s="209"/>
      <c r="D8" s="209"/>
      <c r="E8" s="209"/>
      <c r="F8" s="209"/>
      <c r="G8" s="209"/>
    </row>
    <row r="9" spans="2:9">
      <c r="C9" s="285" t="s">
        <v>191</v>
      </c>
      <c r="D9" s="285"/>
      <c r="E9" s="285"/>
      <c r="F9" s="285"/>
      <c r="G9" s="285"/>
    </row>
    <row r="10" spans="2:9">
      <c r="C10" s="3" t="s">
        <v>0</v>
      </c>
      <c r="D10" s="3" t="s">
        <v>1</v>
      </c>
      <c r="E10" s="3" t="s">
        <v>2</v>
      </c>
      <c r="F10" s="3" t="s">
        <v>432</v>
      </c>
      <c r="G10" s="3" t="s">
        <v>433</v>
      </c>
    </row>
    <row r="11" spans="2:9">
      <c r="B11" s="226" t="s">
        <v>13</v>
      </c>
      <c r="C11" s="228">
        <v>0.25</v>
      </c>
      <c r="D11" s="228">
        <v>0.24</v>
      </c>
      <c r="E11" s="228">
        <v>0.17</v>
      </c>
      <c r="F11" s="228">
        <v>0.2</v>
      </c>
      <c r="G11" s="228">
        <v>0.18</v>
      </c>
    </row>
    <row r="13" spans="2:9">
      <c r="C13" s="285" t="s">
        <v>443</v>
      </c>
      <c r="D13" s="285"/>
      <c r="E13" s="285"/>
      <c r="F13" s="285"/>
      <c r="G13" s="285"/>
      <c r="I13" s="4" t="s">
        <v>7</v>
      </c>
    </row>
    <row r="14" spans="2:9">
      <c r="C14" s="3"/>
      <c r="D14" s="3"/>
      <c r="E14" s="3"/>
      <c r="F14" s="3"/>
      <c r="G14" s="3"/>
      <c r="I14" s="4"/>
    </row>
    <row r="15" spans="2:9">
      <c r="B15" s="225" t="s">
        <v>491</v>
      </c>
      <c r="C15" s="229">
        <v>0.15</v>
      </c>
      <c r="D15" s="229">
        <v>0.2</v>
      </c>
      <c r="E15" s="229">
        <v>0.35</v>
      </c>
      <c r="F15" s="229">
        <v>0.3</v>
      </c>
      <c r="G15" s="229">
        <v>0</v>
      </c>
      <c r="I15" s="4">
        <f>SUM(C15:G15)</f>
        <v>1</v>
      </c>
    </row>
    <row r="16" spans="2:9">
      <c r="B16" s="225" t="s">
        <v>171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5" t="s">
        <v>227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5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732</v>
      </c>
      <c r="D20" s="1" t="s">
        <v>68</v>
      </c>
      <c r="E20" s="1" t="s">
        <v>13</v>
      </c>
      <c r="F20" s="1" t="s">
        <v>65</v>
      </c>
      <c r="G20" s="1"/>
      <c r="H20" s="1"/>
    </row>
    <row r="21" spans="2:9">
      <c r="B21" s="1" t="s">
        <v>0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1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2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432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433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733</v>
      </c>
      <c r="C27" s="4">
        <f>SUMPRODUCT(C16:G16,C11:G11)</f>
        <v>0.19620000000000001</v>
      </c>
    </row>
    <row r="28" spans="2:9">
      <c r="B28" s="1" t="s">
        <v>734</v>
      </c>
      <c r="C28" s="29">
        <f>SUMPRODUCT(MMULT(C16:G16,C3:G7),C16:G16)</f>
        <v>1.3486400000000001E-3</v>
      </c>
    </row>
    <row r="30" spans="2:9">
      <c r="C30" s="1" t="s">
        <v>735</v>
      </c>
      <c r="D30" s="1" t="s">
        <v>736</v>
      </c>
    </row>
    <row r="31" spans="2:9">
      <c r="B31" s="1" t="s">
        <v>751</v>
      </c>
      <c r="C31" s="230" cm="1">
        <f t="array" ref="C31">MMULT(C15:G15,D21:D25)</f>
        <v>0.97349922885277018</v>
      </c>
      <c r="D31" s="230" cm="1">
        <f t="array" ref="D31">MMULT(C17:G17,D21:D25)</f>
        <v>-2.6500771147229873E-2</v>
      </c>
    </row>
    <row r="32" spans="2:9">
      <c r="B32" s="1" t="s">
        <v>737</v>
      </c>
      <c r="C32" s="231" cm="1">
        <f t="array" ref="C32">MMULT(C15:G15,F21:F25)</f>
        <v>1.3469435876141893E-2</v>
      </c>
      <c r="D32" s="231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I34" sqref="I34"/>
    </sheetView>
  </sheetViews>
  <sheetFormatPr defaultRowHeight="14.5"/>
  <cols>
    <col min="1" max="1" width="18.81640625" bestFit="1" customWidth="1"/>
    <col min="2" max="2" width="10.81640625" customWidth="1"/>
    <col min="3" max="4" width="12" bestFit="1" customWidth="1"/>
    <col min="7" max="7" width="2.54296875" customWidth="1"/>
    <col min="8" max="9" width="11.453125" bestFit="1" customWidth="1"/>
    <col min="10" max="10" width="11.54296875" bestFit="1" customWidth="1"/>
  </cols>
  <sheetData>
    <row r="1" spans="1:14">
      <c r="A1" s="31" t="s">
        <v>156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6" t="s">
        <v>494</v>
      </c>
      <c r="C2" s="166" t="s">
        <v>495</v>
      </c>
      <c r="D2" s="166" t="s">
        <v>496</v>
      </c>
      <c r="E2" s="20"/>
      <c r="J2" s="1"/>
      <c r="M2" s="1"/>
    </row>
    <row r="3" spans="1:14">
      <c r="A3" s="166" t="s">
        <v>494</v>
      </c>
      <c r="B3" s="167">
        <v>0.04</v>
      </c>
      <c r="C3" s="167">
        <v>-0.02</v>
      </c>
      <c r="D3" s="167">
        <v>2.5000000000000001E-2</v>
      </c>
      <c r="E3" s="20"/>
      <c r="H3" s="1"/>
      <c r="I3" s="1"/>
      <c r="J3" s="1"/>
      <c r="M3" s="1"/>
      <c r="N3" s="1"/>
    </row>
    <row r="4" spans="1:14">
      <c r="A4" s="166" t="s">
        <v>495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6" t="s">
        <v>496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6" t="s">
        <v>494</v>
      </c>
      <c r="C7" s="166" t="s">
        <v>495</v>
      </c>
      <c r="D7" s="166" t="s">
        <v>496</v>
      </c>
      <c r="E7" s="31"/>
      <c r="G7" s="166"/>
    </row>
    <row r="8" spans="1:14">
      <c r="A8" s="186" t="s">
        <v>13</v>
      </c>
      <c r="B8" s="167">
        <v>0.12</v>
      </c>
      <c r="C8" s="167">
        <v>0.06</v>
      </c>
      <c r="D8" s="167">
        <v>0.08</v>
      </c>
      <c r="E8" s="51"/>
      <c r="G8" s="166"/>
    </row>
    <row r="9" spans="1:14">
      <c r="A9" s="1" t="s">
        <v>739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85" t="s">
        <v>443</v>
      </c>
      <c r="C11" s="285"/>
      <c r="D11" s="285"/>
      <c r="G11" s="1"/>
    </row>
    <row r="12" spans="1:14">
      <c r="B12" s="166" t="s">
        <v>494</v>
      </c>
      <c r="C12" s="166" t="s">
        <v>495</v>
      </c>
      <c r="D12" s="166" t="s">
        <v>496</v>
      </c>
      <c r="F12" s="166" t="s">
        <v>7</v>
      </c>
    </row>
    <row r="13" spans="1:14">
      <c r="A13" s="1" t="s">
        <v>171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491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65</v>
      </c>
      <c r="I14" s="1" t="s">
        <v>738</v>
      </c>
      <c r="J14" s="1" t="s">
        <v>442</v>
      </c>
    </row>
    <row r="15" spans="1:14">
      <c r="A15" s="1" t="s">
        <v>227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560</v>
      </c>
      <c r="B17">
        <v>10</v>
      </c>
      <c r="H17" s="1" t="s">
        <v>65</v>
      </c>
      <c r="I17" s="1" t="s">
        <v>738</v>
      </c>
      <c r="J17" s="1" t="s">
        <v>442</v>
      </c>
    </row>
    <row r="18" spans="1:10">
      <c r="A18" s="1" t="s">
        <v>561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740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I34" sqref="I34"/>
    </sheetView>
  </sheetViews>
  <sheetFormatPr defaultRowHeight="14.5"/>
  <cols>
    <col min="1" max="1" width="11.1796875" customWidth="1"/>
    <col min="2" max="2" width="11.81640625" bestFit="1" customWidth="1"/>
    <col min="3" max="3" width="12.81640625" bestFit="1" customWidth="1"/>
    <col min="6" max="6" width="13.453125" bestFit="1" customWidth="1"/>
    <col min="13" max="13" width="12" bestFit="1" customWidth="1"/>
    <col min="19" max="19" width="10.1796875" bestFit="1" customWidth="1"/>
  </cols>
  <sheetData>
    <row r="1" spans="1:11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</row>
    <row r="2" spans="1:11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</row>
    <row r="3" spans="1:11">
      <c r="A3" s="3" t="s">
        <v>0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1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2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432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433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139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741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742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743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744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85" t="s">
        <v>191</v>
      </c>
      <c r="C14" s="285"/>
      <c r="D14" s="285"/>
      <c r="E14" s="285"/>
      <c r="F14" s="285"/>
      <c r="G14" s="285"/>
      <c r="H14" s="285"/>
      <c r="I14" s="285"/>
      <c r="J14" s="285"/>
      <c r="K14" s="285"/>
    </row>
    <row r="15" spans="1:11">
      <c r="B15" s="3" t="s">
        <v>0</v>
      </c>
      <c r="C15" s="3" t="s">
        <v>1</v>
      </c>
      <c r="D15" s="3" t="s">
        <v>2</v>
      </c>
      <c r="E15" s="3" t="s">
        <v>432</v>
      </c>
      <c r="F15" s="3" t="s">
        <v>433</v>
      </c>
      <c r="G15" s="3" t="s">
        <v>139</v>
      </c>
      <c r="H15" s="3" t="s">
        <v>741</v>
      </c>
      <c r="I15" s="3" t="s">
        <v>742</v>
      </c>
      <c r="J15" s="3" t="s">
        <v>743</v>
      </c>
      <c r="K15" s="3" t="s">
        <v>744</v>
      </c>
    </row>
    <row r="16" spans="1:11">
      <c r="A16" s="3" t="s">
        <v>13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85" t="s">
        <v>443</v>
      </c>
      <c r="C18" s="285"/>
      <c r="D18" s="285"/>
      <c r="E18" s="285"/>
      <c r="F18" s="285"/>
      <c r="G18" s="285"/>
      <c r="H18" s="285"/>
      <c r="I18" s="285"/>
      <c r="J18" s="285"/>
      <c r="K18" s="285"/>
      <c r="M18" t="s">
        <v>7</v>
      </c>
    </row>
    <row r="19" spans="1:13">
      <c r="B19" s="3" t="s">
        <v>0</v>
      </c>
      <c r="C19" s="3" t="s">
        <v>1</v>
      </c>
      <c r="D19" s="3" t="s">
        <v>2</v>
      </c>
      <c r="E19" s="3" t="s">
        <v>432</v>
      </c>
      <c r="F19" s="3" t="s">
        <v>433</v>
      </c>
      <c r="G19" s="3" t="s">
        <v>139</v>
      </c>
      <c r="H19" s="3" t="s">
        <v>741</v>
      </c>
      <c r="I19" s="3" t="s">
        <v>742</v>
      </c>
      <c r="J19" s="3" t="s">
        <v>743</v>
      </c>
      <c r="K19" s="3" t="s">
        <v>744</v>
      </c>
    </row>
    <row r="20" spans="1:13">
      <c r="A20" s="1" t="s">
        <v>491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171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227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748</v>
      </c>
      <c r="C24" s="3" t="s">
        <v>745</v>
      </c>
      <c r="D24" s="3" t="s">
        <v>13</v>
      </c>
      <c r="E24" s="3" t="s">
        <v>65</v>
      </c>
      <c r="F24" s="3" t="s">
        <v>510</v>
      </c>
    </row>
    <row r="25" spans="1:13">
      <c r="A25" s="3" t="s">
        <v>0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27">
        <f>D25-0.02-C25*($B$37-0.02)</f>
        <v>-6.1959749607669715E-2</v>
      </c>
      <c r="F25" s="29">
        <f>B22</f>
        <v>-0.17682939085832869</v>
      </c>
      <c r="H25" s="285" t="s">
        <v>750</v>
      </c>
      <c r="I25" s="285"/>
      <c r="J25" s="285"/>
    </row>
    <row r="26" spans="1:13">
      <c r="A26" s="3" t="s">
        <v>1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27">
        <f t="shared" ref="E26:E34" si="3">D26-0.02-C26*($B$37-0.02)</f>
        <v>6.7089282061010613E-2</v>
      </c>
      <c r="F26" s="29">
        <f>C22</f>
        <v>0.19939575892928552</v>
      </c>
      <c r="H26" s="3" t="s">
        <v>65</v>
      </c>
      <c r="I26" s="3" t="s">
        <v>738</v>
      </c>
      <c r="J26" s="3" t="s">
        <v>442</v>
      </c>
    </row>
    <row r="27" spans="1:13">
      <c r="A27" s="3" t="s">
        <v>2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27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432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27">
        <f t="shared" si="3"/>
        <v>-2.7271787744540754E-2</v>
      </c>
      <c r="F28" s="29">
        <f>E22</f>
        <v>-2.9407715530956391E-2</v>
      </c>
    </row>
    <row r="29" spans="1:13">
      <c r="A29" s="3" t="s">
        <v>433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27">
        <f t="shared" si="3"/>
        <v>0.12284355393394225</v>
      </c>
      <c r="F29" s="29">
        <f>F22</f>
        <v>0.13980268313705244</v>
      </c>
    </row>
    <row r="30" spans="1:13">
      <c r="A30" s="3" t="s">
        <v>139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27">
        <f t="shared" si="3"/>
        <v>-1.672213147596649E-2</v>
      </c>
      <c r="F30" s="29">
        <f>G22</f>
        <v>-1.126816740355765E-2</v>
      </c>
    </row>
    <row r="31" spans="1:13">
      <c r="A31" s="3" t="s">
        <v>741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27">
        <f t="shared" si="3"/>
        <v>-0.12637325969574137</v>
      </c>
      <c r="F31" s="29">
        <f>H22</f>
        <v>-8.8395481647113486E-2</v>
      </c>
    </row>
    <row r="32" spans="1:13">
      <c r="A32" s="3" t="s">
        <v>742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27">
        <f t="shared" si="3"/>
        <v>-4.9524484109403064E-2</v>
      </c>
      <c r="F32" s="29">
        <f>I22</f>
        <v>-3.4374436916329146E-2</v>
      </c>
    </row>
    <row r="33" spans="1:19">
      <c r="A33" s="3" t="s">
        <v>743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27">
        <f t="shared" si="3"/>
        <v>0.15678489911731786</v>
      </c>
      <c r="F33" s="29">
        <f>J22</f>
        <v>7.0833019962257812E-2</v>
      </c>
    </row>
    <row r="34" spans="1:19">
      <c r="A34" s="3" t="s">
        <v>744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27">
        <f t="shared" si="3"/>
        <v>6.9621604763054068E-2</v>
      </c>
      <c r="F34" s="29">
        <f>K22</f>
        <v>2.1568289877785599E-2</v>
      </c>
      <c r="S34" s="162"/>
    </row>
    <row r="36" spans="1:19">
      <c r="A36" s="1" t="s">
        <v>746</v>
      </c>
      <c r="B36" s="29">
        <f>SUMPRODUCT(MMULT(B21:K21,B3:K12),B21:K21)</f>
        <v>2.3108292817734875E-2</v>
      </c>
      <c r="S36" s="162"/>
    </row>
    <row r="37" spans="1:19">
      <c r="A37" s="1" t="s">
        <v>747</v>
      </c>
      <c r="B37" s="29">
        <f>SUMPRODUCT(B21:K21,B16:K16)</f>
        <v>0.18743861637882939</v>
      </c>
    </row>
    <row r="39" spans="1:19">
      <c r="C39" s="3" t="s">
        <v>749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workbookViewId="0">
      <selection activeCell="I34" sqref="I34"/>
    </sheetView>
  </sheetViews>
  <sheetFormatPr defaultRowHeight="14.5"/>
  <cols>
    <col min="1" max="1" width="11.1796875" bestFit="1" customWidth="1"/>
    <col min="2" max="2" width="10.81640625" bestFit="1" customWidth="1"/>
    <col min="3" max="3" width="11.81640625" bestFit="1" customWidth="1"/>
    <col min="4" max="4" width="5.81640625" bestFit="1" customWidth="1"/>
    <col min="12" max="12" width="11.1796875" bestFit="1" customWidth="1"/>
    <col min="13" max="13" width="2.81640625" customWidth="1"/>
  </cols>
  <sheetData>
    <row r="1" spans="1:12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</row>
    <row r="2" spans="1:12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  <c r="L2" s="3" t="s">
        <v>752</v>
      </c>
    </row>
    <row r="3" spans="1:12">
      <c r="A3" s="3" t="s">
        <v>0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1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2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432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433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139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741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742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743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744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752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85" t="s">
        <v>191</v>
      </c>
      <c r="C15" s="285"/>
      <c r="D15" s="285"/>
      <c r="E15" s="285"/>
      <c r="F15" s="285"/>
      <c r="G15" s="285"/>
      <c r="H15" s="285"/>
      <c r="I15" s="285"/>
      <c r="J15" s="285"/>
      <c r="K15" s="285"/>
      <c r="L15" s="285"/>
    </row>
    <row r="16" spans="1:12">
      <c r="B16" s="3" t="s">
        <v>0</v>
      </c>
      <c r="C16" s="3" t="s">
        <v>1</v>
      </c>
      <c r="D16" s="3" t="s">
        <v>2</v>
      </c>
      <c r="E16" s="3" t="s">
        <v>432</v>
      </c>
      <c r="F16" s="3" t="s">
        <v>433</v>
      </c>
      <c r="G16" s="3" t="s">
        <v>139</v>
      </c>
      <c r="H16" s="3" t="s">
        <v>741</v>
      </c>
      <c r="I16" s="3" t="s">
        <v>742</v>
      </c>
      <c r="J16" s="3" t="s">
        <v>743</v>
      </c>
      <c r="K16" s="3" t="s">
        <v>744</v>
      </c>
      <c r="L16" s="3" t="s">
        <v>752</v>
      </c>
    </row>
    <row r="17" spans="1:14">
      <c r="A17" s="1" t="s">
        <v>13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85" t="s">
        <v>443</v>
      </c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N19" t="s">
        <v>7</v>
      </c>
    </row>
    <row r="20" spans="1:14">
      <c r="A20" s="1" t="s">
        <v>491</v>
      </c>
      <c r="B20" s="5">
        <f>B21+B22</f>
        <v>-1.6138867116493457E-3</v>
      </c>
      <c r="C20" s="5">
        <f t="shared" ref="C20:L20" si="0">C21+C22</f>
        <v>-4.5886514899770218E-4</v>
      </c>
      <c r="D20" s="5">
        <f t="shared" si="0"/>
        <v>2.2927097976823522E-2</v>
      </c>
      <c r="E20" s="5">
        <f t="shared" si="0"/>
        <v>4.2188698182130585E-2</v>
      </c>
      <c r="F20" s="5">
        <f t="shared" si="0"/>
        <v>-5.8827698263969538E-2</v>
      </c>
      <c r="G20" s="5">
        <f t="shared" si="0"/>
        <v>4.1926169080082606E-2</v>
      </c>
      <c r="H20" s="5">
        <f t="shared" si="0"/>
        <v>5.6724475000721697E-2</v>
      </c>
      <c r="I20" s="5">
        <f t="shared" si="0"/>
        <v>4.8550086994594142E-2</v>
      </c>
      <c r="J20" s="5">
        <f t="shared" si="0"/>
        <v>6.8633942988324967E-2</v>
      </c>
      <c r="K20" s="5">
        <f t="shared" si="0"/>
        <v>5.3272095671180138E-2</v>
      </c>
      <c r="L20" s="5">
        <f t="shared" si="0"/>
        <v>0.72667788423075885</v>
      </c>
      <c r="N20" s="14">
        <f>SUM(B20:L20)</f>
        <v>1</v>
      </c>
    </row>
    <row r="21" spans="1:14">
      <c r="A21" s="1" t="s">
        <v>171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227</v>
      </c>
      <c r="B22" s="5">
        <v>-1.6138867116493457E-3</v>
      </c>
      <c r="C22" s="5">
        <v>-4.5886514899770218E-4</v>
      </c>
      <c r="D22" s="5">
        <v>2.2927097976823522E-2</v>
      </c>
      <c r="E22" s="5">
        <v>4.2188698182130585E-2</v>
      </c>
      <c r="F22" s="5">
        <v>-5.8827698263969538E-2</v>
      </c>
      <c r="G22" s="5">
        <v>4.1926169080082606E-2</v>
      </c>
      <c r="H22" s="5">
        <v>5.6724475000721697E-2</v>
      </c>
      <c r="I22" s="5">
        <v>4.8550086994594142E-2</v>
      </c>
      <c r="J22" s="5">
        <v>6.8633942988324967E-2</v>
      </c>
      <c r="K22" s="5">
        <v>5.3272095671180138E-2</v>
      </c>
      <c r="L22" s="5">
        <f>0-SUM(B22:K22)</f>
        <v>-0.27332211576924109</v>
      </c>
      <c r="N22" s="14">
        <f>SUM(B22:L22)</f>
        <v>0</v>
      </c>
    </row>
    <row r="24" spans="1:14">
      <c r="B24" s="3" t="s">
        <v>748</v>
      </c>
      <c r="C24" s="3" t="s">
        <v>745</v>
      </c>
      <c r="D24" s="3" t="s">
        <v>13</v>
      </c>
      <c r="E24" s="3" t="s">
        <v>65</v>
      </c>
    </row>
    <row r="25" spans="1:14">
      <c r="A25" s="3" t="s">
        <v>0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85" t="s">
        <v>750</v>
      </c>
      <c r="H25" s="285"/>
      <c r="I25" s="285"/>
    </row>
    <row r="26" spans="1:14">
      <c r="A26" s="3" t="s">
        <v>1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65</v>
      </c>
      <c r="H26" s="3" t="s">
        <v>738</v>
      </c>
      <c r="I26" s="3" t="s">
        <v>442</v>
      </c>
    </row>
    <row r="27" spans="1:14">
      <c r="A27" s="3" t="s">
        <v>2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3.5346382744065055E-2</v>
      </c>
      <c r="H27">
        <f>SQRT(SUMPRODUCT(MMULT(B22:L22,B3:L13),B22:L22))</f>
        <v>5.0000999999999997E-2</v>
      </c>
      <c r="I27">
        <f>G27/H27</f>
        <v>0.70691351661096891</v>
      </c>
    </row>
    <row r="28" spans="1:14">
      <c r="A28" s="3" t="s">
        <v>432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433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139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741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742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6">
      <c r="A33" s="3" t="s">
        <v>743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6">
      <c r="A34" s="3" t="s">
        <v>744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6">
      <c r="A35" s="3" t="s">
        <v>752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6">
      <c r="A37" s="1"/>
    </row>
    <row r="38" spans="1:6">
      <c r="C38" s="3" t="s">
        <v>749</v>
      </c>
      <c r="F38" s="3" t="s">
        <v>839</v>
      </c>
    </row>
    <row r="39" spans="1:6">
      <c r="C39" cm="1">
        <f t="array" ref="C39">MMULT(B22:L22,C25:C35)</f>
        <v>1.6713797013068188E-11</v>
      </c>
      <c r="F39" s="40">
        <f>C39+1</f>
        <v>1.0000000000167137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G10" sqref="G10"/>
    </sheetView>
  </sheetViews>
  <sheetFormatPr defaultRowHeight="14.5"/>
  <cols>
    <col min="1" max="1" width="8.453125" customWidth="1"/>
    <col min="2" max="2" width="10.1796875" customWidth="1"/>
    <col min="3" max="3" width="10.453125" bestFit="1" customWidth="1"/>
    <col min="5" max="5" width="10" customWidth="1"/>
    <col min="6" max="6" width="7" customWidth="1"/>
    <col min="7" max="7" width="12.54296875" customWidth="1"/>
    <col min="8" max="8" width="11.81640625" customWidth="1"/>
    <col min="9" max="9" width="3.81640625" customWidth="1"/>
    <col min="10" max="10" width="13.453125" bestFit="1" customWidth="1"/>
    <col min="11" max="11" width="9.453125" customWidth="1"/>
    <col min="12" max="12" width="10.453125" bestFit="1" customWidth="1"/>
    <col min="13" max="13" width="2.81640625" customWidth="1"/>
    <col min="14" max="14" width="11.81640625" customWidth="1"/>
    <col min="15" max="15" width="9" customWidth="1"/>
    <col min="16" max="16" width="2.81640625" customWidth="1"/>
    <col min="17" max="17" width="11.81640625" customWidth="1"/>
    <col min="18" max="18" width="12.81640625" customWidth="1"/>
    <col min="19" max="19" width="2.81640625" customWidth="1"/>
    <col min="20" max="20" width="11.81640625" customWidth="1"/>
    <col min="21" max="21" width="12.81640625" customWidth="1"/>
    <col min="24" max="24" width="8.1796875" customWidth="1"/>
    <col min="26" max="26" width="12" customWidth="1"/>
  </cols>
  <sheetData>
    <row r="1" spans="1:21">
      <c r="A1" s="233"/>
      <c r="B1" s="233"/>
      <c r="C1" s="235" t="s">
        <v>543</v>
      </c>
      <c r="D1" s="294" t="s">
        <v>753</v>
      </c>
      <c r="E1" s="294"/>
      <c r="F1" s="3"/>
      <c r="G1" s="285" t="s">
        <v>761</v>
      </c>
      <c r="H1" s="285"/>
      <c r="I1" s="3"/>
      <c r="J1" s="295" t="s">
        <v>761</v>
      </c>
      <c r="K1" s="295"/>
      <c r="M1" s="3"/>
      <c r="N1" s="3"/>
      <c r="O1" s="3"/>
    </row>
    <row r="2" spans="1:21">
      <c r="A2" s="236" t="s">
        <v>515</v>
      </c>
      <c r="B2" s="236" t="s">
        <v>766</v>
      </c>
      <c r="C2" s="235" t="s">
        <v>211</v>
      </c>
      <c r="D2" s="235" t="s">
        <v>17</v>
      </c>
      <c r="E2" s="237" t="s">
        <v>171</v>
      </c>
      <c r="F2" s="1"/>
      <c r="G2" s="1" t="s">
        <v>17</v>
      </c>
      <c r="H2" s="1" t="s">
        <v>171</v>
      </c>
      <c r="I2" s="1"/>
      <c r="J2" s="285" t="s">
        <v>754</v>
      </c>
      <c r="K2" s="285"/>
      <c r="M2" s="1"/>
      <c r="N2" s="1"/>
      <c r="O2" s="1"/>
    </row>
    <row r="3" spans="1:21">
      <c r="A3" s="238" t="s">
        <v>0</v>
      </c>
      <c r="B3" s="238">
        <v>1</v>
      </c>
      <c r="C3" s="242">
        <v>1.3631031661925469E-2</v>
      </c>
      <c r="D3" s="239">
        <v>0.23</v>
      </c>
      <c r="E3" s="239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38" t="s">
        <v>1</v>
      </c>
      <c r="B4" s="238">
        <v>1</v>
      </c>
      <c r="C4" s="242">
        <v>-1.30175915692063E-2</v>
      </c>
      <c r="D4" s="239">
        <v>0.21</v>
      </c>
      <c r="E4" s="239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38" t="s">
        <v>2</v>
      </c>
      <c r="B5" s="238">
        <v>1</v>
      </c>
      <c r="C5" s="242">
        <v>1.1811999923555E-3</v>
      </c>
      <c r="D5" s="239">
        <v>0.09</v>
      </c>
      <c r="E5" s="239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38" t="s">
        <v>432</v>
      </c>
      <c r="B6" s="238">
        <v>2</v>
      </c>
      <c r="C6" s="242">
        <v>4.6045465053296292E-2</v>
      </c>
      <c r="D6" s="239">
        <v>0.35</v>
      </c>
      <c r="E6" s="239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38" t="s">
        <v>433</v>
      </c>
      <c r="B7" s="238">
        <v>2</v>
      </c>
      <c r="C7" s="242">
        <v>9.7110800474578002E-3</v>
      </c>
      <c r="D7" s="239">
        <f>1-SUM(D3:D6)</f>
        <v>0.12</v>
      </c>
      <c r="E7" s="239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60</v>
      </c>
      <c r="G9" s="285" t="s">
        <v>763</v>
      </c>
      <c r="H9" s="285"/>
      <c r="I9" s="3"/>
      <c r="J9" s="285" t="s">
        <v>762</v>
      </c>
      <c r="K9" s="285"/>
    </row>
    <row r="10" spans="1:21">
      <c r="B10" s="3" t="s">
        <v>17</v>
      </c>
      <c r="C10" s="3" t="s">
        <v>171</v>
      </c>
      <c r="D10" s="1" t="s">
        <v>756</v>
      </c>
      <c r="G10" s="1" t="s">
        <v>17</v>
      </c>
      <c r="H10" s="1" t="s">
        <v>171</v>
      </c>
      <c r="I10" s="1"/>
      <c r="J10" s="3" t="s">
        <v>17</v>
      </c>
      <c r="K10" s="224" t="s">
        <v>171</v>
      </c>
    </row>
    <row r="11" spans="1:21">
      <c r="A11" s="1" t="s">
        <v>543</v>
      </c>
      <c r="B11" s="197">
        <f>SUMPRODUCT(C3:C7,D3:D7)</f>
        <v>1.7788993426370168E-2</v>
      </c>
      <c r="C11" s="197">
        <f>SUMPRODUCT(E3:E7,C3:C7)</f>
        <v>1.2053360601817102E-2</v>
      </c>
      <c r="D11" s="240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7">
        <f>SUMPRODUCT(G3:G5,C3:C5)</f>
        <v>9.580208528708117E-4</v>
      </c>
      <c r="K11" s="197">
        <f>SUMPRODUCT(H3:H5,C3:C5)</f>
        <v>2.1089923862077807E-3</v>
      </c>
    </row>
    <row r="12" spans="1:21">
      <c r="A12" s="232" t="s">
        <v>768</v>
      </c>
      <c r="B12" s="197">
        <f>B11*12</f>
        <v>0.21346792111644203</v>
      </c>
      <c r="C12" s="197">
        <f>C11*12</f>
        <v>0.14464032722180523</v>
      </c>
      <c r="D12" s="241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7">
        <f>SUMPRODUCT(G6:G7,C6:C7)</f>
        <v>3.6768600796486459E-2</v>
      </c>
      <c r="K12" s="197">
        <f>SUMPRODUCT(H6:H7,C6:C7)</f>
        <v>2.6969912925231085E-2</v>
      </c>
    </row>
    <row r="13" spans="1:21">
      <c r="A13" s="232"/>
      <c r="B13" s="150"/>
      <c r="T13" s="285"/>
      <c r="U13" s="285"/>
    </row>
    <row r="14" spans="1:21">
      <c r="A14" s="232" t="s">
        <v>755</v>
      </c>
      <c r="B14" s="150"/>
      <c r="I14" s="4"/>
      <c r="J14" s="285" t="s">
        <v>775</v>
      </c>
      <c r="K14" s="285"/>
      <c r="P14" s="4"/>
    </row>
    <row r="15" spans="1:21">
      <c r="B15" s="1">
        <v>1</v>
      </c>
      <c r="C15" s="1">
        <v>2</v>
      </c>
      <c r="D15" s="1" t="s">
        <v>7</v>
      </c>
      <c r="I15" s="164">
        <v>1</v>
      </c>
      <c r="J15" s="197">
        <f>J11*12</f>
        <v>1.149625023444974E-2</v>
      </c>
      <c r="K15" s="197">
        <f>K11*12</f>
        <v>2.5307908634493368E-2</v>
      </c>
      <c r="P15" s="4"/>
    </row>
    <row r="16" spans="1:21">
      <c r="A16" s="1" t="s">
        <v>543</v>
      </c>
      <c r="B16" s="197">
        <f>(G11-H11)*(K11-$C$11)</f>
        <v>6.9610577509265198E-4</v>
      </c>
      <c r="C16" s="197">
        <f>(G12-H12)*(K12-$C$11)</f>
        <v>1.044158662638979E-3</v>
      </c>
      <c r="D16" s="197">
        <f>SUM(B16:C16)</f>
        <v>1.7402644377316309E-3</v>
      </c>
      <c r="I16" s="164">
        <v>2</v>
      </c>
      <c r="J16" s="197">
        <f>J12*12</f>
        <v>0.4412232095578375</v>
      </c>
      <c r="K16" s="197">
        <f>K12*12</f>
        <v>0.32363895510277302</v>
      </c>
    </row>
    <row r="17" spans="1:24">
      <c r="A17" s="1" t="s">
        <v>768</v>
      </c>
      <c r="B17" s="197">
        <f>B16*12</f>
        <v>8.3532693011118229E-3</v>
      </c>
      <c r="C17" s="197">
        <f>C16*12</f>
        <v>1.2529903951667747E-2</v>
      </c>
      <c r="D17" s="197">
        <f>D16*12</f>
        <v>2.0883173252779573E-2</v>
      </c>
    </row>
    <row r="18" spans="1:24">
      <c r="A18" s="150"/>
      <c r="B18" s="150"/>
      <c r="U18" s="150"/>
      <c r="V18" s="197"/>
      <c r="W18" s="197"/>
      <c r="X18" s="197"/>
    </row>
    <row r="19" spans="1:24">
      <c r="A19" s="232" t="s">
        <v>757</v>
      </c>
      <c r="B19" s="150"/>
      <c r="V19" s="197"/>
      <c r="W19" s="197"/>
      <c r="X19" s="197"/>
    </row>
    <row r="20" spans="1:24">
      <c r="A20" s="232"/>
      <c r="B20" s="1">
        <v>1</v>
      </c>
      <c r="C20" s="1">
        <v>2</v>
      </c>
      <c r="D20" s="1" t="s">
        <v>7</v>
      </c>
      <c r="V20" s="197"/>
      <c r="W20" s="197"/>
      <c r="X20" s="197"/>
    </row>
    <row r="21" spans="1:24">
      <c r="A21" s="1" t="s">
        <v>543</v>
      </c>
      <c r="B21" s="197">
        <f>H11*(J11-K11)</f>
        <v>-6.9058292000218134E-4</v>
      </c>
      <c r="C21" s="197">
        <f>H12*(J12-K12)</f>
        <v>3.9194751485021493E-3</v>
      </c>
      <c r="D21" s="197">
        <f>SUM(B21:C21)</f>
        <v>3.2288922284999678E-3</v>
      </c>
    </row>
    <row r="22" spans="1:24">
      <c r="A22" s="1" t="s">
        <v>768</v>
      </c>
      <c r="B22" s="197">
        <f>B21*12</f>
        <v>-8.2869950400261752E-3</v>
      </c>
      <c r="C22" s="197">
        <f>C21*12</f>
        <v>4.7033701782025789E-2</v>
      </c>
      <c r="D22" s="197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2" t="s">
        <v>758</v>
      </c>
      <c r="B24" s="150"/>
      <c r="G24">
        <v>86.2</v>
      </c>
    </row>
    <row r="25" spans="1:24">
      <c r="A25" s="232"/>
      <c r="B25" s="1">
        <v>1</v>
      </c>
      <c r="C25" s="1">
        <v>2</v>
      </c>
      <c r="D25" s="1" t="s">
        <v>7</v>
      </c>
    </row>
    <row r="26" spans="1:24">
      <c r="A26" s="1" t="s">
        <v>543</v>
      </c>
      <c r="B26" s="197">
        <f>(G11-H11)*(J11-K11)</f>
        <v>8.0568007333587776E-5</v>
      </c>
      <c r="C26" s="197">
        <f>(G12-H12)*(J12-K12)</f>
        <v>6.8590815098787622E-4</v>
      </c>
      <c r="D26" s="196">
        <f>SUM(B26:C26)</f>
        <v>7.66476158321464E-4</v>
      </c>
    </row>
    <row r="27" spans="1:24">
      <c r="A27" s="1" t="s">
        <v>768</v>
      </c>
      <c r="B27" s="197">
        <f>B26*12</f>
        <v>9.6681608800305331E-4</v>
      </c>
      <c r="C27" s="197">
        <f>C26*12</f>
        <v>8.2308978118545151E-3</v>
      </c>
      <c r="D27" s="197">
        <f>D26*12</f>
        <v>9.1977138998575684E-3</v>
      </c>
    </row>
    <row r="28" spans="1:24">
      <c r="A28" s="150"/>
      <c r="B28" s="197"/>
    </row>
    <row r="29" spans="1:24">
      <c r="B29" s="150"/>
    </row>
    <row r="30" spans="1:24">
      <c r="A30" s="1" t="s">
        <v>759</v>
      </c>
      <c r="B30" s="150"/>
    </row>
    <row r="31" spans="1:24">
      <c r="A31" s="1"/>
      <c r="B31" s="150"/>
    </row>
    <row r="32" spans="1:24">
      <c r="A32" s="1" t="s">
        <v>543</v>
      </c>
      <c r="B32" s="241">
        <f>D16+D21+D26</f>
        <v>5.7356328245530622E-3</v>
      </c>
    </row>
    <row r="33" spans="1:7">
      <c r="A33" s="1" t="s">
        <v>768</v>
      </c>
      <c r="B33" s="241">
        <f>B32*12</f>
        <v>6.8827593894636746E-2</v>
      </c>
    </row>
    <row r="34" spans="1:7">
      <c r="B34" s="150"/>
    </row>
    <row r="35" spans="1:7">
      <c r="A35" s="1" t="s">
        <v>760</v>
      </c>
      <c r="B35" s="150"/>
    </row>
    <row r="36" spans="1:7">
      <c r="A36" s="1"/>
      <c r="B36" s="232" t="s">
        <v>0</v>
      </c>
      <c r="C36" s="1" t="s">
        <v>1</v>
      </c>
      <c r="D36" s="1" t="s">
        <v>2</v>
      </c>
      <c r="E36" s="1" t="s">
        <v>432</v>
      </c>
      <c r="F36" s="1" t="s">
        <v>433</v>
      </c>
      <c r="G36" s="1" t="s">
        <v>7</v>
      </c>
    </row>
    <row r="37" spans="1:7">
      <c r="A37" s="1" t="s">
        <v>543</v>
      </c>
      <c r="B37" s="197">
        <f>(D3-E3)*(C3-$C$11)</f>
        <v>-3.1553421202167329E-5</v>
      </c>
      <c r="C37" s="197">
        <f>(D4-E4)*(C4-$C$11)</f>
        <v>-7.5212856513070213E-4</v>
      </c>
      <c r="D37" s="197">
        <f>(D5-E5)*(C5-$C$11)</f>
        <v>8.6977284875692834E-4</v>
      </c>
      <c r="E37" s="197">
        <f>(D6-E6)*(C6-$C$11)</f>
        <v>5.4387367122366694E-3</v>
      </c>
      <c r="F37" s="197">
        <f>(D7-E7)*(C7-$C$11)</f>
        <v>2.108052498923371E-4</v>
      </c>
      <c r="G37" s="240">
        <f>SUM(B37:F37)</f>
        <v>5.7356328245530656E-3</v>
      </c>
    </row>
    <row r="38" spans="1:7">
      <c r="A38" s="1" t="s">
        <v>768</v>
      </c>
      <c r="B38" s="197">
        <f>B37*12</f>
        <v>-3.7864105442600795E-4</v>
      </c>
      <c r="C38" s="197">
        <f>C37*12</f>
        <v>-9.0255427815684255E-3</v>
      </c>
      <c r="D38" s="197">
        <f>D37*12</f>
        <v>1.043727418508314E-2</v>
      </c>
      <c r="E38" s="197">
        <f>E37*12</f>
        <v>6.5264840546840036E-2</v>
      </c>
      <c r="F38" s="197">
        <f>F37*12</f>
        <v>2.5296629987080453E-3</v>
      </c>
      <c r="G38" s="240">
        <f>SUM(B38:F38)</f>
        <v>6.8827593894636788E-2</v>
      </c>
    </row>
    <row r="40" spans="1:7">
      <c r="B40" s="241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G10" sqref="G10"/>
    </sheetView>
  </sheetViews>
  <sheetFormatPr defaultRowHeight="14.5"/>
  <cols>
    <col min="7" max="7" width="7.1796875" customWidth="1"/>
    <col min="13" max="13" width="3.1796875" customWidth="1"/>
    <col min="19" max="19" width="8.54296875" bestFit="1" customWidth="1"/>
    <col min="20" max="20" width="12.81640625" bestFit="1" customWidth="1"/>
    <col min="21" max="21" width="12.81640625" customWidth="1"/>
    <col min="22" max="22" width="12.81640625" bestFit="1" customWidth="1"/>
    <col min="23" max="23" width="2.1796875" customWidth="1"/>
    <col min="24" max="24" width="11.81640625" customWidth="1"/>
    <col min="25" max="25" width="9.81640625" customWidth="1"/>
    <col min="26" max="26" width="8.453125" bestFit="1" customWidth="1"/>
    <col min="27" max="31" width="9.54296875" bestFit="1" customWidth="1"/>
    <col min="32" max="32" width="1.453125" customWidth="1"/>
    <col min="38" max="38" width="1.453125" customWidth="1"/>
    <col min="41" max="41" width="1.453125" customWidth="1"/>
    <col min="44" max="44" width="1.81640625" customWidth="1"/>
    <col min="47" max="47" width="1.54296875" customWidth="1"/>
    <col min="50" max="50" width="1.453125" customWidth="1"/>
    <col min="51" max="51" width="13.1796875" customWidth="1"/>
    <col min="52" max="52" width="12.81640625" bestFit="1" customWidth="1"/>
    <col min="53" max="53" width="1.81640625" customWidth="1"/>
    <col min="54" max="54" width="19.54296875" bestFit="1" customWidth="1"/>
    <col min="55" max="55" width="20.81640625" bestFit="1" customWidth="1"/>
  </cols>
  <sheetData>
    <row r="1" spans="1:55">
      <c r="A1" s="235"/>
      <c r="B1" s="284" t="s">
        <v>774</v>
      </c>
      <c r="C1" s="284"/>
      <c r="D1" s="284"/>
      <c r="E1" s="284"/>
      <c r="F1" s="284"/>
      <c r="G1" s="234"/>
      <c r="H1" s="284" t="s">
        <v>765</v>
      </c>
      <c r="I1" s="284"/>
      <c r="J1" s="284"/>
      <c r="K1" s="284"/>
      <c r="L1" s="284"/>
      <c r="M1" s="235"/>
      <c r="N1" s="284" t="s">
        <v>767</v>
      </c>
      <c r="O1" s="284"/>
      <c r="P1" s="284"/>
      <c r="Q1" s="284"/>
      <c r="R1" s="284"/>
      <c r="T1" s="285" t="s">
        <v>211</v>
      </c>
      <c r="U1" s="285"/>
      <c r="V1" s="285"/>
      <c r="X1" s="285" t="s">
        <v>59</v>
      </c>
      <c r="Y1" s="285"/>
      <c r="AA1" s="285" t="s">
        <v>769</v>
      </c>
      <c r="AB1" s="285"/>
      <c r="AC1" s="285"/>
      <c r="AD1" s="285"/>
      <c r="AE1" s="285"/>
      <c r="AG1" s="285"/>
      <c r="AH1" s="285"/>
      <c r="AI1" s="285"/>
      <c r="AJ1" s="285"/>
      <c r="AK1" s="285"/>
      <c r="AM1" s="285"/>
      <c r="AN1" s="285"/>
      <c r="AP1" s="285"/>
      <c r="AQ1" s="285"/>
      <c r="AS1" s="1"/>
      <c r="AV1" s="1"/>
      <c r="AY1" s="285"/>
      <c r="AZ1" s="285"/>
      <c r="BB1" s="1"/>
      <c r="BC1" s="1"/>
    </row>
    <row r="2" spans="1:55">
      <c r="A2" s="247" t="s">
        <v>209</v>
      </c>
      <c r="B2" s="238" t="s">
        <v>0</v>
      </c>
      <c r="C2" s="238" t="s">
        <v>1</v>
      </c>
      <c r="D2" s="238" t="s">
        <v>2</v>
      </c>
      <c r="E2" s="238" t="s">
        <v>432</v>
      </c>
      <c r="F2" s="238" t="s">
        <v>433</v>
      </c>
      <c r="G2" s="234"/>
      <c r="H2" s="238" t="s">
        <v>0</v>
      </c>
      <c r="I2" s="238" t="s">
        <v>1</v>
      </c>
      <c r="J2" s="238" t="s">
        <v>2</v>
      </c>
      <c r="K2" s="238" t="s">
        <v>432</v>
      </c>
      <c r="L2" s="238" t="s">
        <v>433</v>
      </c>
      <c r="M2" s="238"/>
      <c r="N2" s="238" t="s">
        <v>0</v>
      </c>
      <c r="O2" s="238" t="s">
        <v>1</v>
      </c>
      <c r="P2" s="238" t="s">
        <v>2</v>
      </c>
      <c r="Q2" s="238" t="s">
        <v>432</v>
      </c>
      <c r="R2" s="238" t="s">
        <v>433</v>
      </c>
      <c r="T2" s="1" t="s">
        <v>171</v>
      </c>
      <c r="U2" s="1" t="s">
        <v>17</v>
      </c>
      <c r="V2" s="1" t="s">
        <v>764</v>
      </c>
      <c r="X2" s="1" t="s">
        <v>171</v>
      </c>
      <c r="Y2" s="1" t="s">
        <v>17</v>
      </c>
      <c r="AA2" s="243" t="s">
        <v>0</v>
      </c>
      <c r="AB2" s="243" t="s">
        <v>1</v>
      </c>
      <c r="AC2" s="243" t="s">
        <v>2</v>
      </c>
      <c r="AD2" s="243" t="s">
        <v>432</v>
      </c>
      <c r="AE2" s="243" t="s">
        <v>433</v>
      </c>
      <c r="AG2" s="243" t="s">
        <v>754</v>
      </c>
      <c r="BB2" s="1"/>
      <c r="BC2" s="1"/>
    </row>
    <row r="3" spans="1:55">
      <c r="A3" s="233">
        <v>44227</v>
      </c>
      <c r="B3" s="248">
        <v>-2.5249999999999999E-3</v>
      </c>
      <c r="C3" s="248">
        <v>6.471563881394104E-3</v>
      </c>
      <c r="D3" s="248">
        <v>-3.8583333333333334E-3</v>
      </c>
      <c r="E3" s="248">
        <v>-8.7735389038784591E-3</v>
      </c>
      <c r="F3" s="234">
        <v>2.3797183607428452E-3</v>
      </c>
      <c r="G3" s="249"/>
      <c r="H3" s="248">
        <v>0.22097187842590618</v>
      </c>
      <c r="I3" s="248">
        <v>0.15034550496306842</v>
      </c>
      <c r="J3" s="248">
        <v>0.36630222879224561</v>
      </c>
      <c r="K3" s="248">
        <v>7.3121549290883922E-2</v>
      </c>
      <c r="L3" s="248">
        <v>0.18925883852789588</v>
      </c>
      <c r="M3" s="248"/>
      <c r="N3" s="248">
        <v>0.21892707629244659</v>
      </c>
      <c r="O3" s="248">
        <v>0.35485153512260514</v>
      </c>
      <c r="P3" s="248">
        <f t="shared" ref="P3:P61" si="0">1-N3-O3-Q3-R3</f>
        <v>0.31529549642456789</v>
      </c>
      <c r="Q3" s="248">
        <v>0.30888241565721075</v>
      </c>
      <c r="R3" s="248">
        <v>-0.19795652349683035</v>
      </c>
      <c r="S3" s="14"/>
      <c r="T3" s="14">
        <f t="shared" ref="T3:T34" si="1">SUMPRODUCT(H3:L3,B3:F3)</f>
        <v>-1.1894515772376132E-3</v>
      </c>
      <c r="U3" s="14">
        <f t="shared" ref="U3:U34" si="2">SUMPRODUCT(N3:R3,B3:F3)</f>
        <v>-2.6539342774732412E-3</v>
      </c>
      <c r="V3" s="244">
        <f t="shared" ref="V3:V34" si="3"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 t="shared" ref="AA3:AA34" si="4">(N3-H3)*(B3-$T3)</f>
        <v>2.7309322642031174E-6</v>
      </c>
      <c r="AB3" s="14">
        <f t="shared" ref="AB3:AB34" si="5">(O3-I3)*(C3-$T3)</f>
        <v>1.566723858435615E-3</v>
      </c>
      <c r="AC3" s="14">
        <f t="shared" ref="AC3:AC34" si="6">(P3-J3)*(D3-$T3)</f>
        <v>1.3613093745415213E-4</v>
      </c>
      <c r="AD3" s="14">
        <f t="shared" ref="AD3:AD34" si="7">(Q3-K3)*(E3-$T3)</f>
        <v>-1.7880309987267254E-3</v>
      </c>
      <c r="AE3" s="14">
        <f t="shared" ref="AE3:AE34" si="8">(R3-L3)*(F3-$T3)</f>
        <v>-1.382037429662873E-3</v>
      </c>
      <c r="AF3" s="14"/>
      <c r="AG3" s="244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3">
        <v>44255</v>
      </c>
      <c r="B4" s="248">
        <v>-8.0000000000000004E-4</v>
      </c>
      <c r="C4" s="248">
        <v>1.819773646866088E-2</v>
      </c>
      <c r="D4" s="248">
        <v>2.5841666666666666E-2</v>
      </c>
      <c r="E4" s="248">
        <v>6.5288062706550867E-3</v>
      </c>
      <c r="F4" s="234">
        <v>3.0568633695744214E-3</v>
      </c>
      <c r="G4" s="249"/>
      <c r="H4" s="248">
        <v>0.21240500696561546</v>
      </c>
      <c r="I4" s="248">
        <v>0.14991969847052533</v>
      </c>
      <c r="J4" s="248">
        <v>0.38974372703432986</v>
      </c>
      <c r="K4" s="248">
        <v>7.924176231430051E-2</v>
      </c>
      <c r="L4" s="248">
        <v>0.16868980521522892</v>
      </c>
      <c r="M4" s="248"/>
      <c r="N4" s="248">
        <v>0.20811338912089603</v>
      </c>
      <c r="O4" s="248">
        <v>0.26253256675020964</v>
      </c>
      <c r="P4" s="248">
        <f t="shared" si="0"/>
        <v>0.27268012162847388</v>
      </c>
      <c r="Q4" s="248">
        <v>0.24814840163740468</v>
      </c>
      <c r="R4" s="248">
        <v>8.5255208630157231E-3</v>
      </c>
      <c r="S4" s="14"/>
      <c r="T4" s="14">
        <f t="shared" si="1"/>
        <v>1.3662918439179146E-2</v>
      </c>
      <c r="U4" s="14">
        <f t="shared" si="2"/>
        <v>1.3303690755709885E-2</v>
      </c>
      <c r="V4" s="244">
        <f t="shared" si="3"/>
        <v>-3.5922768346926051E-4</v>
      </c>
      <c r="W4" s="14"/>
      <c r="X4" s="14">
        <f t="shared" ref="X4:X62" si="9">T4-0.0025</f>
        <v>1.1162918439179145E-2</v>
      </c>
      <c r="Y4" s="14">
        <f t="shared" ref="Y4:Y62" si="10">U4-0.0025</f>
        <v>1.0803690755709885E-2</v>
      </c>
      <c r="Z4" s="14"/>
      <c r="AA4" s="14">
        <f t="shared" si="4"/>
        <v>6.2069318860302926E-5</v>
      </c>
      <c r="AB4" s="14">
        <f t="shared" si="5"/>
        <v>5.1067886542636412E-4</v>
      </c>
      <c r="AC4" s="14">
        <f t="shared" si="6"/>
        <v>-1.4256881768398668E-3</v>
      </c>
      <c r="AD4" s="14">
        <f t="shared" si="7"/>
        <v>-1.2049989109394618E-3</v>
      </c>
      <c r="AE4" s="14">
        <f t="shared" si="8"/>
        <v>1.6987112200234035E-3</v>
      </c>
      <c r="AF4" s="14"/>
      <c r="AG4" s="244">
        <f t="shared" ref="AG4:AG62" si="11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3">
        <v>44286</v>
      </c>
      <c r="B5" s="248">
        <v>2.225E-3</v>
      </c>
      <c r="C5" s="248">
        <v>1.8306919284992909E-2</v>
      </c>
      <c r="D5" s="248">
        <v>1.8191666666666665E-2</v>
      </c>
      <c r="E5" s="248">
        <v>2.4721719033191508E-3</v>
      </c>
      <c r="F5" s="234">
        <v>2.4506622112136396E-3</v>
      </c>
      <c r="G5" s="249"/>
      <c r="H5" s="248">
        <v>0.20824763079398931</v>
      </c>
      <c r="I5" s="248">
        <v>0.1461354884834605</v>
      </c>
      <c r="J5" s="248">
        <v>0.40630447118100188</v>
      </c>
      <c r="K5" s="248">
        <v>8.1956873935074809E-2</v>
      </c>
      <c r="L5" s="248">
        <v>0.15735553560647336</v>
      </c>
      <c r="M5" s="248"/>
      <c r="N5" s="248">
        <v>0.20391845081808666</v>
      </c>
      <c r="O5" s="248">
        <v>0.41153719114755455</v>
      </c>
      <c r="P5" s="248">
        <f t="shared" si="0"/>
        <v>0.26856884701171146</v>
      </c>
      <c r="Q5" s="248">
        <v>0.15060843435285873</v>
      </c>
      <c r="R5" s="248">
        <v>-3.4632923330211396E-2</v>
      </c>
      <c r="S5" s="14"/>
      <c r="T5" s="14">
        <f t="shared" si="1"/>
        <v>1.1118233821619635E-2</v>
      </c>
      <c r="U5" s="14">
        <f t="shared" si="2"/>
        <v>1.3160867979410087E-2</v>
      </c>
      <c r="V5" s="244">
        <f t="shared" si="3"/>
        <v>2.0426341577904523E-3</v>
      </c>
      <c r="W5" s="14"/>
      <c r="X5" s="14">
        <f t="shared" si="9"/>
        <v>8.6182338216196346E-3</v>
      </c>
      <c r="Y5" s="14">
        <f t="shared" si="10"/>
        <v>1.0660867979410087E-2</v>
      </c>
      <c r="Z5" s="14"/>
      <c r="AA5" s="14">
        <f t="shared" si="4"/>
        <v>3.8500409781575948E-5</v>
      </c>
      <c r="AB5" s="14">
        <f t="shared" si="5"/>
        <v>1.9078893618958885E-3</v>
      </c>
      <c r="AC5" s="14">
        <f t="shared" si="6"/>
        <v>-9.7426368793211238E-4</v>
      </c>
      <c r="AD5" s="14">
        <f t="shared" si="7"/>
        <v>-5.9356564216010645E-4</v>
      </c>
      <c r="AE5" s="14">
        <f t="shared" si="8"/>
        <v>1.6640737162052061E-3</v>
      </c>
      <c r="AF5" s="14"/>
      <c r="AG5" s="244">
        <f t="shared" si="11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3">
        <v>44316</v>
      </c>
      <c r="B6" s="248">
        <v>-3.4499999999999999E-3</v>
      </c>
      <c r="C6" s="248">
        <v>5.7206784725130997E-3</v>
      </c>
      <c r="D6" s="248">
        <v>1.2041666666666666E-2</v>
      </c>
      <c r="E6" s="248">
        <v>-1.0625309721640467E-2</v>
      </c>
      <c r="F6" s="234">
        <v>1.3252950199326733E-3</v>
      </c>
      <c r="G6" s="249"/>
      <c r="H6" s="248">
        <v>0.20297317983485053</v>
      </c>
      <c r="I6" s="248">
        <v>0.14391698735023037</v>
      </c>
      <c r="J6" s="248">
        <v>0.42089671292781722</v>
      </c>
      <c r="K6" s="248">
        <v>8.3088643302059076E-2</v>
      </c>
      <c r="L6" s="248">
        <v>0.1491244765850428</v>
      </c>
      <c r="M6" s="248"/>
      <c r="N6" s="248">
        <v>0.20649628152827726</v>
      </c>
      <c r="O6" s="248">
        <v>0.37601249381331381</v>
      </c>
      <c r="P6" s="248">
        <f t="shared" si="0"/>
        <v>0.24977269697384341</v>
      </c>
      <c r="Q6" s="248">
        <v>7.3895301639883115E-2</v>
      </c>
      <c r="R6" s="248">
        <v>9.3823226044682406E-2</v>
      </c>
      <c r="S6" s="14"/>
      <c r="T6" s="14">
        <f t="shared" si="1"/>
        <v>4.5061346158385722E-3</v>
      </c>
      <c r="U6" s="14">
        <f t="shared" si="2"/>
        <v>3.7854969542078275E-3</v>
      </c>
      <c r="V6" s="244">
        <f t="shared" si="3"/>
        <v>-7.2063766163074465E-4</v>
      </c>
      <c r="W6" s="14"/>
      <c r="X6" s="14">
        <f t="shared" si="9"/>
        <v>2.0061346158385721E-3</v>
      </c>
      <c r="Y6" s="14">
        <f t="shared" si="10"/>
        <v>1.2854969542078275E-3</v>
      </c>
      <c r="Z6" s="14"/>
      <c r="AA6" s="14">
        <f t="shared" si="4"/>
        <v>-2.8030271338191923E-5</v>
      </c>
      <c r="AB6" s="14">
        <f t="shared" si="5"/>
        <v>2.8189017153650107E-4</v>
      </c>
      <c r="AC6" s="14">
        <f t="shared" si="6"/>
        <v>-1.2895105068875877E-3</v>
      </c>
      <c r="AD6" s="14">
        <f t="shared" si="7"/>
        <v>1.3910853763664257E-4</v>
      </c>
      <c r="AE6" s="14">
        <f t="shared" si="8"/>
        <v>1.7590440742189082E-4</v>
      </c>
      <c r="AF6" s="14"/>
      <c r="AG6" s="244">
        <f t="shared" si="11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3">
        <v>44347</v>
      </c>
      <c r="B7" s="248">
        <v>-8.175E-3</v>
      </c>
      <c r="C7" s="248">
        <v>-2.7308080622184209E-3</v>
      </c>
      <c r="D7" s="248">
        <v>9.9166666666666674E-4</v>
      </c>
      <c r="E7" s="248">
        <v>-1.7553282791103509E-2</v>
      </c>
      <c r="F7" s="234">
        <v>1.4602133096165198E-3</v>
      </c>
      <c r="G7" s="249"/>
      <c r="H7" s="248">
        <v>0.1975624460712789</v>
      </c>
      <c r="I7" s="248">
        <v>0.14618694600528101</v>
      </c>
      <c r="J7" s="248">
        <v>0.42520599509176865</v>
      </c>
      <c r="K7" s="248">
        <v>8.3674575106909538E-2</v>
      </c>
      <c r="L7" s="248">
        <v>0.14737003772476204</v>
      </c>
      <c r="M7" s="248"/>
      <c r="N7" s="248">
        <v>0.21456078042774615</v>
      </c>
      <c r="O7" s="248">
        <v>0.38989283445752221</v>
      </c>
      <c r="P7" s="248">
        <f t="shared" si="0"/>
        <v>0.32637671253755296</v>
      </c>
      <c r="Q7" s="248">
        <v>0.11645827928403676</v>
      </c>
      <c r="R7" s="248">
        <v>-4.7288606706858083E-2</v>
      </c>
      <c r="S7" s="14"/>
      <c r="T7" s="14">
        <f t="shared" si="1"/>
        <v>-2.8461906643283052E-3</v>
      </c>
      <c r="U7" s="14">
        <f t="shared" si="2"/>
        <v>-4.6083765316794634E-3</v>
      </c>
      <c r="V7" s="244">
        <f t="shared" si="3"/>
        <v>-1.7621858673511582E-3</v>
      </c>
      <c r="W7" s="14"/>
      <c r="X7" s="14">
        <f t="shared" si="9"/>
        <v>-5.3461906643283048E-3</v>
      </c>
      <c r="Y7" s="14">
        <f t="shared" si="10"/>
        <v>-7.1083765316794639E-3</v>
      </c>
      <c r="Z7" s="14"/>
      <c r="AA7" s="14">
        <f t="shared" si="4"/>
        <v>-9.0580882809611577E-5</v>
      </c>
      <c r="AB7" s="14">
        <f t="shared" si="5"/>
        <v>2.81194195591208E-5</v>
      </c>
      <c r="AC7" s="14">
        <f t="shared" si="6"/>
        <v>-3.7929268656767016E-4</v>
      </c>
      <c r="AD7" s="14">
        <f t="shared" si="7"/>
        <v>-4.8215295758995515E-4</v>
      </c>
      <c r="AE7" s="14">
        <f t="shared" si="8"/>
        <v>-8.3827875994304157E-4</v>
      </c>
      <c r="AF7" s="14"/>
      <c r="AG7" s="244">
        <f t="shared" si="11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3">
        <v>44377</v>
      </c>
      <c r="B8" s="248">
        <v>9.7499999999999996E-4</v>
      </c>
      <c r="C8" s="248">
        <v>9.2902365215122712E-3</v>
      </c>
      <c r="D8" s="248">
        <v>1.2516666666666667E-2</v>
      </c>
      <c r="E8" s="248">
        <v>-1.1736193623642126E-2</v>
      </c>
      <c r="F8" s="234">
        <v>1.7066002717358061E-3</v>
      </c>
      <c r="G8" s="249"/>
      <c r="H8" s="248">
        <v>0.19597571040033596</v>
      </c>
      <c r="I8" s="248">
        <v>0.13881113820914745</v>
      </c>
      <c r="J8" s="248">
        <v>0.44118795803876776</v>
      </c>
      <c r="K8" s="248">
        <v>8.2440312721772449E-2</v>
      </c>
      <c r="L8" s="248">
        <v>0.14158488062997632</v>
      </c>
      <c r="M8" s="248"/>
      <c r="N8" s="248">
        <v>0.18053923542956124</v>
      </c>
      <c r="O8" s="248">
        <v>0.41506593209896803</v>
      </c>
      <c r="P8" s="248">
        <f t="shared" si="0"/>
        <v>0.390439613115864</v>
      </c>
      <c r="Q8" s="248">
        <v>2.9704002717515776E-2</v>
      </c>
      <c r="R8" s="248">
        <v>-1.5748783361908991E-2</v>
      </c>
      <c r="S8" s="14"/>
      <c r="T8" s="14">
        <f t="shared" si="1"/>
        <v>6.2769605548026845E-3</v>
      </c>
      <c r="U8" s="14">
        <f t="shared" si="2"/>
        <v>8.5436001213438518E-3</v>
      </c>
      <c r="V8" s="244">
        <f t="shared" si="3"/>
        <v>2.2666395665411673E-3</v>
      </c>
      <c r="W8" s="14"/>
      <c r="X8" s="14">
        <f t="shared" si="9"/>
        <v>3.7769605548026845E-3</v>
      </c>
      <c r="Y8" s="14">
        <f t="shared" si="10"/>
        <v>6.0436001213438513E-3</v>
      </c>
      <c r="Z8" s="14"/>
      <c r="AA8" s="14">
        <f t="shared" si="4"/>
        <v>8.1843581400246464E-5</v>
      </c>
      <c r="AB8" s="14">
        <f t="shared" si="5"/>
        <v>8.3243193111650661E-4</v>
      </c>
      <c r="AC8" s="14">
        <f t="shared" si="6"/>
        <v>-3.1665475798242409E-4</v>
      </c>
      <c r="AD8" s="14">
        <f t="shared" si="7"/>
        <v>9.4994728290893698E-4</v>
      </c>
      <c r="AE8" s="14">
        <f t="shared" si="8"/>
        <v>7.1907152909790205E-4</v>
      </c>
      <c r="AF8" s="14"/>
      <c r="AG8" s="244">
        <f t="shared" si="11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3">
        <v>44408</v>
      </c>
      <c r="B9" s="248">
        <v>2.3249999999999998E-3</v>
      </c>
      <c r="C9" s="248">
        <v>2.0023784370391512E-2</v>
      </c>
      <c r="D9" s="248">
        <v>-1.1433333333333334E-2</v>
      </c>
      <c r="E9" s="248">
        <v>8.8559020741163577E-3</v>
      </c>
      <c r="F9" s="234">
        <v>3.9829323299750106E-3</v>
      </c>
      <c r="G9" s="249"/>
      <c r="H9" s="248">
        <v>0.19822781366444089</v>
      </c>
      <c r="I9" s="248">
        <v>0.14521497864317884</v>
      </c>
      <c r="J9" s="248">
        <v>0.42192520906878106</v>
      </c>
      <c r="K9" s="248">
        <v>8.3346386262563923E-2</v>
      </c>
      <c r="L9" s="248">
        <v>0.15128561236103516</v>
      </c>
      <c r="M9" s="248"/>
      <c r="N9" s="248">
        <v>0.21430291994913844</v>
      </c>
      <c r="O9" s="248">
        <v>0.27402276432998279</v>
      </c>
      <c r="P9" s="248">
        <f t="shared" si="0"/>
        <v>0.2825573374955862</v>
      </c>
      <c r="Q9" s="248">
        <v>0.15870961967550001</v>
      </c>
      <c r="R9" s="248">
        <v>7.040735854979252E-2</v>
      </c>
      <c r="S9" s="14"/>
      <c r="T9" s="14">
        <f t="shared" si="1"/>
        <v>-1.1471067904230651E-4</v>
      </c>
      <c r="U9" s="14">
        <f t="shared" si="2"/>
        <v>4.4405994037403206E-3</v>
      </c>
      <c r="V9" s="244">
        <f t="shared" si="3"/>
        <v>4.555310082782627E-3</v>
      </c>
      <c r="W9" s="14"/>
      <c r="X9" s="14">
        <f t="shared" si="9"/>
        <v>-2.6147106790423064E-3</v>
      </c>
      <c r="Y9" s="14">
        <f t="shared" si="10"/>
        <v>1.9405994037403206E-3</v>
      </c>
      <c r="Z9" s="14"/>
      <c r="AA9" s="14">
        <f t="shared" si="4"/>
        <v>3.9218608469516705E-5</v>
      </c>
      <c r="AB9" s="14">
        <f t="shared" si="5"/>
        <v>2.5939949543822335E-3</v>
      </c>
      <c r="AC9" s="14">
        <f t="shared" si="6"/>
        <v>1.5774523484686856E-3</v>
      </c>
      <c r="AD9" s="14">
        <f t="shared" si="7"/>
        <v>6.7605438277335776E-4</v>
      </c>
      <c r="AE9" s="14">
        <f t="shared" si="8"/>
        <v>-3.3141021131116656E-4</v>
      </c>
      <c r="AF9" s="14"/>
      <c r="AG9" s="244">
        <f t="shared" si="11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3">
        <v>44439</v>
      </c>
      <c r="B10" s="248">
        <v>1.3950000000000001E-2</v>
      </c>
      <c r="C10" s="248">
        <v>3.4135831394535493E-2</v>
      </c>
      <c r="D10" s="248">
        <v>-1.1133333333333334E-2</v>
      </c>
      <c r="E10" s="248">
        <v>1.9154996122404309E-2</v>
      </c>
      <c r="F10" s="234">
        <v>4.4005879671470032E-3</v>
      </c>
      <c r="G10" s="249"/>
      <c r="H10" s="248">
        <v>0.2090983547806366</v>
      </c>
      <c r="I10" s="248">
        <v>0.14609349432986424</v>
      </c>
      <c r="J10" s="248">
        <v>0.4027683925871901</v>
      </c>
      <c r="K10" s="248">
        <v>7.7258364401470436E-2</v>
      </c>
      <c r="L10" s="248">
        <v>0.16478139390083871</v>
      </c>
      <c r="M10" s="248"/>
      <c r="N10" s="248">
        <v>0.23492797364078916</v>
      </c>
      <c r="O10" s="248">
        <v>0.41217036038581945</v>
      </c>
      <c r="P10" s="248">
        <f t="shared" si="0"/>
        <v>0.1943477724281768</v>
      </c>
      <c r="Q10" s="248">
        <v>0.15481251370755866</v>
      </c>
      <c r="R10" s="248">
        <v>3.7413798376558782E-3</v>
      </c>
      <c r="S10" s="14"/>
      <c r="T10" s="14">
        <f t="shared" si="1"/>
        <v>5.6248088584118106E-3</v>
      </c>
      <c r="U10" s="14">
        <f t="shared" si="2"/>
        <v>1.8165181998072634E-2</v>
      </c>
      <c r="V10" s="244">
        <f t="shared" si="3"/>
        <v>1.2540373139660823E-2</v>
      </c>
      <c r="W10" s="14"/>
      <c r="X10" s="14">
        <f t="shared" si="9"/>
        <v>3.1248088584118106E-3</v>
      </c>
      <c r="Y10" s="14">
        <f t="shared" si="10"/>
        <v>1.5665181998072635E-2</v>
      </c>
      <c r="Z10" s="14"/>
      <c r="AA10" s="14">
        <f t="shared" si="4"/>
        <v>2.1503651412514132E-4</v>
      </c>
      <c r="AB10" s="14">
        <f t="shared" si="5"/>
        <v>7.5861235244625022E-3</v>
      </c>
      <c r="AC10" s="14">
        <f t="shared" si="6"/>
        <v>3.4927423883164494E-3</v>
      </c>
      <c r="AD10" s="14">
        <f t="shared" si="7"/>
        <v>1.0493221632110075E-3</v>
      </c>
      <c r="AE10" s="14">
        <f t="shared" si="8"/>
        <v>1.9714854954572681E-4</v>
      </c>
      <c r="AF10" s="14"/>
      <c r="AG10" s="244">
        <f t="shared" si="11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3">
        <v>44469</v>
      </c>
      <c r="B11" s="248">
        <v>5.2500000000000003E-3</v>
      </c>
      <c r="C11" s="248">
        <v>2.3968673347312869E-2</v>
      </c>
      <c r="D11" s="248">
        <v>1.4416666666666666E-2</v>
      </c>
      <c r="E11" s="248">
        <v>1.1420680027959075E-2</v>
      </c>
      <c r="F11" s="234">
        <v>4.273107869715677E-3</v>
      </c>
      <c r="G11" s="249"/>
      <c r="H11" s="248">
        <v>0.20716539829861208</v>
      </c>
      <c r="I11" s="248">
        <v>0.14594325473918096</v>
      </c>
      <c r="J11" s="248">
        <v>0.41337581165141984</v>
      </c>
      <c r="K11" s="248">
        <v>7.8028571234559072E-2</v>
      </c>
      <c r="L11" s="248">
        <v>0.15548696407622806</v>
      </c>
      <c r="M11" s="248"/>
      <c r="N11" s="248">
        <v>0.20427888155602919</v>
      </c>
      <c r="O11" s="248">
        <v>0.40848100406212717</v>
      </c>
      <c r="P11" s="248">
        <f t="shared" si="0"/>
        <v>0.28415755988949781</v>
      </c>
      <c r="Q11" s="248">
        <v>0.13741749654897434</v>
      </c>
      <c r="R11" s="248">
        <v>-3.433494205662857E-2</v>
      </c>
      <c r="S11" s="14"/>
      <c r="T11" s="14">
        <f t="shared" si="1"/>
        <v>1.2100737740737156E-2</v>
      </c>
      <c r="U11" s="14">
        <f t="shared" si="2"/>
        <v>1.6382501052077513E-2</v>
      </c>
      <c r="V11" s="244">
        <f t="shared" si="3"/>
        <v>4.2817633113403572E-3</v>
      </c>
      <c r="W11" s="14"/>
      <c r="X11" s="14">
        <f t="shared" si="9"/>
        <v>9.6007377407371555E-3</v>
      </c>
      <c r="Y11" s="14">
        <f t="shared" si="10"/>
        <v>1.3882501052077513E-2</v>
      </c>
      <c r="Z11" s="14"/>
      <c r="AA11" s="14">
        <f t="shared" si="4"/>
        <v>1.9774769187682278E-5</v>
      </c>
      <c r="AB11" s="14">
        <f t="shared" si="5"/>
        <v>3.1157811032600422E-3</v>
      </c>
      <c r="AC11" s="14">
        <f t="shared" si="6"/>
        <v>-2.9926028701347714E-4</v>
      </c>
      <c r="AD11" s="14">
        <f t="shared" si="7"/>
        <v>-4.0387896713669516E-5</v>
      </c>
      <c r="AE11" s="14">
        <f t="shared" si="8"/>
        <v>1.485855622619784E-3</v>
      </c>
      <c r="AF11" s="14"/>
      <c r="AG11" s="244">
        <f t="shared" si="11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3">
        <v>44500</v>
      </c>
      <c r="B12" s="248">
        <v>2.5250000000000002E-2</v>
      </c>
      <c r="C12" s="248">
        <v>5.3624346855853218E-2</v>
      </c>
      <c r="D12" s="248">
        <v>1.8166666666666665E-3</v>
      </c>
      <c r="E12" s="248">
        <v>3.7157027045039773E-2</v>
      </c>
      <c r="F12" s="234">
        <v>6.7471746203504159E-3</v>
      </c>
      <c r="G12" s="249"/>
      <c r="H12" s="248">
        <v>0.22098063474116256</v>
      </c>
      <c r="I12" s="248">
        <v>0.14157398740686397</v>
      </c>
      <c r="J12" s="248">
        <v>0.40340307207656911</v>
      </c>
      <c r="K12" s="248">
        <v>7.1786708198400759E-2</v>
      </c>
      <c r="L12" s="248">
        <v>0.16225559757700372</v>
      </c>
      <c r="M12" s="248"/>
      <c r="N12" s="248">
        <v>0.1926023230125696</v>
      </c>
      <c r="O12" s="248">
        <v>0.39161480204273169</v>
      </c>
      <c r="P12" s="248">
        <f t="shared" si="0"/>
        <v>0.26330362570263577</v>
      </c>
      <c r="Q12" s="248">
        <v>0.11295794304553451</v>
      </c>
      <c r="R12" s="248">
        <v>3.9521306196528383E-2</v>
      </c>
      <c r="S12" s="14"/>
      <c r="T12" s="14">
        <f t="shared" si="1"/>
        <v>1.7666570055942361E-2</v>
      </c>
      <c r="U12" s="14">
        <f t="shared" si="2"/>
        <v>3.080547005354688E-2</v>
      </c>
      <c r="V12" s="244">
        <f t="shared" si="3"/>
        <v>1.3138899997604519E-2</v>
      </c>
      <c r="W12" s="14"/>
      <c r="X12" s="14">
        <f t="shared" si="9"/>
        <v>1.5166570055942361E-2</v>
      </c>
      <c r="Y12" s="14">
        <f t="shared" si="10"/>
        <v>2.8305470053546881E-2</v>
      </c>
      <c r="Z12" s="14"/>
      <c r="AA12" s="14">
        <f t="shared" si="4"/>
        <v>-2.1520493892441395E-4</v>
      </c>
      <c r="AB12" s="14">
        <f t="shared" si="5"/>
        <v>8.990911803544414E-3</v>
      </c>
      <c r="AC12" s="14">
        <f t="shared" si="6"/>
        <v>2.2205626899178543E-3</v>
      </c>
      <c r="AD12" s="14">
        <f t="shared" si="7"/>
        <v>8.0244618197608899E-4</v>
      </c>
      <c r="AE12" s="14">
        <f t="shared" si="8"/>
        <v>1.3401842610905744E-3</v>
      </c>
      <c r="AF12" s="14"/>
      <c r="AG12" s="244">
        <f t="shared" si="11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3">
        <v>44530</v>
      </c>
      <c r="B13" s="248">
        <v>3.875E-3</v>
      </c>
      <c r="C13" s="248">
        <v>2.3605412736136352E-2</v>
      </c>
      <c r="D13" s="248">
        <v>9.7166666666666669E-3</v>
      </c>
      <c r="E13" s="248">
        <v>1.3244158805606032E-2</v>
      </c>
      <c r="F13" s="234">
        <v>3.7374044158271866E-3</v>
      </c>
      <c r="G13" s="249"/>
      <c r="H13" s="248">
        <v>0.21859191524492591</v>
      </c>
      <c r="I13" s="248">
        <v>0.14405209467160709</v>
      </c>
      <c r="J13" s="248">
        <v>0.40822440400436782</v>
      </c>
      <c r="K13" s="248">
        <v>7.3213416151146252E-2</v>
      </c>
      <c r="L13" s="248">
        <v>0.1559181699279529</v>
      </c>
      <c r="M13" s="248"/>
      <c r="N13" s="248">
        <v>0.21966181414189298</v>
      </c>
      <c r="O13" s="248">
        <v>0.21732295063669987</v>
      </c>
      <c r="P13" s="248">
        <f t="shared" si="0"/>
        <v>0.32517108012289986</v>
      </c>
      <c r="Q13" s="248">
        <v>0.13168511605882349</v>
      </c>
      <c r="R13" s="248">
        <v>0.10615903903968371</v>
      </c>
      <c r="S13" s="14"/>
      <c r="T13" s="14">
        <f t="shared" si="1"/>
        <v>9.7664126477145976E-3</v>
      </c>
      <c r="U13" s="14">
        <f t="shared" si="2"/>
        <v>1.1281584322512904E-2</v>
      </c>
      <c r="V13" s="244">
        <f t="shared" si="3"/>
        <v>1.5151716747983067E-3</v>
      </c>
      <c r="W13" s="14"/>
      <c r="X13" s="14">
        <f t="shared" si="9"/>
        <v>7.2664126477145971E-3</v>
      </c>
      <c r="Y13" s="14">
        <f t="shared" si="10"/>
        <v>8.7815843225129038E-3</v>
      </c>
      <c r="Z13" s="14"/>
      <c r="AA13" s="14">
        <f t="shared" si="4"/>
        <v>-6.3032158933676919E-6</v>
      </c>
      <c r="AB13" s="14">
        <f t="shared" si="5"/>
        <v>1.0139953821796566E-3</v>
      </c>
      <c r="AC13" s="14">
        <f t="shared" si="6"/>
        <v>4.1315690757751589E-6</v>
      </c>
      <c r="AD13" s="14">
        <f t="shared" si="7"/>
        <v>2.0334972969930548E-4</v>
      </c>
      <c r="AE13" s="14">
        <f t="shared" si="8"/>
        <v>2.999982097369381E-4</v>
      </c>
      <c r="AF13" s="14"/>
      <c r="AG13" s="244">
        <f t="shared" si="11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3">
        <v>44561</v>
      </c>
      <c r="B14" s="248">
        <v>9.4750000000000008E-3</v>
      </c>
      <c r="C14" s="248">
        <v>3.1687457995366271E-2</v>
      </c>
      <c r="D14" s="248">
        <v>1.1216666666666666E-2</v>
      </c>
      <c r="E14" s="248">
        <v>1.8383249324065883E-2</v>
      </c>
      <c r="F14" s="234">
        <v>4.9865615317475015E-3</v>
      </c>
      <c r="G14" s="249"/>
      <c r="H14" s="248">
        <v>0.21955003043753279</v>
      </c>
      <c r="I14" s="248">
        <v>0.14260178266776033</v>
      </c>
      <c r="J14" s="248">
        <v>0.41276582498373371</v>
      </c>
      <c r="K14" s="248">
        <v>7.3867310484741058E-2</v>
      </c>
      <c r="L14" s="248">
        <v>0.15121505142623193</v>
      </c>
      <c r="M14" s="248"/>
      <c r="N14" s="248">
        <v>0.23444779583078529</v>
      </c>
      <c r="O14" s="248">
        <v>0.23517775507162564</v>
      </c>
      <c r="P14" s="248">
        <f t="shared" si="0"/>
        <v>0.37375596437873221</v>
      </c>
      <c r="Q14" s="248">
        <v>0.11362678218104778</v>
      </c>
      <c r="R14" s="248">
        <v>4.299170253780904E-2</v>
      </c>
      <c r="S14" s="14"/>
      <c r="T14" s="14">
        <f t="shared" si="1"/>
        <v>1.3340745550981289E-2</v>
      </c>
      <c r="U14" s="14">
        <f t="shared" si="2"/>
        <v>1.6169084404673042E-2</v>
      </c>
      <c r="V14" s="244">
        <f t="shared" si="3"/>
        <v>2.8283388536917524E-3</v>
      </c>
      <c r="W14" s="14"/>
      <c r="X14" s="14">
        <f t="shared" si="9"/>
        <v>1.0840745550981289E-2</v>
      </c>
      <c r="Y14" s="14">
        <f t="shared" si="10"/>
        <v>1.3669084404673041E-2</v>
      </c>
      <c r="Z14" s="14"/>
      <c r="AA14" s="14">
        <f t="shared" si="4"/>
        <v>-5.7590970288528833E-5</v>
      </c>
      <c r="AB14" s="14">
        <f t="shared" si="5"/>
        <v>1.6984647449530363E-3</v>
      </c>
      <c r="AC14" s="14">
        <f t="shared" si="6"/>
        <v>8.2860021191140547E-5</v>
      </c>
      <c r="AD14" s="14">
        <f t="shared" si="7"/>
        <v>2.0048728604447674E-4</v>
      </c>
      <c r="AE14" s="14">
        <f t="shared" si="8"/>
        <v>9.0411777179162526E-4</v>
      </c>
      <c r="AF14" s="14"/>
      <c r="AG14" s="244">
        <f t="shared" si="11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3">
        <v>44592</v>
      </c>
      <c r="B15" s="248">
        <v>5.8250000000000003E-3</v>
      </c>
      <c r="C15" s="248">
        <v>2.6075907604342502E-2</v>
      </c>
      <c r="D15" s="248">
        <v>8.9916666666666669E-3</v>
      </c>
      <c r="E15" s="248">
        <v>1.4610148542018336E-2</v>
      </c>
      <c r="F15" s="234">
        <v>4.4481495445313343E-3</v>
      </c>
      <c r="G15" s="249"/>
      <c r="H15" s="248">
        <v>0.21867470864678992</v>
      </c>
      <c r="I15" s="248">
        <v>0.14397180754957106</v>
      </c>
      <c r="J15" s="248">
        <v>0.4162091227657701</v>
      </c>
      <c r="K15" s="248">
        <v>7.4564996473675871E-2</v>
      </c>
      <c r="L15" s="248">
        <v>0.1465793645641931</v>
      </c>
      <c r="M15" s="248"/>
      <c r="N15" s="248">
        <v>0.24867386049248538</v>
      </c>
      <c r="O15" s="248">
        <v>0.40967350704104488</v>
      </c>
      <c r="P15" s="248">
        <f t="shared" si="0"/>
        <v>0.37402630799469333</v>
      </c>
      <c r="Q15" s="248">
        <v>0.10082898788114386</v>
      </c>
      <c r="R15" s="248">
        <v>-0.13320266340936748</v>
      </c>
      <c r="S15" s="14"/>
      <c r="T15" s="14">
        <f t="shared" si="1"/>
        <v>1.0511802032935282E-2</v>
      </c>
      <c r="U15" s="14">
        <f t="shared" si="2"/>
        <v>1.6374874764680396E-2</v>
      </c>
      <c r="V15" s="244">
        <f t="shared" si="3"/>
        <v>5.8630727317451146E-3</v>
      </c>
      <c r="W15" s="14"/>
      <c r="X15" s="14">
        <f t="shared" si="9"/>
        <v>8.0118020329352814E-3</v>
      </c>
      <c r="Y15" s="14">
        <f t="shared" si="10"/>
        <v>1.3874874764680396E-2</v>
      </c>
      <c r="Z15" s="14"/>
      <c r="AA15" s="14">
        <f t="shared" si="4"/>
        <v>-1.4060008585673969E-4</v>
      </c>
      <c r="AB15" s="14">
        <f t="shared" si="5"/>
        <v>4.135409301387615E-3</v>
      </c>
      <c r="AC15" s="14">
        <f t="shared" si="6"/>
        <v>6.4123588582271933E-5</v>
      </c>
      <c r="AD15" s="14">
        <f t="shared" si="7"/>
        <v>1.0763893749938378E-4</v>
      </c>
      <c r="AE15" s="14">
        <f t="shared" si="8"/>
        <v>1.6965009901325834E-3</v>
      </c>
      <c r="AF15" s="14"/>
      <c r="AG15" s="244">
        <f t="shared" si="11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3">
        <v>44620</v>
      </c>
      <c r="B16" s="248">
        <v>2.8E-3</v>
      </c>
      <c r="C16" s="248">
        <v>1.8546510594036954E-2</v>
      </c>
      <c r="D16" s="248">
        <v>1.1641666666666666E-2</v>
      </c>
      <c r="E16" s="248">
        <v>4.126354521407239E-3</v>
      </c>
      <c r="F16" s="234">
        <v>2.5247902067362157E-3</v>
      </c>
      <c r="G16" s="249"/>
      <c r="H16" s="248">
        <v>0.21600122639159061</v>
      </c>
      <c r="I16" s="248">
        <v>0.14260072542086918</v>
      </c>
      <c r="J16" s="248">
        <v>0.42549953800436341</v>
      </c>
      <c r="K16" s="248">
        <v>7.5707396866060192E-2</v>
      </c>
      <c r="L16" s="248">
        <v>0.14019111331711648</v>
      </c>
      <c r="M16" s="248"/>
      <c r="N16" s="248">
        <v>0.24088169658097294</v>
      </c>
      <c r="O16" s="248">
        <v>0.38686840875039552</v>
      </c>
      <c r="P16" s="248">
        <f t="shared" si="0"/>
        <v>0.36286809910597512</v>
      </c>
      <c r="Q16" s="248">
        <v>0.16936335405917408</v>
      </c>
      <c r="R16" s="248">
        <v>-0.15998155849651763</v>
      </c>
      <c r="S16" s="14"/>
      <c r="T16" s="14">
        <f t="shared" si="1"/>
        <v>8.8694217962361661E-3</v>
      </c>
      <c r="U16" s="14">
        <f t="shared" si="2"/>
        <v>1.2368850615205243E-2</v>
      </c>
      <c r="V16" s="244">
        <f t="shared" si="3"/>
        <v>3.4994288189690772E-3</v>
      </c>
      <c r="W16" s="14"/>
      <c r="X16" s="14">
        <f t="shared" si="9"/>
        <v>6.3694217962361657E-3</v>
      </c>
      <c r="Y16" s="14">
        <f t="shared" si="10"/>
        <v>9.8688506152052428E-3</v>
      </c>
      <c r="Z16" s="14"/>
      <c r="AA16" s="14">
        <f t="shared" si="4"/>
        <v>-1.5101006806804128E-4</v>
      </c>
      <c r="AB16" s="14">
        <f t="shared" si="5"/>
        <v>2.3638000620129097E-3</v>
      </c>
      <c r="AC16" s="14">
        <f t="shared" si="6"/>
        <v>-1.7362968521373825E-4</v>
      </c>
      <c r="AD16" s="14">
        <f t="shared" si="7"/>
        <v>-4.4421650565543733E-4</v>
      </c>
      <c r="AE16" s="14">
        <f t="shared" si="8"/>
        <v>1.9044850158933843E-3</v>
      </c>
      <c r="AF16" s="14"/>
      <c r="AG16" s="244">
        <f t="shared" si="11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3">
        <v>44651</v>
      </c>
      <c r="B17" s="248">
        <v>2.845E-2</v>
      </c>
      <c r="C17" s="248">
        <v>5.9065629507793344E-2</v>
      </c>
      <c r="D17" s="248">
        <v>1.3166666666666667E-3</v>
      </c>
      <c r="E17" s="248">
        <v>4.2639592348920029E-2</v>
      </c>
      <c r="F17" s="234">
        <v>7.6908217390999198E-3</v>
      </c>
      <c r="G17" s="249"/>
      <c r="H17" s="248">
        <v>0.23245891742086547</v>
      </c>
      <c r="I17" s="248">
        <v>0.13779500256746446</v>
      </c>
      <c r="J17" s="248">
        <v>0.4132978589355879</v>
      </c>
      <c r="K17" s="248">
        <v>6.9083935881786962E-2</v>
      </c>
      <c r="L17" s="248">
        <v>0.14736428519429509</v>
      </c>
      <c r="M17" s="248"/>
      <c r="N17" s="248">
        <v>0.20461629807161677</v>
      </c>
      <c r="O17" s="248">
        <v>0.35106355943123246</v>
      </c>
      <c r="P17" s="248">
        <f t="shared" si="0"/>
        <v>0.26923917748852905</v>
      </c>
      <c r="Q17" s="248">
        <v>0.15794867498596105</v>
      </c>
      <c r="R17" s="248">
        <v>1.7132290022660701E-2</v>
      </c>
      <c r="S17" s="14"/>
      <c r="T17" s="14">
        <f t="shared" si="1"/>
        <v>1.9375643596561631E-2</v>
      </c>
      <c r="U17" s="14">
        <f t="shared" si="2"/>
        <v>3.3778250567550044E-2</v>
      </c>
      <c r="V17" s="244">
        <f t="shared" si="3"/>
        <v>1.4402606970988413E-2</v>
      </c>
      <c r="W17" s="14"/>
      <c r="X17" s="14">
        <f t="shared" si="9"/>
        <v>1.6875643596561633E-2</v>
      </c>
      <c r="Y17" s="14">
        <f t="shared" si="10"/>
        <v>3.1278250567550042E-2</v>
      </c>
      <c r="Z17" s="14"/>
      <c r="AA17" s="14">
        <f t="shared" si="4"/>
        <v>-2.5265385118035193E-4</v>
      </c>
      <c r="AB17" s="14">
        <f t="shared" si="5"/>
        <v>8.4646260172316704E-3</v>
      </c>
      <c r="AC17" s="14">
        <f t="shared" si="6"/>
        <v>2.6015524048035236E-3</v>
      </c>
      <c r="AD17" s="14">
        <f t="shared" si="7"/>
        <v>2.0673447364112051E-3</v>
      </c>
      <c r="AE17" s="14">
        <f t="shared" si="8"/>
        <v>1.5217376637223616E-3</v>
      </c>
      <c r="AF17" s="14"/>
      <c r="AG17" s="244">
        <f t="shared" si="11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3">
        <v>44681</v>
      </c>
      <c r="B18" s="248">
        <v>-7.4250000000000002E-3</v>
      </c>
      <c r="C18" s="248">
        <v>-6.2158360476605602E-3</v>
      </c>
      <c r="D18" s="248">
        <v>-1.9833333333333335E-3</v>
      </c>
      <c r="E18" s="248">
        <v>-2.5098338761987787E-2</v>
      </c>
      <c r="F18" s="234">
        <v>1.5531360383145513E-3</v>
      </c>
      <c r="G18" s="249"/>
      <c r="H18" s="248">
        <v>0.2296048206588959</v>
      </c>
      <c r="I18" s="248">
        <v>0.13678581887072994</v>
      </c>
      <c r="J18" s="248">
        <v>0.41738109376191868</v>
      </c>
      <c r="K18" s="248">
        <v>6.7223062483905527E-2</v>
      </c>
      <c r="L18" s="248">
        <v>0.14900520422454983</v>
      </c>
      <c r="M18" s="248"/>
      <c r="N18" s="248">
        <v>0.23907615412612285</v>
      </c>
      <c r="O18" s="248">
        <v>0.35464416348436256</v>
      </c>
      <c r="P18" s="248">
        <f t="shared" si="0"/>
        <v>0.28328779123692099</v>
      </c>
      <c r="Q18" s="248">
        <v>0.12600092104556709</v>
      </c>
      <c r="R18" s="248">
        <v>-3.0090298929734693E-3</v>
      </c>
      <c r="S18" s="14"/>
      <c r="T18" s="14">
        <f t="shared" si="1"/>
        <v>-4.8386216953606566E-3</v>
      </c>
      <c r="U18" s="14">
        <f t="shared" si="2"/>
        <v>-7.7084917726428104E-3</v>
      </c>
      <c r="V18" s="244">
        <f t="shared" si="3"/>
        <v>-2.8698700772821538E-3</v>
      </c>
      <c r="W18" s="14"/>
      <c r="X18" s="14">
        <f t="shared" si="9"/>
        <v>-7.3386216953606562E-3</v>
      </c>
      <c r="Y18" s="14">
        <f t="shared" si="10"/>
        <v>-1.0208491772642811E-2</v>
      </c>
      <c r="Z18" s="14"/>
      <c r="AA18" s="14">
        <f t="shared" si="4"/>
        <v>-2.4496451395640315E-5</v>
      </c>
      <c r="AB18" s="14">
        <f t="shared" si="5"/>
        <v>-3.0003763897019323E-4</v>
      </c>
      <c r="AC18" s="14">
        <f t="shared" si="6"/>
        <v>-3.8287504612543493E-4</v>
      </c>
      <c r="AD18" s="14">
        <f t="shared" si="7"/>
        <v>-1.1908227842414906E-3</v>
      </c>
      <c r="AE18" s="14">
        <f t="shared" si="8"/>
        <v>-9.7163815654939317E-4</v>
      </c>
      <c r="AF18" s="14"/>
      <c r="AG18" s="244">
        <f t="shared" si="11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3">
        <v>44712</v>
      </c>
      <c r="B19" s="248">
        <v>1.5975E-2</v>
      </c>
      <c r="C19" s="248">
        <v>4.1501101374272542E-2</v>
      </c>
      <c r="D19" s="248">
        <v>6.8166666666666662E-3</v>
      </c>
      <c r="E19" s="248">
        <v>2.9085536081878423E-2</v>
      </c>
      <c r="F19" s="234">
        <v>4.8086282162078716E-3</v>
      </c>
      <c r="G19" s="249"/>
      <c r="H19" s="248">
        <v>0.23600797609362939</v>
      </c>
      <c r="I19" s="248">
        <v>0.1363538601772733</v>
      </c>
      <c r="J19" s="248">
        <v>0.41424839894814947</v>
      </c>
      <c r="K19" s="248">
        <v>6.5181419784010847E-2</v>
      </c>
      <c r="L19" s="248">
        <v>0.14820834499693714</v>
      </c>
      <c r="M19" s="248"/>
      <c r="N19" s="248">
        <v>0.26103414733423574</v>
      </c>
      <c r="O19" s="248">
        <v>0.34015171228727453</v>
      </c>
      <c r="P19" s="248">
        <f t="shared" si="0"/>
        <v>0.28199354901331553</v>
      </c>
      <c r="Q19" s="248">
        <v>0.1640056943067871</v>
      </c>
      <c r="R19" s="248">
        <v>-4.7185102941612822E-2</v>
      </c>
      <c r="S19" s="14"/>
      <c r="T19" s="14">
        <f t="shared" si="1"/>
        <v>1.4861371411541672E-2</v>
      </c>
      <c r="U19" s="14">
        <f t="shared" si="2"/>
        <v>2.4752245145708951E-2</v>
      </c>
      <c r="V19" s="244">
        <f t="shared" si="3"/>
        <v>9.8908737341672787E-3</v>
      </c>
      <c r="W19" s="14"/>
      <c r="X19" s="14">
        <f t="shared" si="9"/>
        <v>1.2361371411541672E-2</v>
      </c>
      <c r="Y19" s="14">
        <f t="shared" si="10"/>
        <v>2.2252245145708952E-2</v>
      </c>
      <c r="Z19" s="14"/>
      <c r="AA19" s="14">
        <f t="shared" si="4"/>
        <v>2.7869859753192844E-5</v>
      </c>
      <c r="AB19" s="14">
        <f t="shared" si="5"/>
        <v>5.4291197471949939E-3</v>
      </c>
      <c r="AC19" s="14">
        <f t="shared" si="6"/>
        <v>1.0639512188034903E-3</v>
      </c>
      <c r="AD19" s="14">
        <f t="shared" si="7"/>
        <v>1.4056927542385343E-3</v>
      </c>
      <c r="AE19" s="14">
        <f t="shared" si="8"/>
        <v>1.9642401541770673E-3</v>
      </c>
      <c r="AF19" s="14"/>
      <c r="AG19" s="244">
        <f t="shared" si="11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3">
        <v>44742</v>
      </c>
      <c r="B20" s="248">
        <v>5.0000000000000001E-4</v>
      </c>
      <c r="C20" s="248">
        <v>1.2951226667778974E-2</v>
      </c>
      <c r="D20" s="248">
        <v>9.0916666666666663E-3</v>
      </c>
      <c r="E20" s="248">
        <v>-4.9642133311087189E-3</v>
      </c>
      <c r="F20" s="234">
        <v>2.4903744963362989E-3</v>
      </c>
      <c r="G20" s="249"/>
      <c r="H20" s="248">
        <v>0.23316917867449913</v>
      </c>
      <c r="I20" s="248">
        <v>0.13247747589520489</v>
      </c>
      <c r="J20" s="248">
        <v>0.42330267742504146</v>
      </c>
      <c r="K20" s="248">
        <v>6.6364018785202428E-2</v>
      </c>
      <c r="L20" s="248">
        <v>0.14468664922005209</v>
      </c>
      <c r="M20" s="248"/>
      <c r="N20" s="248">
        <v>0.2344683839231507</v>
      </c>
      <c r="O20" s="248">
        <v>0.32905910145556166</v>
      </c>
      <c r="P20" s="248">
        <f t="shared" si="0"/>
        <v>0.26121806109988616</v>
      </c>
      <c r="Q20" s="248">
        <v>0.17288762070583741</v>
      </c>
      <c r="R20" s="248">
        <v>2.3668328155640461E-3</v>
      </c>
      <c r="S20" s="14"/>
      <c r="T20" s="14">
        <f t="shared" si="1"/>
        <v>5.7117360447057983E-3</v>
      </c>
      <c r="U20" s="14">
        <f t="shared" si="2"/>
        <v>5.9015040094307506E-3</v>
      </c>
      <c r="V20" s="244">
        <f t="shared" si="3"/>
        <v>1.8976796472495224E-4</v>
      </c>
      <c r="W20" s="14"/>
      <c r="X20" s="14">
        <f t="shared" si="9"/>
        <v>3.2117360447057983E-3</v>
      </c>
      <c r="Y20" s="14">
        <f t="shared" si="10"/>
        <v>3.4015040094307505E-3</v>
      </c>
      <c r="Z20" s="14"/>
      <c r="AA20" s="14">
        <f t="shared" si="4"/>
        <v>-6.7711148238683421E-6</v>
      </c>
      <c r="AB20" s="14">
        <f t="shared" si="5"/>
        <v>1.423150834912685E-3</v>
      </c>
      <c r="AC20" s="14">
        <f t="shared" si="6"/>
        <v>-5.4783475806617079E-4</v>
      </c>
      <c r="AD20" s="14">
        <f t="shared" si="7"/>
        <v>-1.1372405814341171E-3</v>
      </c>
      <c r="AE20" s="14">
        <f t="shared" si="8"/>
        <v>4.584635841364245E-4</v>
      </c>
      <c r="AF20" s="14"/>
      <c r="AG20" s="244">
        <f t="shared" si="11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3">
        <v>44773</v>
      </c>
      <c r="B21" s="248">
        <v>3.375E-3</v>
      </c>
      <c r="C21" s="248">
        <v>1.61896705659492E-2</v>
      </c>
      <c r="D21" s="248">
        <v>-1.6833333333333333E-3</v>
      </c>
      <c r="E21" s="248">
        <v>1.9876744652317334E-3</v>
      </c>
      <c r="F21" s="234">
        <v>3.4212395243524954E-3</v>
      </c>
      <c r="G21" s="249"/>
      <c r="H21" s="248">
        <v>0.23562700459940888</v>
      </c>
      <c r="I21" s="248">
        <v>0.13425257504697855</v>
      </c>
      <c r="J21" s="248">
        <v>0.41922487403050285</v>
      </c>
      <c r="K21" s="248">
        <v>6.3774897007140258E-2</v>
      </c>
      <c r="L21" s="248">
        <v>0.14712064931596935</v>
      </c>
      <c r="M21" s="248"/>
      <c r="N21" s="248">
        <v>0.25655130926028424</v>
      </c>
      <c r="O21" s="248">
        <v>0.44046339592909406</v>
      </c>
      <c r="P21" s="248">
        <f t="shared" si="0"/>
        <v>0.27085818902955616</v>
      </c>
      <c r="Q21" s="248">
        <v>0.20050406852886912</v>
      </c>
      <c r="R21" s="248">
        <v>-0.16837696274780356</v>
      </c>
      <c r="S21" s="14"/>
      <c r="T21" s="14">
        <f t="shared" si="1"/>
        <v>2.8931496131380198E-3</v>
      </c>
      <c r="U21" s="14">
        <f t="shared" si="2"/>
        <v>7.3633522242516833E-3</v>
      </c>
      <c r="V21" s="244">
        <f t="shared" si="3"/>
        <v>4.4702026111136635E-3</v>
      </c>
      <c r="W21" s="14"/>
      <c r="X21" s="14">
        <f t="shared" si="9"/>
        <v>3.9314961313801971E-4</v>
      </c>
      <c r="Y21" s="14">
        <f t="shared" si="10"/>
        <v>4.8633522242516828E-3</v>
      </c>
      <c r="Z21" s="14"/>
      <c r="AA21" s="14">
        <f t="shared" si="4"/>
        <v>1.0082384295660728E-5</v>
      </c>
      <c r="AB21" s="14">
        <f t="shared" si="5"/>
        <v>4.0715385958365593E-3</v>
      </c>
      <c r="AC21" s="14">
        <f t="shared" si="6"/>
        <v>6.7899760373131958E-4</v>
      </c>
      <c r="AD21" s="14">
        <f t="shared" si="7"/>
        <v>-1.2380486680674144E-4</v>
      </c>
      <c r="AE21" s="14">
        <f t="shared" si="8"/>
        <v>-1.6661110594313691E-4</v>
      </c>
      <c r="AF21" s="14"/>
      <c r="AG21" s="244">
        <f t="shared" si="11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3">
        <v>44804</v>
      </c>
      <c r="B22" s="248">
        <v>5.3E-3</v>
      </c>
      <c r="C22" s="248">
        <v>1.890835586358007E-2</v>
      </c>
      <c r="D22" s="248">
        <v>-7.0833333333333338E-3</v>
      </c>
      <c r="E22" s="248">
        <v>4.2000450604934778E-3</v>
      </c>
      <c r="F22" s="234">
        <v>3.1314831386528384E-3</v>
      </c>
      <c r="G22" s="249"/>
      <c r="H22" s="248">
        <v>0.24104001594698796</v>
      </c>
      <c r="I22" s="248">
        <v>0.13629670994490534</v>
      </c>
      <c r="J22" s="248">
        <v>0.40805398757244654</v>
      </c>
      <c r="K22" s="248">
        <v>6.0365512739702629E-2</v>
      </c>
      <c r="L22" s="248">
        <v>0.15424377379595747</v>
      </c>
      <c r="M22" s="248"/>
      <c r="N22" s="248">
        <v>0.22331798079065787</v>
      </c>
      <c r="O22" s="248">
        <v>0.45631420609675499</v>
      </c>
      <c r="P22" s="248">
        <f t="shared" si="0"/>
        <v>0.30329175275542031</v>
      </c>
      <c r="Q22" s="248">
        <v>0.13252152677367424</v>
      </c>
      <c r="R22" s="248">
        <v>-0.11544546641650744</v>
      </c>
      <c r="S22" s="14"/>
      <c r="T22" s="14">
        <f t="shared" si="1"/>
        <v>1.7008260177117304E-3</v>
      </c>
      <c r="U22" s="14">
        <f t="shared" si="2"/>
        <v>7.8585009630750078E-3</v>
      </c>
      <c r="V22" s="244">
        <f t="shared" si="3"/>
        <v>6.1576749453632774E-3</v>
      </c>
      <c r="W22" s="14"/>
      <c r="X22" s="14">
        <f t="shared" si="9"/>
        <v>-7.9917398228826963E-4</v>
      </c>
      <c r="Y22" s="14">
        <f t="shared" si="10"/>
        <v>5.3585009630750073E-3</v>
      </c>
      <c r="Z22" s="14"/>
      <c r="AA22" s="14">
        <f t="shared" si="4"/>
        <v>-6.3784687847861268E-5</v>
      </c>
      <c r="AB22" s="14">
        <f t="shared" si="5"/>
        <v>5.5067106162330097E-3</v>
      </c>
      <c r="AC22" s="14">
        <f t="shared" si="6"/>
        <v>9.2024816460435979E-4</v>
      </c>
      <c r="AD22" s="14">
        <f t="shared" si="7"/>
        <v>1.8033368432492886E-4</v>
      </c>
      <c r="AE22" s="14">
        <f t="shared" si="8"/>
        <v>-3.8583283195115989E-4</v>
      </c>
      <c r="AF22" s="14"/>
      <c r="AG22" s="244">
        <f t="shared" si="11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3">
        <v>44834</v>
      </c>
      <c r="B23" s="248">
        <v>-9.5250000000000005E-3</v>
      </c>
      <c r="C23" s="248">
        <v>-1.1209949184674772E-2</v>
      </c>
      <c r="D23" s="248">
        <v>8.4666666666666675E-3</v>
      </c>
      <c r="E23" s="248">
        <v>-3.4511565036016212E-2</v>
      </c>
      <c r="F23" s="234">
        <v>-3.263016085955318E-4</v>
      </c>
      <c r="G23" s="249"/>
      <c r="H23" s="248">
        <v>0.23411242697484913</v>
      </c>
      <c r="I23" s="248">
        <v>0.1302967930501418</v>
      </c>
      <c r="J23" s="248">
        <v>0.42597837702050217</v>
      </c>
      <c r="K23" s="248">
        <v>6.0471360354579291E-2</v>
      </c>
      <c r="L23" s="248">
        <v>0.14914104259992753</v>
      </c>
      <c r="M23" s="248"/>
      <c r="N23" s="248">
        <v>0.2937541029891384</v>
      </c>
      <c r="O23" s="248">
        <v>0.41666253048904223</v>
      </c>
      <c r="P23" s="248">
        <f t="shared" si="0"/>
        <v>0.27204838114091301</v>
      </c>
      <c r="Q23" s="248">
        <v>0.11553177300958173</v>
      </c>
      <c r="R23" s="248">
        <v>-9.7996787628675364E-2</v>
      </c>
      <c r="S23" s="14"/>
      <c r="T23" s="14">
        <f t="shared" si="1"/>
        <v>-2.2195506183147668E-3</v>
      </c>
      <c r="U23" s="14">
        <f t="shared" si="2"/>
        <v>-9.1206364530913228E-3</v>
      </c>
      <c r="V23" s="244">
        <f t="shared" si="3"/>
        <v>-6.9010858347765564E-3</v>
      </c>
      <c r="W23" s="14"/>
      <c r="X23" s="14">
        <f t="shared" si="9"/>
        <v>-4.7195506183147669E-3</v>
      </c>
      <c r="Y23" s="14">
        <f t="shared" si="10"/>
        <v>-1.1620636453091323E-2</v>
      </c>
      <c r="Z23" s="14"/>
      <c r="AA23" s="14">
        <f t="shared" si="4"/>
        <v>-4.3570924516126059E-4</v>
      </c>
      <c r="AB23" s="14">
        <f t="shared" si="5"/>
        <v>-2.5745421153253161E-3</v>
      </c>
      <c r="AC23" s="14">
        <f t="shared" si="6"/>
        <v>-1.6449293826455867E-3</v>
      </c>
      <c r="AD23" s="14">
        <f t="shared" si="7"/>
        <v>-1.7780116392999297E-3</v>
      </c>
      <c r="AE23" s="14">
        <f t="shared" si="8"/>
        <v>-4.6789345234446287E-4</v>
      </c>
      <c r="AF23" s="14"/>
      <c r="AG23" s="244">
        <f t="shared" si="11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3">
        <v>44865</v>
      </c>
      <c r="B24" s="248">
        <v>1.6975000000000001E-2</v>
      </c>
      <c r="C24" s="248">
        <v>4.781716591940495E-2</v>
      </c>
      <c r="D24" s="248">
        <v>-5.8333333333333414E-5</v>
      </c>
      <c r="E24" s="248">
        <v>3.9167665172143228E-2</v>
      </c>
      <c r="F24" s="234">
        <v>6.0404954895493584E-3</v>
      </c>
      <c r="G24" s="249"/>
      <c r="H24" s="248">
        <v>0.24180047047937722</v>
      </c>
      <c r="I24" s="248">
        <v>0.13304659385951281</v>
      </c>
      <c r="J24" s="248">
        <v>0.41189668355931958</v>
      </c>
      <c r="K24" s="248">
        <v>5.9895499699568949E-2</v>
      </c>
      <c r="L24" s="248">
        <v>0.15336075240222141</v>
      </c>
      <c r="M24" s="248"/>
      <c r="N24" s="248">
        <v>0.21013651819115939</v>
      </c>
      <c r="O24" s="248">
        <v>0.41153437914112628</v>
      </c>
      <c r="P24" s="248">
        <f t="shared" si="0"/>
        <v>0.38048073991624132</v>
      </c>
      <c r="Q24" s="248">
        <v>0.18186175322211964</v>
      </c>
      <c r="R24" s="248">
        <v>-0.18401339047064669</v>
      </c>
      <c r="S24" s="14"/>
      <c r="T24" s="14">
        <f t="shared" si="1"/>
        <v>1.3714788544148912E-2</v>
      </c>
      <c r="U24" s="14">
        <f t="shared" si="2"/>
        <v>2.9234848578065322E-2</v>
      </c>
      <c r="V24" s="244">
        <f t="shared" si="3"/>
        <v>1.552006003391641E-2</v>
      </c>
      <c r="W24" s="14"/>
      <c r="X24" s="14">
        <f t="shared" si="9"/>
        <v>1.1214788544148912E-2</v>
      </c>
      <c r="Y24" s="14">
        <f t="shared" si="10"/>
        <v>2.6734848578065323E-2</v>
      </c>
      <c r="Z24" s="14"/>
      <c r="AA24" s="14">
        <f t="shared" si="4"/>
        <v>-1.0323117998757007E-4</v>
      </c>
      <c r="AB24" s="14">
        <f t="shared" si="5"/>
        <v>9.497095548072855E-3</v>
      </c>
      <c r="AC24" s="14">
        <f t="shared" si="6"/>
        <v>4.3269562069223045E-4</v>
      </c>
      <c r="AD24" s="14">
        <f t="shared" si="7"/>
        <v>3.1043920036881601E-3</v>
      </c>
      <c r="AE24" s="14">
        <f t="shared" si="8"/>
        <v>2.5891080414507293E-3</v>
      </c>
      <c r="AF24" s="14"/>
      <c r="AG24" s="244">
        <f t="shared" si="11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3">
        <v>44895</v>
      </c>
      <c r="B25" s="248">
        <v>1.25E-3</v>
      </c>
      <c r="C25" s="248">
        <v>1.3385481556260492E-2</v>
      </c>
      <c r="D25" s="248">
        <v>-1.0908333333333334E-2</v>
      </c>
      <c r="E25" s="248">
        <v>1.0292964458543177E-3</v>
      </c>
      <c r="F25" s="234">
        <v>2.644874299375224E-3</v>
      </c>
      <c r="G25" s="249"/>
      <c r="H25" s="248">
        <v>0.24509465984418824</v>
      </c>
      <c r="I25" s="248">
        <v>0.1386656381275666</v>
      </c>
      <c r="J25" s="248">
        <v>0.39730439706390908</v>
      </c>
      <c r="K25" s="248">
        <v>5.7050678853607491E-2</v>
      </c>
      <c r="L25" s="248">
        <v>0.16188462611072851</v>
      </c>
      <c r="M25" s="248"/>
      <c r="N25" s="248">
        <v>0.25873377551965715</v>
      </c>
      <c r="O25" s="248">
        <v>0.30841391854206313</v>
      </c>
      <c r="P25" s="248">
        <f t="shared" si="0"/>
        <v>0.27805486661707696</v>
      </c>
      <c r="Q25" s="248">
        <v>0.10790217740248026</v>
      </c>
      <c r="R25" s="248">
        <v>4.6895261918722508E-2</v>
      </c>
      <c r="S25" s="14"/>
      <c r="T25" s="14">
        <f t="shared" si="1"/>
        <v>-1.6845675834814442E-3</v>
      </c>
      <c r="U25" s="14">
        <f t="shared" si="2"/>
        <v>1.6536662684353827E-3</v>
      </c>
      <c r="V25" s="244">
        <f t="shared" si="3"/>
        <v>3.3382338519168269E-3</v>
      </c>
      <c r="W25" s="14"/>
      <c r="X25" s="14">
        <f t="shared" si="9"/>
        <v>-4.1845675834814439E-3</v>
      </c>
      <c r="Y25" s="14">
        <f t="shared" si="10"/>
        <v>-8.4633373156461737E-4</v>
      </c>
      <c r="Z25" s="14"/>
      <c r="AA25" s="14">
        <f t="shared" si="4"/>
        <v>4.0024906728584687E-5</v>
      </c>
      <c r="AB25" s="14">
        <f t="shared" si="5"/>
        <v>2.5581149272331559E-3</v>
      </c>
      <c r="AC25" s="14">
        <f t="shared" si="6"/>
        <v>1.0999297346214103E-3</v>
      </c>
      <c r="AD25" s="14">
        <f t="shared" si="7"/>
        <v>1.3800405274960549E-4</v>
      </c>
      <c r="AE25" s="14">
        <f t="shared" si="8"/>
        <v>-4.9783976941592954E-4</v>
      </c>
      <c r="AF25" s="14"/>
      <c r="AG25" s="244">
        <f t="shared" si="11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3">
        <v>44926</v>
      </c>
      <c r="B26" s="248">
        <v>2.0899999999999998E-2</v>
      </c>
      <c r="C26" s="248">
        <v>4.716385529249819E-2</v>
      </c>
      <c r="D26" s="248">
        <v>2.3491666666666668E-2</v>
      </c>
      <c r="E26" s="248">
        <v>2.9211043918329717E-2</v>
      </c>
      <c r="F26" s="234">
        <v>5.7231741404435892E-3</v>
      </c>
      <c r="G26" s="249"/>
      <c r="H26" s="248">
        <v>0.25169103837777307</v>
      </c>
      <c r="I26" s="248">
        <v>0.12980401565135188</v>
      </c>
      <c r="J26" s="248">
        <v>0.41190054628498413</v>
      </c>
      <c r="K26" s="248">
        <v>5.5044782648892898E-2</v>
      </c>
      <c r="L26" s="248">
        <v>0.151559617036998</v>
      </c>
      <c r="M26" s="248"/>
      <c r="N26" s="248">
        <v>0.28034313762067264</v>
      </c>
      <c r="O26" s="248">
        <v>0.36009667624184594</v>
      </c>
      <c r="P26" s="248">
        <f t="shared" si="0"/>
        <v>0.37833101013757781</v>
      </c>
      <c r="Q26" s="248">
        <v>0.10512844029579388</v>
      </c>
      <c r="R26" s="248">
        <v>-0.12389926429589027</v>
      </c>
      <c r="S26" s="14"/>
      <c r="T26" s="14">
        <f t="shared" si="1"/>
        <v>2.3533948490199144E-2</v>
      </c>
      <c r="U26" s="14">
        <f t="shared" si="2"/>
        <v>3.4092159506775029E-2</v>
      </c>
      <c r="V26" s="244">
        <f t="shared" si="3"/>
        <v>1.0558211016575884E-2</v>
      </c>
      <c r="W26" s="14"/>
      <c r="X26" s="14">
        <f t="shared" si="9"/>
        <v>2.1033948490199145E-2</v>
      </c>
      <c r="Y26" s="14">
        <f t="shared" si="10"/>
        <v>3.1592159506775026E-2</v>
      </c>
      <c r="Z26" s="14"/>
      <c r="AA26" s="14">
        <f t="shared" si="4"/>
        <v>-7.5468153541871427E-5</v>
      </c>
      <c r="AB26" s="14">
        <f t="shared" si="5"/>
        <v>5.4417941070068606E-3</v>
      </c>
      <c r="AC26" s="14">
        <f t="shared" si="6"/>
        <v>1.4193812034517252E-6</v>
      </c>
      <c r="AD26" s="14">
        <f t="shared" si="7"/>
        <v>2.8432970385127836E-4</v>
      </c>
      <c r="AE26" s="14">
        <f t="shared" si="8"/>
        <v>4.9061359780561654E-3</v>
      </c>
      <c r="AF26" s="14"/>
      <c r="AG26" s="244">
        <f t="shared" si="11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3">
        <v>44957</v>
      </c>
      <c r="B27" s="248">
        <v>1.2449999999999999E-2</v>
      </c>
      <c r="C27" s="248">
        <v>3.4784271941571208E-2</v>
      </c>
      <c r="D27" s="248">
        <v>2.8916666666666665E-3</v>
      </c>
      <c r="E27" s="248">
        <v>2.2176877216475745E-2</v>
      </c>
      <c r="F27" s="234">
        <v>4.0260585420292053E-3</v>
      </c>
      <c r="G27" s="249"/>
      <c r="H27" s="248">
        <v>0.25770056943433217</v>
      </c>
      <c r="I27" s="248">
        <v>0.1301898649343414</v>
      </c>
      <c r="J27" s="248">
        <v>0.40637589143101432</v>
      </c>
      <c r="K27" s="248">
        <v>5.3009089090378693E-2</v>
      </c>
      <c r="L27" s="248">
        <v>0.15272458510993342</v>
      </c>
      <c r="M27" s="248"/>
      <c r="N27" s="248">
        <v>0.26406454604084928</v>
      </c>
      <c r="O27" s="248">
        <v>0.38284026998063864</v>
      </c>
      <c r="P27" s="248">
        <f t="shared" si="0"/>
        <v>0.32270306523343373</v>
      </c>
      <c r="Q27" s="248">
        <v>0.15703067108643634</v>
      </c>
      <c r="R27" s="248">
        <v>-0.12663855234135801</v>
      </c>
      <c r="S27" s="14"/>
      <c r="T27" s="14">
        <f t="shared" si="1"/>
        <v>1.0702489555332274E-2</v>
      </c>
      <c r="U27" s="14">
        <f t="shared" si="2"/>
        <v>2.0510169042866878E-2</v>
      </c>
      <c r="V27" s="244">
        <f t="shared" si="3"/>
        <v>9.8076794875346044E-3</v>
      </c>
      <c r="W27" s="14"/>
      <c r="X27" s="14">
        <f t="shared" si="9"/>
        <v>8.2024895553322735E-3</v>
      </c>
      <c r="Y27" s="14">
        <f t="shared" si="10"/>
        <v>1.801016904286688E-2</v>
      </c>
      <c r="Z27" s="14"/>
      <c r="AA27" s="14">
        <f t="shared" si="4"/>
        <v>1.1121115589509712E-5</v>
      </c>
      <c r="AB27" s="14">
        <f t="shared" si="5"/>
        <v>6.0842720741200521E-3</v>
      </c>
      <c r="AC27" s="14">
        <f t="shared" si="6"/>
        <v>6.5355362602340181E-4</v>
      </c>
      <c r="AD27" s="14">
        <f t="shared" si="7"/>
        <v>1.1935839569481878E-3</v>
      </c>
      <c r="AE27" s="14">
        <f t="shared" si="8"/>
        <v>1.8651487148534502E-3</v>
      </c>
      <c r="AF27" s="14"/>
      <c r="AG27" s="244">
        <f t="shared" si="11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3">
        <v>44985</v>
      </c>
      <c r="B28" s="248">
        <v>2.1874999999999999E-2</v>
      </c>
      <c r="C28" s="248">
        <v>4.9243424207913625E-2</v>
      </c>
      <c r="D28" s="248">
        <v>1.5466666666666667E-2</v>
      </c>
      <c r="E28" s="248">
        <v>3.1395181749160589E-2</v>
      </c>
      <c r="F28" s="234">
        <v>6.840332421716739E-3</v>
      </c>
      <c r="G28" s="249"/>
      <c r="H28" s="248">
        <v>0.26698427580410372</v>
      </c>
      <c r="I28" s="248">
        <v>0.12227464188590396</v>
      </c>
      <c r="J28" s="248">
        <v>0.41109194137821398</v>
      </c>
      <c r="K28" s="248">
        <v>5.0661600408827723E-2</v>
      </c>
      <c r="L28" s="248">
        <v>0.14898754052295052</v>
      </c>
      <c r="M28" s="248"/>
      <c r="N28" s="248">
        <v>0.28981811006608643</v>
      </c>
      <c r="O28" s="248">
        <v>0.28484796407284896</v>
      </c>
      <c r="P28" s="248">
        <f t="shared" si="0"/>
        <v>0.22601404843702394</v>
      </c>
      <c r="Q28" s="248">
        <v>8.5267477220957011E-2</v>
      </c>
      <c r="R28" s="248">
        <v>0.11405240020308371</v>
      </c>
      <c r="S28" s="14"/>
      <c r="T28" s="14">
        <f t="shared" si="1"/>
        <v>2.0829379576532241E-2</v>
      </c>
      <c r="U28" s="14">
        <f t="shared" si="2"/>
        <v>2.7319488511982903E-2</v>
      </c>
      <c r="V28" s="244">
        <f t="shared" si="3"/>
        <v>6.4901089354506628E-3</v>
      </c>
      <c r="W28" s="14"/>
      <c r="X28" s="14">
        <f t="shared" si="9"/>
        <v>1.8329379576532242E-2</v>
      </c>
      <c r="Y28" s="14">
        <f t="shared" si="10"/>
        <v>2.4819488511982905E-2</v>
      </c>
      <c r="Z28" s="14"/>
      <c r="AA28" s="14">
        <f t="shared" si="4"/>
        <v>2.3875523450406963E-5</v>
      </c>
      <c r="AB28" s="14">
        <f t="shared" si="5"/>
        <v>4.6193656324917997E-3</v>
      </c>
      <c r="AC28" s="14">
        <f t="shared" si="6"/>
        <v>9.925196058064383E-4</v>
      </c>
      <c r="AD28" s="14">
        <f t="shared" si="7"/>
        <v>3.6563884840730459E-4</v>
      </c>
      <c r="AE28" s="14">
        <f t="shared" si="8"/>
        <v>4.8870932529471297E-4</v>
      </c>
      <c r="AF28" s="14"/>
      <c r="AG28" s="244">
        <f t="shared" si="11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3">
        <v>45016</v>
      </c>
      <c r="B29" s="248">
        <v>-1.0975E-2</v>
      </c>
      <c r="C29" s="248">
        <v>1.1154121808765929E-3</v>
      </c>
      <c r="D29" s="248">
        <v>1.1366666666666667E-2</v>
      </c>
      <c r="E29" s="248">
        <v>-7.7608423049134803E-3</v>
      </c>
      <c r="F29" s="234">
        <v>1.3633579337544507E-3</v>
      </c>
      <c r="G29" s="249"/>
      <c r="H29" s="248">
        <v>0.25237206032226855</v>
      </c>
      <c r="I29" s="248">
        <v>0.12807842189479998</v>
      </c>
      <c r="J29" s="248">
        <v>0.42491437612690797</v>
      </c>
      <c r="K29" s="248">
        <v>5.567248963639581E-2</v>
      </c>
      <c r="L29" s="248">
        <v>0.13896265201962765</v>
      </c>
      <c r="M29" s="248"/>
      <c r="N29" s="248">
        <v>0.25365443991893732</v>
      </c>
      <c r="O29" s="248">
        <v>0.41145510499632365</v>
      </c>
      <c r="P29" s="248">
        <f t="shared" si="0"/>
        <v>0.39182696312091142</v>
      </c>
      <c r="Q29" s="248">
        <v>0.128701789114326</v>
      </c>
      <c r="R29" s="248">
        <v>-0.1856382971504984</v>
      </c>
      <c r="S29" s="14"/>
      <c r="T29" s="14">
        <f t="shared" si="1"/>
        <v>1.9603273664977219E-3</v>
      </c>
      <c r="U29" s="14">
        <f t="shared" si="2"/>
        <v>8.7692530378880051E-4</v>
      </c>
      <c r="V29" s="244">
        <f t="shared" si="3"/>
        <v>-1.0834020627089214E-3</v>
      </c>
      <c r="W29" s="14"/>
      <c r="X29" s="14">
        <f t="shared" si="9"/>
        <v>-5.3967263350227813E-4</v>
      </c>
      <c r="Y29" s="14">
        <f t="shared" si="10"/>
        <v>-1.6230746962111995E-3</v>
      </c>
      <c r="Z29" s="14"/>
      <c r="AA29" s="14">
        <f t="shared" si="4"/>
        <v>-1.6587999891027854E-5</v>
      </c>
      <c r="AB29" s="14">
        <f t="shared" si="5"/>
        <v>-2.394292628034237E-4</v>
      </c>
      <c r="AC29" s="14">
        <f t="shared" si="6"/>
        <v>-3.1123143329922639E-4</v>
      </c>
      <c r="AD29" s="14">
        <f t="shared" si="7"/>
        <v>-7.0993021120926091E-4</v>
      </c>
      <c r="AE29" s="14">
        <f t="shared" si="8"/>
        <v>1.9377684449401757E-4</v>
      </c>
      <c r="AF29" s="14"/>
      <c r="AG29" s="244">
        <f t="shared" si="11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3">
        <v>45046</v>
      </c>
      <c r="B30" s="248">
        <v>6.025E-3</v>
      </c>
      <c r="C30" s="248">
        <v>2.901978197903736E-2</v>
      </c>
      <c r="D30" s="248">
        <v>-1.6783333333333334E-2</v>
      </c>
      <c r="E30" s="248">
        <v>2.1072897291408051E-2</v>
      </c>
      <c r="F30" s="234">
        <v>4.2716256365270969E-3</v>
      </c>
      <c r="G30" s="249"/>
      <c r="H30" s="248">
        <v>0.25846737722480989</v>
      </c>
      <c r="I30" s="248">
        <v>0.13670078544135711</v>
      </c>
      <c r="J30" s="248">
        <v>0.39640862607083227</v>
      </c>
      <c r="K30" s="248">
        <v>5.6126292384132047E-2</v>
      </c>
      <c r="L30" s="248">
        <v>0.15229691887886873</v>
      </c>
      <c r="M30" s="248"/>
      <c r="N30" s="248">
        <v>0.28522449878183048</v>
      </c>
      <c r="O30" s="248">
        <v>0.45862822046692986</v>
      </c>
      <c r="P30" s="248">
        <f t="shared" si="0"/>
        <v>0.28629160477291282</v>
      </c>
      <c r="Q30" s="248">
        <v>0.10212751253186866</v>
      </c>
      <c r="R30" s="248">
        <v>-0.1322718365535418</v>
      </c>
      <c r="S30" s="14"/>
      <c r="T30" s="14">
        <f t="shared" si="1"/>
        <v>7.0453384790077392E-4</v>
      </c>
      <c r="U30" s="14">
        <f t="shared" si="2"/>
        <v>1.1809947953304419E-2</v>
      </c>
      <c r="V30" s="244">
        <f t="shared" si="3"/>
        <v>1.1105414105403645E-2</v>
      </c>
      <c r="W30" s="14"/>
      <c r="X30" s="14">
        <f t="shared" si="9"/>
        <v>-1.7954661520992261E-3</v>
      </c>
      <c r="Y30" s="14">
        <f t="shared" si="10"/>
        <v>9.3099479533044188E-3</v>
      </c>
      <c r="Z30" s="14"/>
      <c r="AA30" s="14">
        <f t="shared" si="4"/>
        <v>1.4236035957173259E-4</v>
      </c>
      <c r="AB30" s="14">
        <f t="shared" si="5"/>
        <v>9.1154552029694431E-3</v>
      </c>
      <c r="AC30" s="14">
        <f t="shared" si="6"/>
        <v>1.9257118428511429E-3</v>
      </c>
      <c r="AD30" s="14">
        <f t="shared" si="7"/>
        <v>9.3696957081388895E-4</v>
      </c>
      <c r="AE30" s="14">
        <f t="shared" si="8"/>
        <v>-1.015082870802564E-3</v>
      </c>
      <c r="AF30" s="14"/>
      <c r="AG30" s="244">
        <f t="shared" si="11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3">
        <v>45077</v>
      </c>
      <c r="B31" s="248">
        <v>-4.4749999999999998E-3</v>
      </c>
      <c r="C31" s="248">
        <v>1.6448666422511429E-4</v>
      </c>
      <c r="D31" s="248">
        <v>-1.0383333333333333E-2</v>
      </c>
      <c r="E31" s="248">
        <v>-1.7962693338216439E-2</v>
      </c>
      <c r="F31" s="234">
        <v>1.8512082849274157E-3</v>
      </c>
      <c r="G31" s="249"/>
      <c r="H31" s="248">
        <v>0.25891470086660118</v>
      </c>
      <c r="I31" s="248">
        <v>0.13775537865186904</v>
      </c>
      <c r="J31" s="248">
        <v>0.38753896317983072</v>
      </c>
      <c r="K31" s="248">
        <v>5.4609030461982858E-2</v>
      </c>
      <c r="L31" s="248">
        <v>0.16118192683971608</v>
      </c>
      <c r="M31" s="248"/>
      <c r="N31" s="248">
        <v>0.27909690332556492</v>
      </c>
      <c r="O31" s="248">
        <v>0.36673222778257308</v>
      </c>
      <c r="P31" s="248">
        <f t="shared" si="0"/>
        <v>0.36501405784234436</v>
      </c>
      <c r="Q31" s="248">
        <v>0.17440545699977877</v>
      </c>
      <c r="R31" s="248">
        <v>-0.18524864595026114</v>
      </c>
      <c r="S31" s="14"/>
      <c r="T31" s="14">
        <f t="shared" si="1"/>
        <v>-5.8424745473547738E-3</v>
      </c>
      <c r="U31" s="14">
        <f t="shared" si="2"/>
        <v>-8.4544242842530069E-3</v>
      </c>
      <c r="V31" s="244">
        <f t="shared" si="3"/>
        <v>-2.6119497368982331E-3</v>
      </c>
      <c r="W31" s="14"/>
      <c r="X31" s="14">
        <f t="shared" si="9"/>
        <v>-8.3424745473547734E-3</v>
      </c>
      <c r="Y31" s="14">
        <f t="shared" si="10"/>
        <v>-1.0954424284253007E-2</v>
      </c>
      <c r="Z31" s="14"/>
      <c r="AA31" s="14">
        <f t="shared" si="4"/>
        <v>2.7598648172193845E-5</v>
      </c>
      <c r="AB31" s="14">
        <f t="shared" si="5"/>
        <v>1.3754550510779193E-3</v>
      </c>
      <c r="AC31" s="14">
        <f t="shared" si="6"/>
        <v>1.0228241430506026E-4</v>
      </c>
      <c r="AD31" s="14">
        <f t="shared" si="7"/>
        <v>-1.4519589000014732E-3</v>
      </c>
      <c r="AE31" s="14">
        <f t="shared" si="8"/>
        <v>-2.6653269504519333E-3</v>
      </c>
      <c r="AF31" s="14"/>
      <c r="AG31" s="244">
        <f t="shared" si="11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3">
        <v>45107</v>
      </c>
      <c r="B32" s="248">
        <v>2.9250000000000001E-3</v>
      </c>
      <c r="C32" s="248">
        <v>1.29500569094831E-2</v>
      </c>
      <c r="D32" s="248">
        <v>-1.9333333333333336E-3</v>
      </c>
      <c r="E32" s="248">
        <v>-7.3165528477004659E-3</v>
      </c>
      <c r="F32" s="234">
        <v>2.2791069568063541E-3</v>
      </c>
      <c r="G32" s="249"/>
      <c r="H32" s="248">
        <v>0.26194913880038728</v>
      </c>
      <c r="I32" s="248">
        <v>0.13363452110367249</v>
      </c>
      <c r="J32" s="248">
        <v>0.38454953490925786</v>
      </c>
      <c r="K32" s="248">
        <v>5.3217543600630329E-2</v>
      </c>
      <c r="L32" s="248">
        <v>0.16664926158605209</v>
      </c>
      <c r="M32" s="248"/>
      <c r="N32" s="248">
        <v>0.27329423598957436</v>
      </c>
      <c r="O32" s="248">
        <v>0.3381928017338261</v>
      </c>
      <c r="P32" s="248">
        <f t="shared" si="0"/>
        <v>0.26367055375472936</v>
      </c>
      <c r="Q32" s="248">
        <v>0.13108910655763731</v>
      </c>
      <c r="R32" s="248">
        <v>-6.246698035767162E-3</v>
      </c>
      <c r="S32" s="14"/>
      <c r="T32" s="14">
        <f t="shared" si="1"/>
        <v>1.743755971445911E-3</v>
      </c>
      <c r="U32" s="14">
        <f t="shared" si="2"/>
        <v>3.6958813296704331E-3</v>
      </c>
      <c r="V32" s="244">
        <f t="shared" si="3"/>
        <v>1.9521253582245222E-3</v>
      </c>
      <c r="W32" s="14"/>
      <c r="X32" s="14">
        <f t="shared" si="9"/>
        <v>-7.562440285540891E-4</v>
      </c>
      <c r="Y32" s="14">
        <f t="shared" si="10"/>
        <v>1.1958813296704331E-3</v>
      </c>
      <c r="Z32" s="14"/>
      <c r="AA32" s="14">
        <f t="shared" si="4"/>
        <v>1.340132830809302E-5</v>
      </c>
      <c r="AB32" s="14">
        <f t="shared" si="5"/>
        <v>2.2923416521089647E-3</v>
      </c>
      <c r="AC32" s="14">
        <f t="shared" si="6"/>
        <v>4.4448280877592861E-4</v>
      </c>
      <c r="AD32" s="14">
        <f t="shared" si="7"/>
        <v>-7.055404086200827E-4</v>
      </c>
      <c r="AE32" s="14">
        <f t="shared" si="8"/>
        <v>-9.256002234838033E-5</v>
      </c>
      <c r="AF32" s="14"/>
      <c r="AG32" s="244">
        <f t="shared" si="11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3">
        <v>45138</v>
      </c>
      <c r="B33" s="248">
        <v>-1.555E-2</v>
      </c>
      <c r="C33" s="248">
        <v>-1.8509634020949302E-2</v>
      </c>
      <c r="D33" s="248">
        <v>-1.7333333333333335E-3</v>
      </c>
      <c r="E33" s="248">
        <v>-3.7135934708565271E-2</v>
      </c>
      <c r="F33" s="234">
        <v>-1.0362668806119428E-4</v>
      </c>
      <c r="G33" s="249"/>
      <c r="H33" s="248">
        <v>0.25217298631798468</v>
      </c>
      <c r="I33" s="248">
        <v>0.1348568435250784</v>
      </c>
      <c r="J33" s="248">
        <v>0.39201442958258731</v>
      </c>
      <c r="K33" s="248">
        <v>5.423057443190385E-2</v>
      </c>
      <c r="L33" s="248">
        <v>0.16672516614244554</v>
      </c>
      <c r="M33" s="248"/>
      <c r="N33" s="248">
        <v>0.27454406967570533</v>
      </c>
      <c r="O33" s="248">
        <v>0.3260325917396697</v>
      </c>
      <c r="P33" s="248">
        <f t="shared" si="0"/>
        <v>0.27119506580575997</v>
      </c>
      <c r="Q33" s="248">
        <v>2.7075621904414329E-2</v>
      </c>
      <c r="R33" s="248">
        <v>0.10115265087445069</v>
      </c>
      <c r="S33" s="14"/>
      <c r="T33" s="14">
        <f t="shared" si="1"/>
        <v>-9.1281126821524047E-3</v>
      </c>
      <c r="U33" s="14">
        <f t="shared" si="2"/>
        <v>-1.1789936324291593E-2</v>
      </c>
      <c r="V33" s="244">
        <f t="shared" si="3"/>
        <v>-2.661823642139188E-3</v>
      </c>
      <c r="W33" s="14"/>
      <c r="X33" s="14">
        <f t="shared" si="9"/>
        <v>-1.1628112682152405E-2</v>
      </c>
      <c r="Y33" s="14">
        <f t="shared" si="10"/>
        <v>-1.4289936324291593E-2</v>
      </c>
      <c r="Z33" s="14"/>
      <c r="AA33" s="14">
        <f t="shared" si="4"/>
        <v>-1.436645765014576E-4</v>
      </c>
      <c r="AB33" s="14">
        <f t="shared" si="5"/>
        <v>-1.793519361335651E-3</v>
      </c>
      <c r="AC33" s="14">
        <f t="shared" si="6"/>
        <v>-8.9343253619434174E-4</v>
      </c>
      <c r="AD33" s="14">
        <f t="shared" si="7"/>
        <v>7.6055107752561672E-4</v>
      </c>
      <c r="AE33" s="14">
        <f t="shared" si="8"/>
        <v>-5.9175824563335161E-4</v>
      </c>
      <c r="AF33" s="14"/>
      <c r="AG33" s="244">
        <f t="shared" si="11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3">
        <v>45169</v>
      </c>
      <c r="B34" s="248">
        <v>-3.4749999999999998E-3</v>
      </c>
      <c r="C34" s="248">
        <v>9.118145741289484E-3</v>
      </c>
      <c r="D34" s="248">
        <v>1.6816666666666667E-2</v>
      </c>
      <c r="E34" s="248">
        <v>-3.2553751840877047E-3</v>
      </c>
      <c r="F34" s="234">
        <v>2.1355063030117894E-3</v>
      </c>
      <c r="G34" s="249"/>
      <c r="H34" s="248">
        <v>0.24400045665199366</v>
      </c>
      <c r="I34" s="248">
        <v>0.13597344998176322</v>
      </c>
      <c r="J34" s="248">
        <v>0.41053115163828241</v>
      </c>
      <c r="K34" s="248">
        <v>5.6107474496297965E-2</v>
      </c>
      <c r="L34" s="248">
        <v>0.15338746723166274</v>
      </c>
      <c r="M34" s="248"/>
      <c r="N34" s="248">
        <v>0.26650705472027847</v>
      </c>
      <c r="O34" s="248">
        <v>0.37082759029952922</v>
      </c>
      <c r="P34" s="248">
        <f t="shared" si="0"/>
        <v>0.37279522026205414</v>
      </c>
      <c r="Q34" s="248">
        <v>0.15065274697748918</v>
      </c>
      <c r="R34" s="248">
        <v>-0.16078261225935098</v>
      </c>
      <c r="S34" s="14"/>
      <c r="T34" s="14">
        <f t="shared" si="1"/>
        <v>7.4405987033569054E-3</v>
      </c>
      <c r="U34" s="14">
        <f t="shared" si="2"/>
        <v>7.8905374563431642E-3</v>
      </c>
      <c r="V34" s="244">
        <f t="shared" si="3"/>
        <v>4.4993875298625884E-4</v>
      </c>
      <c r="W34" s="14"/>
      <c r="X34" s="14">
        <f t="shared" si="9"/>
        <v>4.9405987033569049E-3</v>
      </c>
      <c r="Y34" s="14">
        <f t="shared" si="10"/>
        <v>5.3905374563431637E-3</v>
      </c>
      <c r="Z34" s="14"/>
      <c r="AA34" s="14">
        <f t="shared" si="4"/>
        <v>-2.4567299269114473E-4</v>
      </c>
      <c r="AB34" s="14">
        <f t="shared" si="5"/>
        <v>3.9397886743627056E-4</v>
      </c>
      <c r="AC34" s="14">
        <f t="shared" si="6"/>
        <v>-3.5381465724230955E-4</v>
      </c>
      <c r="AD34" s="14">
        <f t="shared" si="7"/>
        <v>-1.0112537656401567E-3</v>
      </c>
      <c r="AE34" s="14">
        <f t="shared" si="8"/>
        <v>1.6667013011235977E-3</v>
      </c>
      <c r="AF34" s="14"/>
      <c r="AG34" s="244">
        <f t="shared" si="11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3">
        <v>45199</v>
      </c>
      <c r="B35" s="248">
        <v>-1.475E-3</v>
      </c>
      <c r="C35" s="248">
        <v>1.1793480192113201E-2</v>
      </c>
      <c r="D35" s="248">
        <v>2.2966666666666666E-2</v>
      </c>
      <c r="E35" s="248">
        <v>-5.6047062824402631E-3</v>
      </c>
      <c r="F35" s="234">
        <v>2.1330283925976258E-3</v>
      </c>
      <c r="G35" s="249"/>
      <c r="H35" s="248">
        <v>0.23570774204339934</v>
      </c>
      <c r="I35" s="248">
        <v>0.13037001268797899</v>
      </c>
      <c r="J35" s="248">
        <v>0.43558093208595922</v>
      </c>
      <c r="K35" s="248">
        <v>5.8856780470960289E-2</v>
      </c>
      <c r="L35" s="248">
        <v>0.13948453271170214</v>
      </c>
      <c r="M35" s="248"/>
      <c r="N35" s="248">
        <v>0.22946453046761556</v>
      </c>
      <c r="O35" s="248">
        <v>0.28672007190330762</v>
      </c>
      <c r="P35" s="248">
        <f t="shared" si="0"/>
        <v>0.38359644743914056</v>
      </c>
      <c r="Q35" s="248">
        <v>8.9392441118980287E-2</v>
      </c>
      <c r="R35" s="248">
        <v>1.0826509070956059E-2</v>
      </c>
      <c r="S35" s="14"/>
      <c r="T35" s="14">
        <f t="shared" ref="T35:T62" si="12">SUMPRODUCT(H35:L35,B35:F35)</f>
        <v>1.1161338817673885E-2</v>
      </c>
      <c r="U35" s="14">
        <f t="shared" ref="U35:U62" si="13">SUMPRODUCT(N35:R35,B35:F35)</f>
        <v>1.1374973923984304E-2</v>
      </c>
      <c r="V35" s="244">
        <f t="shared" ref="V35:V62" si="14">SUMPRODUCT(N35:R35,B35:F35)-T35</f>
        <v>2.1363510631041902E-4</v>
      </c>
      <c r="W35" s="14"/>
      <c r="X35" s="14">
        <f t="shared" si="9"/>
        <v>8.6613388176738845E-3</v>
      </c>
      <c r="Y35" s="14">
        <f t="shared" si="10"/>
        <v>8.8749739239843035E-3</v>
      </c>
      <c r="Z35" s="14"/>
      <c r="AA35" s="14">
        <f t="shared" ref="AA35:AA62" si="15">(N35-H35)*(B35-$T35)</f>
        <v>7.8891336782027532E-5</v>
      </c>
      <c r="AB35" s="14">
        <f t="shared" ref="AB35:AB62" si="16">(O35-I35)*(C35-$T35)</f>
        <v>9.8835341326046228E-5</v>
      </c>
      <c r="AC35" s="14">
        <f t="shared" ref="AC35:AC62" si="17">(P35-J35)*(D35-$T35)</f>
        <v>-6.136938843166259E-4</v>
      </c>
      <c r="AD35" s="14">
        <f t="shared" ref="AD35:AD62" si="18">(Q35-K35)*(E35-$T35)</f>
        <v>-5.1196226358648405E-4</v>
      </c>
      <c r="AE35" s="14">
        <f t="shared" ref="AE35:AE62" si="19">(R35-L35)*(F35-$T35)</f>
        <v>1.1615645761054558E-3</v>
      </c>
      <c r="AF35" s="14"/>
      <c r="AG35" s="244">
        <f t="shared" si="11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3">
        <v>45230</v>
      </c>
      <c r="B36" s="248">
        <v>-1.075E-3</v>
      </c>
      <c r="C36" s="248">
        <v>1.4751413418177978E-2</v>
      </c>
      <c r="D36" s="248">
        <v>2.1641666666666667E-2</v>
      </c>
      <c r="E36" s="248">
        <v>4.0361601696892908E-3</v>
      </c>
      <c r="F36" s="234">
        <v>2.9793041837017516E-3</v>
      </c>
      <c r="G36" s="249"/>
      <c r="H36" s="248">
        <v>0.22632352744638687</v>
      </c>
      <c r="I36" s="248">
        <v>0.1316374286888661</v>
      </c>
      <c r="J36" s="248">
        <v>0.45640730441027416</v>
      </c>
      <c r="K36" s="248">
        <v>6.1264129134291662E-2</v>
      </c>
      <c r="L36" s="248">
        <v>0.12436761032018123</v>
      </c>
      <c r="M36" s="248"/>
      <c r="N36" s="248">
        <v>0.25641112765182972</v>
      </c>
      <c r="O36" s="248">
        <v>0.3273896632933086</v>
      </c>
      <c r="P36" s="248">
        <f t="shared" si="0"/>
        <v>0.32171878307770096</v>
      </c>
      <c r="Q36" s="248">
        <v>0.14138276928228524</v>
      </c>
      <c r="R36" s="248">
        <v>-4.690234330512455E-2</v>
      </c>
      <c r="S36" s="14"/>
      <c r="T36" s="14">
        <f t="shared" si="12"/>
        <v>1.2193755865755973E-2</v>
      </c>
      <c r="U36" s="14">
        <f t="shared" si="13"/>
        <v>1.1947256128048367E-2</v>
      </c>
      <c r="V36" s="244">
        <f t="shared" si="14"/>
        <v>-2.4649973770760579E-4</v>
      </c>
      <c r="W36" s="14"/>
      <c r="X36" s="14">
        <f t="shared" si="9"/>
        <v>9.6937558657559722E-3</v>
      </c>
      <c r="Y36" s="14">
        <f t="shared" si="10"/>
        <v>9.4472561280483664E-3</v>
      </c>
      <c r="Z36" s="14"/>
      <c r="AA36" s="14">
        <f t="shared" si="15"/>
        <v>-3.9922502171249038E-4</v>
      </c>
      <c r="AB36" s="14">
        <f t="shared" si="16"/>
        <v>5.0066718123953661E-4</v>
      </c>
      <c r="AC36" s="14">
        <f t="shared" si="17"/>
        <v>-1.2725251354567088E-3</v>
      </c>
      <c r="AD36" s="14">
        <f t="shared" si="18"/>
        <v>-6.5357547404598767E-4</v>
      </c>
      <c r="AE36" s="14">
        <f t="shared" si="19"/>
        <v>1.5781587122680471E-3</v>
      </c>
      <c r="AF36" s="14"/>
      <c r="AG36" s="244">
        <f t="shared" si="11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3">
        <v>45260</v>
      </c>
      <c r="B37" s="248">
        <v>1.9750000000000002E-3</v>
      </c>
      <c r="C37" s="248">
        <v>1.0225458435541075E-2</v>
      </c>
      <c r="D37" s="248">
        <v>-4.3583333333333339E-3</v>
      </c>
      <c r="E37" s="248">
        <v>-9.3407497955845138E-3</v>
      </c>
      <c r="F37" s="234">
        <v>2.4591417556091618E-3</v>
      </c>
      <c r="G37" s="249"/>
      <c r="H37" s="248">
        <v>0.23005318637144964</v>
      </c>
      <c r="I37" s="248">
        <v>0.12943456324609132</v>
      </c>
      <c r="J37" s="248">
        <v>0.45226785088314397</v>
      </c>
      <c r="K37" s="248">
        <v>5.8591298008366571E-2</v>
      </c>
      <c r="L37" s="248">
        <v>0.12965310149094855</v>
      </c>
      <c r="M37" s="248"/>
      <c r="N37" s="248">
        <v>0.25493770381225483</v>
      </c>
      <c r="O37" s="248">
        <v>0.37652950180554901</v>
      </c>
      <c r="P37" s="248">
        <f t="shared" si="0"/>
        <v>0.42540110878886361</v>
      </c>
      <c r="Q37" s="248">
        <v>0.15350832644890747</v>
      </c>
      <c r="R37" s="248">
        <v>-0.21037664085557495</v>
      </c>
      <c r="S37" s="14"/>
      <c r="T37" s="14">
        <f t="shared" si="12"/>
        <v>-4.2170255969416074E-4</v>
      </c>
      <c r="U37" s="14">
        <f t="shared" si="13"/>
        <v>5.4842005219447897E-4</v>
      </c>
      <c r="V37" s="244">
        <f t="shared" si="14"/>
        <v>9.7012261188863971E-4</v>
      </c>
      <c r="W37" s="14"/>
      <c r="X37" s="14">
        <f t="shared" si="9"/>
        <v>-2.9217025596941608E-3</v>
      </c>
      <c r="Y37" s="14">
        <f t="shared" si="10"/>
        <v>-1.9515799478055211E-3</v>
      </c>
      <c r="Z37" s="14"/>
      <c r="AA37" s="14">
        <f t="shared" si="15"/>
        <v>5.9640786647131798E-5</v>
      </c>
      <c r="AB37" s="14">
        <f t="shared" si="16"/>
        <v>2.6308595919503049E-3</v>
      </c>
      <c r="AC37" s="14">
        <f t="shared" si="17"/>
        <v>1.0576444371577105E-4</v>
      </c>
      <c r="AD37" s="14">
        <f t="shared" si="18"/>
        <v>-8.4656946015153236E-4</v>
      </c>
      <c r="AE37" s="14">
        <f t="shared" si="19"/>
        <v>-9.7957275027303571E-4</v>
      </c>
      <c r="AF37" s="14"/>
      <c r="AG37" s="244">
        <f t="shared" si="11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3">
        <v>45291</v>
      </c>
      <c r="B38" s="248">
        <v>-1.3825E-2</v>
      </c>
      <c r="C38" s="248">
        <v>-1.5338212261302395E-2</v>
      </c>
      <c r="D38" s="248">
        <v>9.1666666666666665E-4</v>
      </c>
      <c r="E38" s="248">
        <v>-3.2643091189271459E-2</v>
      </c>
      <c r="F38" s="234">
        <v>8.768632747902308E-5</v>
      </c>
      <c r="G38" s="249"/>
      <c r="H38" s="248">
        <v>0.2209994106307078</v>
      </c>
      <c r="I38" s="248">
        <v>0.1309040578883903</v>
      </c>
      <c r="J38" s="248">
        <v>0.46158763390871416</v>
      </c>
      <c r="K38" s="248">
        <v>5.934785222925211E-2</v>
      </c>
      <c r="L38" s="248">
        <v>0.12716104534293554</v>
      </c>
      <c r="M38" s="248"/>
      <c r="N38" s="248">
        <v>0.27468789812507216</v>
      </c>
      <c r="O38" s="248">
        <v>0.26267334022310729</v>
      </c>
      <c r="P38" s="248">
        <f t="shared" si="0"/>
        <v>0.3299461472007556</v>
      </c>
      <c r="Q38" s="248">
        <v>6.8678530218598544E-2</v>
      </c>
      <c r="R38" s="248">
        <v>6.4014084232466351E-2</v>
      </c>
      <c r="S38" s="14"/>
      <c r="T38" s="14">
        <f t="shared" si="12"/>
        <v>-6.5661761471201953E-3</v>
      </c>
      <c r="U38" s="14">
        <f t="shared" si="13"/>
        <v>-9.760315369089988E-3</v>
      </c>
      <c r="V38" s="244">
        <f t="shared" si="14"/>
        <v>-3.1941392219697927E-3</v>
      </c>
      <c r="W38" s="14"/>
      <c r="X38" s="14">
        <f t="shared" si="9"/>
        <v>-9.0661761471201949E-3</v>
      </c>
      <c r="Y38" s="14">
        <f t="shared" si="10"/>
        <v>-1.2260315369089989E-2</v>
      </c>
      <c r="Z38" s="14"/>
      <c r="AA38" s="14">
        <f t="shared" si="15"/>
        <v>-3.8971527364913114E-4</v>
      </c>
      <c r="AB38" s="14">
        <f t="shared" si="16"/>
        <v>-1.155884903380008E-3</v>
      </c>
      <c r="AC38" s="14">
        <f t="shared" si="17"/>
        <v>-9.8505255280886632E-4</v>
      </c>
      <c r="AD38" s="14">
        <f t="shared" si="18"/>
        <v>-2.4331529721385774E-4</v>
      </c>
      <c r="AE38" s="14">
        <f t="shared" si="19"/>
        <v>-4.2017119491792712E-4</v>
      </c>
      <c r="AF38" s="14"/>
      <c r="AG38" s="244">
        <f t="shared" si="11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3">
        <v>45322</v>
      </c>
      <c r="B39" s="248">
        <v>1.7250000000000001E-2</v>
      </c>
      <c r="C39" s="248">
        <v>4.1951138362158961E-2</v>
      </c>
      <c r="D39" s="248">
        <v>1.2666666666666666E-2</v>
      </c>
      <c r="E39" s="248">
        <v>2.458561005765126E-2</v>
      </c>
      <c r="F39" s="234">
        <v>4.9926947917659711E-3</v>
      </c>
      <c r="G39" s="249"/>
      <c r="H39" s="248">
        <v>0.22687859969308055</v>
      </c>
      <c r="I39" s="248">
        <v>0.12467728295447159</v>
      </c>
      <c r="J39" s="248">
        <v>0.46574031419433537</v>
      </c>
      <c r="K39" s="248">
        <v>5.7826189749873275E-2</v>
      </c>
      <c r="L39" s="248">
        <v>0.12487761340823927</v>
      </c>
      <c r="M39" s="248"/>
      <c r="N39" s="248">
        <v>0.22929159489089079</v>
      </c>
      <c r="O39" s="248">
        <v>0.37565833321303216</v>
      </c>
      <c r="P39" s="248">
        <f t="shared" si="0"/>
        <v>0.38283692051445495</v>
      </c>
      <c r="Q39" s="248">
        <v>0.22113625342561774</v>
      </c>
      <c r="R39" s="248">
        <v>-0.20892310204399567</v>
      </c>
      <c r="S39" s="14"/>
      <c r="T39" s="14">
        <f t="shared" si="12"/>
        <v>1.7088555068056583E-2</v>
      </c>
      <c r="U39" s="14">
        <f t="shared" si="13"/>
        <v>2.8957522798113092E-2</v>
      </c>
      <c r="V39" s="244">
        <f t="shared" si="14"/>
        <v>1.1868967730056509E-2</v>
      </c>
      <c r="W39" s="14"/>
      <c r="X39" s="14">
        <f t="shared" si="9"/>
        <v>1.4588555068056583E-2</v>
      </c>
      <c r="Y39" s="14">
        <f t="shared" si="10"/>
        <v>2.6457522798113094E-2</v>
      </c>
      <c r="Z39" s="14"/>
      <c r="AA39" s="14">
        <f t="shared" si="15"/>
        <v>3.8956584549026995E-7</v>
      </c>
      <c r="AB39" s="14">
        <f t="shared" si="16"/>
        <v>6.240037267294757E-3</v>
      </c>
      <c r="AC39" s="14">
        <f t="shared" si="17"/>
        <v>3.6658955494892536E-4</v>
      </c>
      <c r="AD39" s="14">
        <f t="shared" si="18"/>
        <v>1.2243445277312643E-3</v>
      </c>
      <c r="AE39" s="14">
        <f t="shared" si="19"/>
        <v>4.0376068142360744E-3</v>
      </c>
      <c r="AF39" s="14"/>
      <c r="AG39" s="244">
        <f t="shared" si="11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3">
        <v>45351</v>
      </c>
      <c r="B40" s="248">
        <v>1.2725E-2</v>
      </c>
      <c r="C40" s="248">
        <v>4.2068571485232673E-2</v>
      </c>
      <c r="D40" s="248">
        <v>1.4891666666666666E-2</v>
      </c>
      <c r="E40" s="248">
        <v>3.2770476303798687E-2</v>
      </c>
      <c r="F40" s="234">
        <v>6.1074687309100404E-3</v>
      </c>
      <c r="G40" s="249"/>
      <c r="H40" s="248">
        <v>0.22686385049201729</v>
      </c>
      <c r="I40" s="248">
        <v>0.1251753361458609</v>
      </c>
      <c r="J40" s="248">
        <v>0.46955070064078297</v>
      </c>
      <c r="K40" s="248">
        <v>5.9588630932537176E-2</v>
      </c>
      <c r="L40" s="248">
        <v>0.11882148178880167</v>
      </c>
      <c r="M40" s="248"/>
      <c r="N40" s="248">
        <v>0.24664055473819557</v>
      </c>
      <c r="O40" s="248">
        <v>0.42647488563840263</v>
      </c>
      <c r="P40" s="248">
        <f t="shared" si="0"/>
        <v>0.43350370092574714</v>
      </c>
      <c r="Q40" s="248">
        <v>0.11542319410900496</v>
      </c>
      <c r="R40" s="248">
        <v>-0.22204233541135032</v>
      </c>
      <c r="S40" s="14"/>
      <c r="T40" s="14">
        <f t="shared" si="12"/>
        <v>1.7823628893929442E-2</v>
      </c>
      <c r="U40" s="14">
        <f t="shared" si="13"/>
        <v>2.9961639312126538E-2</v>
      </c>
      <c r="V40" s="244">
        <f t="shared" si="14"/>
        <v>1.2138010418197096E-2</v>
      </c>
      <c r="W40" s="14"/>
      <c r="X40" s="14">
        <f t="shared" si="9"/>
        <v>1.5323628893929441E-2</v>
      </c>
      <c r="Y40" s="14">
        <f t="shared" si="10"/>
        <v>2.7461639312126539E-2</v>
      </c>
      <c r="Z40" s="14"/>
      <c r="AA40" s="14">
        <f t="shared" si="15"/>
        <v>-1.0083407569626165E-4</v>
      </c>
      <c r="AB40" s="14">
        <f t="shared" si="16"/>
        <v>7.3049902802322011E-3</v>
      </c>
      <c r="AC40" s="14">
        <f t="shared" si="17"/>
        <v>1.0568844157063712E-4</v>
      </c>
      <c r="AD40" s="14">
        <f t="shared" si="18"/>
        <v>8.3455069599536831E-4</v>
      </c>
      <c r="AE40" s="14">
        <f t="shared" si="19"/>
        <v>3.9936150760951483E-3</v>
      </c>
      <c r="AF40" s="14"/>
      <c r="AG40" s="244">
        <f t="shared" si="11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3">
        <v>45382</v>
      </c>
      <c r="B41" s="248">
        <v>-1.32E-2</v>
      </c>
      <c r="C41" s="248">
        <v>-5.3172733534025624E-3</v>
      </c>
      <c r="D41" s="248">
        <v>1.3416666666666666E-3</v>
      </c>
      <c r="E41" s="248">
        <v>-1.5226213373471791E-2</v>
      </c>
      <c r="F41" s="234">
        <v>6.0503147934199645E-4</v>
      </c>
      <c r="G41" s="249"/>
      <c r="H41" s="248">
        <v>0.21541611389443036</v>
      </c>
      <c r="I41" s="248">
        <v>0.13194273259890565</v>
      </c>
      <c r="J41" s="248">
        <v>0.47323643434532325</v>
      </c>
      <c r="K41" s="248">
        <v>6.3767955022714262E-2</v>
      </c>
      <c r="L41" s="248">
        <v>0.11563676413862649</v>
      </c>
      <c r="M41" s="248"/>
      <c r="N41" s="248">
        <v>0.22512312017625422</v>
      </c>
      <c r="O41" s="248">
        <v>0.41572173068175855</v>
      </c>
      <c r="P41" s="248">
        <f t="shared" si="0"/>
        <v>0.3295354571644718</v>
      </c>
      <c r="Q41" s="248">
        <v>0.14699223536016809</v>
      </c>
      <c r="R41" s="248">
        <v>-0.11737254338265268</v>
      </c>
      <c r="S41" s="14"/>
      <c r="T41" s="14">
        <f t="shared" si="12"/>
        <v>-3.8111233373091372E-3</v>
      </c>
      <c r="U41" s="14">
        <f t="shared" si="13"/>
        <v>-7.0491537523431763E-3</v>
      </c>
      <c r="V41" s="244">
        <f t="shared" si="14"/>
        <v>-3.2380304150340391E-3</v>
      </c>
      <c r="W41" s="14"/>
      <c r="X41" s="14">
        <f t="shared" si="9"/>
        <v>-6.3111233373091373E-3</v>
      </c>
      <c r="Y41" s="14">
        <f t="shared" si="10"/>
        <v>-9.5491537523431768E-3</v>
      </c>
      <c r="Z41" s="14"/>
      <c r="AA41" s="14">
        <f t="shared" si="15"/>
        <v>-9.1137884744009641E-5</v>
      </c>
      <c r="AB41" s="14">
        <f t="shared" si="16"/>
        <v>-4.2741374252946497E-4</v>
      </c>
      <c r="AC41" s="14">
        <f t="shared" si="17"/>
        <v>-7.4046095877904647E-4</v>
      </c>
      <c r="AD41" s="14">
        <f t="shared" si="18"/>
        <v>-9.5001265324687659E-4</v>
      </c>
      <c r="AE41" s="14">
        <f t="shared" si="19"/>
        <v>-1.0290051757346425E-3</v>
      </c>
      <c r="AF41" s="14"/>
      <c r="AG41" s="244">
        <f t="shared" si="11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3">
        <v>45412</v>
      </c>
      <c r="B42" s="248">
        <v>3.7500000000000001E-4</v>
      </c>
      <c r="C42" s="248">
        <v>1.3007317083196541E-2</v>
      </c>
      <c r="D42" s="248">
        <v>-1.3333333333333333E-3</v>
      </c>
      <c r="E42" s="248">
        <v>-3.0020325002735881E-3</v>
      </c>
      <c r="F42" s="234">
        <v>2.934859069350205E-3</v>
      </c>
      <c r="G42" s="249"/>
      <c r="H42" s="248">
        <v>0.21551433435027972</v>
      </c>
      <c r="I42" s="248">
        <v>0.1317876109913593</v>
      </c>
      <c r="J42" s="248">
        <v>0.47022179859621072</v>
      </c>
      <c r="K42" s="248">
        <v>6.40836871116304E-2</v>
      </c>
      <c r="L42" s="248">
        <v>0.11839256895051979</v>
      </c>
      <c r="M42" s="248"/>
      <c r="N42" s="248">
        <v>0.24099479819442166</v>
      </c>
      <c r="O42" s="248">
        <v>0.28689116224317307</v>
      </c>
      <c r="P42" s="248">
        <f t="shared" si="0"/>
        <v>0.36664297554776393</v>
      </c>
      <c r="Q42" s="248">
        <v>0.1619243999578581</v>
      </c>
      <c r="R42" s="248">
        <v>-5.6453335943216665E-2</v>
      </c>
      <c r="S42" s="14"/>
      <c r="T42" s="14">
        <f t="shared" si="12"/>
        <v>1.3231429143362662E-3</v>
      </c>
      <c r="U42" s="14">
        <f t="shared" si="13"/>
        <v>2.6814151680074794E-3</v>
      </c>
      <c r="V42" s="244">
        <f t="shared" si="14"/>
        <v>1.3582722536712132E-3</v>
      </c>
      <c r="W42" s="14"/>
      <c r="X42" s="14">
        <f t="shared" si="9"/>
        <v>-1.1768570856637338E-3</v>
      </c>
      <c r="Y42" s="14">
        <f t="shared" si="10"/>
        <v>1.8141516800747933E-4</v>
      </c>
      <c r="Z42" s="14"/>
      <c r="AA42" s="14">
        <f t="shared" si="15"/>
        <v>-2.4159121247824593E-5</v>
      </c>
      <c r="AB42" s="14">
        <f t="shared" si="16"/>
        <v>1.8122569070349382E-3</v>
      </c>
      <c r="AC42" s="14">
        <f t="shared" si="17"/>
        <v>2.7515468318977136E-4</v>
      </c>
      <c r="AD42" s="14">
        <f t="shared" si="18"/>
        <v>-4.2317824575040654E-4</v>
      </c>
      <c r="AE42" s="14">
        <f t="shared" si="19"/>
        <v>-2.8180196955526575E-4</v>
      </c>
      <c r="AF42" s="14"/>
      <c r="AG42" s="244">
        <f t="shared" si="11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3">
        <v>45443</v>
      </c>
      <c r="B43" s="248">
        <v>-3.3399999999999999E-2</v>
      </c>
      <c r="C43" s="248">
        <v>-4.7502206291406758E-2</v>
      </c>
      <c r="D43" s="248">
        <v>-1.5633333333333332E-2</v>
      </c>
      <c r="E43" s="248">
        <v>-6.3771079249480195E-2</v>
      </c>
      <c r="F43" s="234">
        <v>-3.047628780697414E-3</v>
      </c>
      <c r="G43" s="249"/>
      <c r="H43" s="248">
        <v>0.19870504115473825</v>
      </c>
      <c r="I43" s="248">
        <v>0.14050726911205313</v>
      </c>
      <c r="J43" s="248">
        <v>0.46910803660185346</v>
      </c>
      <c r="K43" s="248">
        <v>6.8687465042213861E-2</v>
      </c>
      <c r="L43" s="248">
        <v>0.12299218808914117</v>
      </c>
      <c r="M43" s="248"/>
      <c r="N43" s="248">
        <v>0.23125223335692074</v>
      </c>
      <c r="O43" s="248">
        <v>0.41030415039719992</v>
      </c>
      <c r="P43" s="248">
        <f t="shared" si="0"/>
        <v>0.2894276309178051</v>
      </c>
      <c r="Q43" s="248">
        <v>7.3375741013198104E-2</v>
      </c>
      <c r="R43" s="248">
        <v>-4.3597556851238117E-3</v>
      </c>
      <c r="S43" s="14"/>
      <c r="T43" s="14">
        <f t="shared" si="12"/>
        <v>-2.5399984271787853E-2</v>
      </c>
      <c r="U43" s="14">
        <f t="shared" si="13"/>
        <v>-3.6404858896763544E-2</v>
      </c>
      <c r="V43" s="244">
        <f t="shared" si="14"/>
        <v>-1.1004874624975691E-2</v>
      </c>
      <c r="W43" s="14"/>
      <c r="X43" s="14">
        <f t="shared" si="9"/>
        <v>-2.7899984271787852E-2</v>
      </c>
      <c r="Y43" s="14">
        <f t="shared" si="10"/>
        <v>-3.8904858896763546E-2</v>
      </c>
      <c r="Z43" s="14"/>
      <c r="AA43" s="14">
        <f t="shared" si="15"/>
        <v>-2.603780495266037E-4</v>
      </c>
      <c r="AB43" s="14">
        <f t="shared" si="16"/>
        <v>-5.9631105703650787E-3</v>
      </c>
      <c r="AC43" s="14">
        <f t="shared" si="17"/>
        <v>-1.754875802796E-3</v>
      </c>
      <c r="AD43" s="14">
        <f t="shared" si="18"/>
        <v>-1.7989428256426915E-4</v>
      </c>
      <c r="AE43" s="14">
        <f t="shared" si="19"/>
        <v>-2.8466159197237328E-3</v>
      </c>
      <c r="AF43" s="14"/>
      <c r="AG43" s="244">
        <f t="shared" si="11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3">
        <v>45473</v>
      </c>
      <c r="B44" s="248">
        <v>1.5299999999999999E-2</v>
      </c>
      <c r="C44" s="248">
        <v>3.7874231847154438E-2</v>
      </c>
      <c r="D44" s="248">
        <v>-9.1583333333333343E-3</v>
      </c>
      <c r="E44" s="248">
        <v>2.5156797027642216E-2</v>
      </c>
      <c r="F44" s="234">
        <v>4.8240580014162699E-3</v>
      </c>
      <c r="G44" s="249"/>
      <c r="H44" s="248">
        <v>0.20989073060229954</v>
      </c>
      <c r="I44" s="248">
        <v>0.14348918752635634</v>
      </c>
      <c r="J44" s="248">
        <v>0.44983331980370678</v>
      </c>
      <c r="K44" s="248">
        <v>6.4226636247243798E-2</v>
      </c>
      <c r="L44" s="248">
        <v>0.13256012582039356</v>
      </c>
      <c r="M44" s="248"/>
      <c r="N44" s="248">
        <v>0.18725505937017103</v>
      </c>
      <c r="O44" s="248">
        <v>0.32166834740208267</v>
      </c>
      <c r="P44" s="248">
        <f t="shared" si="0"/>
        <v>0.2513730308711597</v>
      </c>
      <c r="Q44" s="248">
        <v>0.12431871465296725</v>
      </c>
      <c r="R44" s="248">
        <v>0.11538484770361934</v>
      </c>
      <c r="S44" s="14"/>
      <c r="T44" s="14">
        <f t="shared" si="12"/>
        <v>6.7813616344186796E-3</v>
      </c>
      <c r="U44" s="14">
        <f t="shared" si="13"/>
        <v>1.6429869837101652E-2</v>
      </c>
      <c r="V44" s="244">
        <f t="shared" si="14"/>
        <v>9.6485082026829712E-3</v>
      </c>
      <c r="W44" s="14"/>
      <c r="X44" s="14">
        <f t="shared" si="9"/>
        <v>4.2813616344186799E-3</v>
      </c>
      <c r="Y44" s="14">
        <f t="shared" si="10"/>
        <v>1.3929869837101651E-2</v>
      </c>
      <c r="Z44" s="14"/>
      <c r="AA44" s="14">
        <f t="shared" si="15"/>
        <v>-1.9282509738869529E-4</v>
      </c>
      <c r="AB44" s="14">
        <f t="shared" si="16"/>
        <v>5.5401014926302538E-3</v>
      </c>
      <c r="AC44" s="14">
        <f t="shared" si="17"/>
        <v>3.1633964687967316E-3</v>
      </c>
      <c r="AD44" s="14">
        <f t="shared" si="18"/>
        <v>1.1042181043888944E-3</v>
      </c>
      <c r="AE44" s="14">
        <f t="shared" si="19"/>
        <v>3.3617234255788961E-5</v>
      </c>
      <c r="AF44" s="14"/>
      <c r="AG44" s="244">
        <f t="shared" si="11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3">
        <v>45504</v>
      </c>
      <c r="B45" s="248">
        <v>2.9624999999999999E-2</v>
      </c>
      <c r="C45" s="248">
        <v>6.8807121092329906E-2</v>
      </c>
      <c r="D45" s="248">
        <v>4.9166666666666664E-3</v>
      </c>
      <c r="E45" s="248">
        <v>5.7472575517993139E-2</v>
      </c>
      <c r="F45" s="234">
        <v>7.6949197647998525E-3</v>
      </c>
      <c r="G45" s="249"/>
      <c r="H45" s="248">
        <v>0.22304230374314193</v>
      </c>
      <c r="I45" s="248">
        <v>0.14182852944286037</v>
      </c>
      <c r="J45" s="248">
        <v>0.43578054513451325</v>
      </c>
      <c r="K45" s="248">
        <v>6.2399191134482633E-2</v>
      </c>
      <c r="L45" s="248">
        <v>0.13694943054500186</v>
      </c>
      <c r="M45" s="248"/>
      <c r="N45" s="248">
        <v>0.24770372213360226</v>
      </c>
      <c r="O45" s="248">
        <v>0.33544326959919613</v>
      </c>
      <c r="P45" s="248">
        <f t="shared" si="0"/>
        <v>0.26736304898881025</v>
      </c>
      <c r="Q45" s="248">
        <v>0.16156736834136678</v>
      </c>
      <c r="R45" s="248">
        <v>-1.2077409062975386E-2</v>
      </c>
      <c r="S45" s="14"/>
      <c r="T45" s="14">
        <f t="shared" si="12"/>
        <v>2.31490858329743E-2</v>
      </c>
      <c r="U45" s="14">
        <f t="shared" si="13"/>
        <v>4.0926401514524924E-2</v>
      </c>
      <c r="V45" s="244">
        <f t="shared" si="14"/>
        <v>1.7777315681550623E-2</v>
      </c>
      <c r="W45" s="14"/>
      <c r="X45" s="14">
        <f t="shared" si="9"/>
        <v>2.0649085832974302E-2</v>
      </c>
      <c r="Y45" s="14">
        <f t="shared" si="10"/>
        <v>3.8426401514524922E-2</v>
      </c>
      <c r="Z45" s="14"/>
      <c r="AA45" s="14">
        <f t="shared" si="15"/>
        <v>1.5970522873373009E-4</v>
      </c>
      <c r="AB45" s="14">
        <f t="shared" si="16"/>
        <v>8.840068632788951E-3</v>
      </c>
      <c r="AC45" s="14">
        <f t="shared" si="17"/>
        <v>3.0706583846684577E-3</v>
      </c>
      <c r="AD45" s="14">
        <f t="shared" si="18"/>
        <v>3.4037979074426081E-3</v>
      </c>
      <c r="AE45" s="14">
        <f t="shared" si="19"/>
        <v>2.3030855279168776E-3</v>
      </c>
      <c r="AF45" s="14"/>
      <c r="AG45" s="244">
        <f t="shared" si="11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3">
        <v>45535</v>
      </c>
      <c r="B46" s="248">
        <v>1.5075E-2</v>
      </c>
      <c r="C46" s="248">
        <v>3.2288258872841834E-2</v>
      </c>
      <c r="D46" s="248">
        <v>6.3416666666666665E-3</v>
      </c>
      <c r="E46" s="248">
        <v>8.609851079016996E-3</v>
      </c>
      <c r="F46" s="234">
        <v>5.4078110605161062E-3</v>
      </c>
      <c r="G46" s="249"/>
      <c r="H46" s="248">
        <v>0.23194325597492788</v>
      </c>
      <c r="I46" s="248">
        <v>0.13101432176761632</v>
      </c>
      <c r="J46" s="248">
        <v>0.43824077069079531</v>
      </c>
      <c r="K46" s="248">
        <v>5.868377246706994E-2</v>
      </c>
      <c r="L46" s="248">
        <v>0.1401178790995905</v>
      </c>
      <c r="M46" s="248"/>
      <c r="N46" s="248">
        <v>0.24213527304383969</v>
      </c>
      <c r="O46" s="248">
        <v>0.31234910993534909</v>
      </c>
      <c r="P46" s="248">
        <f t="shared" si="0"/>
        <v>0.3202859741640397</v>
      </c>
      <c r="Q46" s="248">
        <v>0.10987650205936414</v>
      </c>
      <c r="R46" s="248">
        <v>1.535314079740735E-2</v>
      </c>
      <c r="S46" s="14"/>
      <c r="T46" s="14">
        <f t="shared" si="12"/>
        <v>1.1768935366635971E-2</v>
      </c>
      <c r="U46" s="14">
        <f t="shared" si="13"/>
        <v>1.6795592252019431E-2</v>
      </c>
      <c r="V46" s="244">
        <f t="shared" si="14"/>
        <v>5.0266568853834601E-3</v>
      </c>
      <c r="W46" s="14"/>
      <c r="X46" s="14">
        <f t="shared" si="9"/>
        <v>9.2689353666359706E-3</v>
      </c>
      <c r="Y46" s="14">
        <f t="shared" si="10"/>
        <v>1.4295592252019431E-2</v>
      </c>
      <c r="Z46" s="14"/>
      <c r="AA46" s="14">
        <f t="shared" si="15"/>
        <v>3.3695467174171874E-5</v>
      </c>
      <c r="AB46" s="14">
        <f t="shared" si="16"/>
        <v>3.7208671813430193E-3</v>
      </c>
      <c r="AC46" s="14">
        <f t="shared" si="17"/>
        <v>6.401723752009088E-4</v>
      </c>
      <c r="AD46" s="14">
        <f t="shared" si="18"/>
        <v>-1.6172214769534355E-4</v>
      </c>
      <c r="AE46" s="14">
        <f t="shared" si="19"/>
        <v>7.9364400936070138E-4</v>
      </c>
      <c r="AF46" s="14"/>
      <c r="AG46" s="244">
        <f t="shared" si="11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3">
        <v>45565</v>
      </c>
      <c r="B47" s="248">
        <v>1.3950000000000001E-2</v>
      </c>
      <c r="C47" s="248">
        <v>4.1183681972947681E-2</v>
      </c>
      <c r="D47" s="248">
        <v>-1.4808333333333333E-2</v>
      </c>
      <c r="E47" s="248">
        <v>3.6975697279228684E-2</v>
      </c>
      <c r="F47" s="234">
        <v>5.2007517343631493E-3</v>
      </c>
      <c r="G47" s="249"/>
      <c r="H47" s="248">
        <v>0.24244621231870322</v>
      </c>
      <c r="I47" s="248">
        <v>0.14239043242185806</v>
      </c>
      <c r="J47" s="248">
        <v>0.40817527709467138</v>
      </c>
      <c r="K47" s="248">
        <v>5.5781025055975493E-2</v>
      </c>
      <c r="L47" s="248">
        <v>0.15120705310879176</v>
      </c>
      <c r="M47" s="248"/>
      <c r="N47" s="248">
        <v>0.23049555769141361</v>
      </c>
      <c r="O47" s="248">
        <v>0.50948737611416228</v>
      </c>
      <c r="P47" s="248">
        <f t="shared" si="0"/>
        <v>0.37810556750915753</v>
      </c>
      <c r="Q47" s="248">
        <v>9.8824795807221977E-2</v>
      </c>
      <c r="R47" s="248">
        <v>-0.2169132971219554</v>
      </c>
      <c r="S47" s="14"/>
      <c r="T47" s="14">
        <f t="shared" si="12"/>
        <v>6.050824025152929E-3</v>
      </c>
      <c r="U47" s="14">
        <f t="shared" si="13"/>
        <v>2.1124869345283674E-2</v>
      </c>
      <c r="V47" s="244">
        <f t="shared" si="14"/>
        <v>1.5074045320130746E-2</v>
      </c>
      <c r="W47" s="14"/>
      <c r="X47" s="14">
        <f t="shared" si="9"/>
        <v>3.550824025152929E-3</v>
      </c>
      <c r="Y47" s="14">
        <f t="shared" si="10"/>
        <v>1.8624869345283675E-2</v>
      </c>
      <c r="Z47" s="14"/>
      <c r="AA47" s="14">
        <f t="shared" si="15"/>
        <v>-9.4400323915581116E-5</v>
      </c>
      <c r="AB47" s="14">
        <f t="shared" si="16"/>
        <v>1.2897164775811331E-2</v>
      </c>
      <c r="AC47" s="14">
        <f t="shared" si="17"/>
        <v>6.2722880396821629E-4</v>
      </c>
      <c r="AD47" s="14">
        <f t="shared" si="18"/>
        <v>1.3311231548597906E-3</v>
      </c>
      <c r="AE47" s="14">
        <f t="shared" si="19"/>
        <v>3.1292890940698729E-4</v>
      </c>
      <c r="AF47" s="14"/>
      <c r="AG47" s="244">
        <f t="shared" si="11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3">
        <v>45596</v>
      </c>
      <c r="B48" s="248">
        <v>-6.5500000000000003E-3</v>
      </c>
      <c r="C48" s="248">
        <v>4.280608759971073E-3</v>
      </c>
      <c r="D48" s="248">
        <v>-1.2758333333333333E-2</v>
      </c>
      <c r="E48" s="248">
        <v>-7.1054491467245212E-3</v>
      </c>
      <c r="F48" s="234">
        <v>1.176440441918021E-3</v>
      </c>
      <c r="G48" s="249"/>
      <c r="H48" s="248">
        <v>0.23945197328562995</v>
      </c>
      <c r="I48" s="248">
        <v>0.14999965138679183</v>
      </c>
      <c r="J48" s="248">
        <v>0.39285374763560876</v>
      </c>
      <c r="K48" s="248">
        <v>5.7451274170830714E-2</v>
      </c>
      <c r="L48" s="248">
        <v>0.16024335352113872</v>
      </c>
      <c r="M48" s="248"/>
      <c r="N48" s="248">
        <v>0.2616327903517397</v>
      </c>
      <c r="O48" s="248">
        <v>0.3611991987534966</v>
      </c>
      <c r="P48" s="248">
        <f t="shared" si="0"/>
        <v>0.25287565059225947</v>
      </c>
      <c r="Q48" s="248">
        <v>7.7554234781651146E-2</v>
      </c>
      <c r="R48" s="248">
        <v>4.6738125520853102E-2</v>
      </c>
      <c r="S48" s="14"/>
      <c r="T48" s="14">
        <f t="shared" si="12"/>
        <v>-6.1581800122908073E-3</v>
      </c>
      <c r="U48" s="14">
        <f t="shared" si="13"/>
        <v>-3.889887214976706E-3</v>
      </c>
      <c r="V48" s="244">
        <f t="shared" si="14"/>
        <v>2.2682927973141013E-3</v>
      </c>
      <c r="W48" s="14"/>
      <c r="X48" s="14">
        <f t="shared" si="9"/>
        <v>-8.658180012290807E-3</v>
      </c>
      <c r="Y48" s="14">
        <f t="shared" si="10"/>
        <v>-6.3898872149767061E-3</v>
      </c>
      <c r="Z48" s="14"/>
      <c r="AA48" s="14">
        <f t="shared" si="15"/>
        <v>-8.6908874702229778E-6</v>
      </c>
      <c r="AB48" s="14">
        <f t="shared" si="16"/>
        <v>2.204667463758349E-3</v>
      </c>
      <c r="AC48" s="14">
        <f t="shared" si="17"/>
        <v>9.2387690207387481E-4</v>
      </c>
      <c r="AD48" s="14">
        <f t="shared" si="18"/>
        <v>-1.9042914097366914E-5</v>
      </c>
      <c r="AE48" s="14">
        <f t="shared" si="19"/>
        <v>-8.3251776695053158E-4</v>
      </c>
      <c r="AF48" s="14"/>
      <c r="AG48" s="244">
        <f t="shared" si="11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3">
        <v>45626</v>
      </c>
      <c r="B49" s="248">
        <v>-3.7000000000000002E-3</v>
      </c>
      <c r="C49" s="248">
        <v>6.4491219939634917E-3</v>
      </c>
      <c r="D49" s="248">
        <v>1.0566666666666667E-2</v>
      </c>
      <c r="E49" s="248">
        <v>-8.8434226787396861E-3</v>
      </c>
      <c r="F49" s="234">
        <v>2.2753004003342359E-3</v>
      </c>
      <c r="G49" s="249"/>
      <c r="H49" s="248">
        <v>0.23355621841227173</v>
      </c>
      <c r="I49" s="248">
        <v>0.14909330939234544</v>
      </c>
      <c r="J49" s="248">
        <v>0.40537630552636428</v>
      </c>
      <c r="K49" s="248">
        <v>5.8960272336881427E-2</v>
      </c>
      <c r="L49" s="248">
        <v>0.15301389433213719</v>
      </c>
      <c r="M49" s="248"/>
      <c r="N49" s="248">
        <v>0.27861023605641444</v>
      </c>
      <c r="O49" s="248">
        <v>0.2211483528401082</v>
      </c>
      <c r="P49" s="248">
        <f t="shared" si="0"/>
        <v>0.27240822984640001</v>
      </c>
      <c r="Q49" s="248">
        <v>0.11142782928396697</v>
      </c>
      <c r="R49" s="248">
        <v>0.11640535197311042</v>
      </c>
      <c r="S49" s="14"/>
      <c r="T49" s="14">
        <f t="shared" si="12"/>
        <v>4.2075811931934571E-3</v>
      </c>
      <c r="U49" s="14">
        <f t="shared" si="13"/>
        <v>2.5532555462777318E-3</v>
      </c>
      <c r="V49" s="244">
        <f t="shared" si="14"/>
        <v>-1.6543256469157253E-3</v>
      </c>
      <c r="W49" s="14"/>
      <c r="X49" s="14">
        <f t="shared" si="9"/>
        <v>1.707581193193457E-3</v>
      </c>
      <c r="Y49" s="14">
        <f t="shared" si="10"/>
        <v>5.32555462777317E-5</v>
      </c>
      <c r="Z49" s="14"/>
      <c r="AA49" s="14">
        <f t="shared" si="15"/>
        <v>-3.5626830260062915E-4</v>
      </c>
      <c r="AB49" s="14">
        <f t="shared" si="16"/>
        <v>1.6151431978941776E-4</v>
      </c>
      <c r="AC49" s="14">
        <f t="shared" si="17"/>
        <v>-8.4555535849214721E-4</v>
      </c>
      <c r="AD49" s="14">
        <f t="shared" si="18"/>
        <v>-6.8475428886728598E-4</v>
      </c>
      <c r="AE49" s="14">
        <f t="shared" si="19"/>
        <v>7.0737983254920637E-5</v>
      </c>
      <c r="AF49" s="14"/>
      <c r="AG49" s="244">
        <f t="shared" si="11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3">
        <v>45657</v>
      </c>
      <c r="B50" s="248">
        <v>5.8250000000000003E-3</v>
      </c>
      <c r="C50" s="248">
        <v>2.4233071130979805E-2</v>
      </c>
      <c r="D50" s="248">
        <v>1.4166666666666668E-4</v>
      </c>
      <c r="E50" s="248">
        <v>1.0524475595292945E-2</v>
      </c>
      <c r="F50" s="234">
        <v>3.7899259343644369E-3</v>
      </c>
      <c r="G50" s="249"/>
      <c r="H50" s="248">
        <v>0.23570087011954821</v>
      </c>
      <c r="I50" s="248">
        <v>0.14969288196010758</v>
      </c>
      <c r="J50" s="248">
        <v>0.40001029392544374</v>
      </c>
      <c r="K50" s="248">
        <v>5.8728327302773671E-2</v>
      </c>
      <c r="L50" s="248">
        <v>0.15586762669212686</v>
      </c>
      <c r="M50" s="248"/>
      <c r="N50" s="248">
        <v>0.23548556205343996</v>
      </c>
      <c r="O50" s="248">
        <v>0.37053516500341949</v>
      </c>
      <c r="P50" s="248">
        <f t="shared" si="0"/>
        <v>0.26473460281340588</v>
      </c>
      <c r="Q50" s="248">
        <v>9.8634625549997856E-2</v>
      </c>
      <c r="R50" s="248">
        <v>3.0610044579736817E-2</v>
      </c>
      <c r="S50" s="14"/>
      <c r="T50" s="14">
        <f t="shared" si="12"/>
        <v>6.2659555579385341E-3</v>
      </c>
      <c r="U50" s="14">
        <f t="shared" si="13"/>
        <v>1.1542499989006997E-2</v>
      </c>
      <c r="V50" s="244">
        <f t="shared" si="14"/>
        <v>5.2765444310684632E-3</v>
      </c>
      <c r="W50" s="14"/>
      <c r="X50" s="14">
        <f t="shared" si="9"/>
        <v>3.765955557938534E-3</v>
      </c>
      <c r="Y50" s="14">
        <f t="shared" si="10"/>
        <v>9.0424999890069968E-3</v>
      </c>
      <c r="Z50" s="14"/>
      <c r="AA50" s="14">
        <f t="shared" si="15"/>
        <v>9.4941288419432361E-8</v>
      </c>
      <c r="AB50" s="14">
        <f t="shared" si="16"/>
        <v>3.9678988228534781E-3</v>
      </c>
      <c r="AC50" s="14">
        <f t="shared" si="17"/>
        <v>8.2846741233657791E-4</v>
      </c>
      <c r="AD50" s="14">
        <f t="shared" si="18"/>
        <v>1.6994177070244542E-4</v>
      </c>
      <c r="AE50" s="14">
        <f t="shared" si="19"/>
        <v>3.1014148388754272E-4</v>
      </c>
      <c r="AF50" s="14"/>
      <c r="AG50" s="244">
        <f t="shared" si="11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3">
        <v>45688</v>
      </c>
      <c r="B51" s="248">
        <v>-4.9249999999999997E-3</v>
      </c>
      <c r="C51" s="248">
        <v>7.7867756826512039E-3</v>
      </c>
      <c r="D51" s="248">
        <v>9.116666666666667E-3</v>
      </c>
      <c r="E51" s="248">
        <v>-3.9931153013642584E-3</v>
      </c>
      <c r="F51" s="234">
        <v>2.3489595380995886E-3</v>
      </c>
      <c r="G51" s="249"/>
      <c r="H51" s="248">
        <v>0.22795545251452262</v>
      </c>
      <c r="I51" s="248">
        <v>0.1529505152955096</v>
      </c>
      <c r="J51" s="248">
        <v>0.4090310748362353</v>
      </c>
      <c r="K51" s="248">
        <v>6.1439425592740023E-2</v>
      </c>
      <c r="L51" s="248">
        <v>0.14862353176099252</v>
      </c>
      <c r="M51" s="248"/>
      <c r="N51" s="248">
        <v>0.23577321092708867</v>
      </c>
      <c r="O51" s="248">
        <v>0.30788080780663563</v>
      </c>
      <c r="P51" s="248">
        <f t="shared" si="0"/>
        <v>0.18095363663727393</v>
      </c>
      <c r="Q51" s="248">
        <v>0.16372637381884125</v>
      </c>
      <c r="R51" s="248">
        <v>0.1116659708101605</v>
      </c>
      <c r="S51" s="14"/>
      <c r="T51" s="14">
        <f t="shared" si="12"/>
        <v>3.9010866671829961E-3</v>
      </c>
      <c r="U51" s="14">
        <f t="shared" si="13"/>
        <v>2.4944302695937321E-3</v>
      </c>
      <c r="V51" s="244">
        <f t="shared" si="14"/>
        <v>-1.4066563975892641E-3</v>
      </c>
      <c r="W51" s="14"/>
      <c r="X51" s="14">
        <f t="shared" si="9"/>
        <v>1.4010866671829961E-3</v>
      </c>
      <c r="Y51" s="14">
        <f t="shared" si="10"/>
        <v>-5.5697304062679934E-6</v>
      </c>
      <c r="Z51" s="14"/>
      <c r="AA51" s="14">
        <f t="shared" si="15"/>
        <v>-6.9000213292406872E-5</v>
      </c>
      <c r="AB51" s="14">
        <f t="shared" si="16"/>
        <v>6.0201093577375877E-4</v>
      </c>
      <c r="AC51" s="14">
        <f t="shared" si="17"/>
        <v>-1.189556125003976E-3</v>
      </c>
      <c r="AD51" s="14">
        <f t="shared" si="18"/>
        <v>-8.0747382804317945E-4</v>
      </c>
      <c r="AE51" s="14">
        <f t="shared" si="19"/>
        <v>5.7362832976539962E-5</v>
      </c>
      <c r="AF51" s="14"/>
      <c r="AG51" s="244">
        <f t="shared" si="11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3">
        <v>45716</v>
      </c>
      <c r="B52" s="248">
        <v>3.8999999999999998E-3</v>
      </c>
      <c r="C52" s="248">
        <v>1.6201566736816313E-2</v>
      </c>
      <c r="D52" s="248">
        <v>-2.4833333333333331E-3</v>
      </c>
      <c r="E52" s="248">
        <v>1.5614668069659568E-3</v>
      </c>
      <c r="F52" s="234">
        <v>2.4323475247473112E-3</v>
      </c>
      <c r="G52" s="249"/>
      <c r="H52" s="248">
        <v>0.2311502544010246</v>
      </c>
      <c r="I52" s="248">
        <v>0.15469197982341024</v>
      </c>
      <c r="J52" s="248">
        <v>0.40433602880598341</v>
      </c>
      <c r="K52" s="248">
        <v>5.8061662096225555E-2</v>
      </c>
      <c r="L52" s="248">
        <v>0.15176007487335605</v>
      </c>
      <c r="M52" s="248"/>
      <c r="N52" s="248">
        <v>0.20556518280051667</v>
      </c>
      <c r="O52" s="248">
        <v>0.3268065380782445</v>
      </c>
      <c r="P52" s="248">
        <f t="shared" si="0"/>
        <v>7.2972370497000449E-2</v>
      </c>
      <c r="Q52" s="248">
        <v>0.20854148401405931</v>
      </c>
      <c r="R52" s="248">
        <v>0.18611442461017902</v>
      </c>
      <c r="S52" s="14"/>
      <c r="T52" s="14">
        <f t="shared" si="12"/>
        <v>2.8634318893158979E-3</v>
      </c>
      <c r="U52" s="14">
        <f t="shared" si="13"/>
        <v>6.6935929947407576E-3</v>
      </c>
      <c r="V52" s="244">
        <f t="shared" si="14"/>
        <v>3.8301611054248597E-3</v>
      </c>
      <c r="W52" s="14"/>
      <c r="X52" s="14">
        <f t="shared" si="9"/>
        <v>3.6343188931589783E-4</v>
      </c>
      <c r="Y52" s="14">
        <f t="shared" si="10"/>
        <v>4.193592994740758E-3</v>
      </c>
      <c r="Z52" s="14"/>
      <c r="AA52" s="14">
        <f t="shared" si="15"/>
        <v>-2.6520669330655984E-5</v>
      </c>
      <c r="AB52" s="14">
        <f t="shared" si="16"/>
        <v>2.2956871872209452E-3</v>
      </c>
      <c r="AC52" s="14">
        <f t="shared" si="17"/>
        <v>1.7717236842962928E-3</v>
      </c>
      <c r="AD52" s="14">
        <f t="shared" si="18"/>
        <v>-1.9591947373525691E-4</v>
      </c>
      <c r="AE52" s="14">
        <f t="shared" si="19"/>
        <v>-1.4809623026465323E-5</v>
      </c>
      <c r="AF52" s="14"/>
      <c r="AG52" s="244">
        <f t="shared" si="11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3">
        <v>45747</v>
      </c>
      <c r="B53" s="248">
        <v>1.4449999999999999E-2</v>
      </c>
      <c r="C53" s="248">
        <v>3.8241038463159932E-2</v>
      </c>
      <c r="D53" s="248">
        <v>1.6566666666666667E-2</v>
      </c>
      <c r="E53" s="248">
        <v>2.4265410259653196E-2</v>
      </c>
      <c r="F53" s="234">
        <v>5.252889472619573E-3</v>
      </c>
      <c r="G53" s="249"/>
      <c r="H53" s="248">
        <v>0.23455561909136186</v>
      </c>
      <c r="I53" s="248">
        <v>0.15114895897134756</v>
      </c>
      <c r="J53" s="248">
        <v>0.41357680804938624</v>
      </c>
      <c r="K53" s="248">
        <v>5.6622295561095042E-2</v>
      </c>
      <c r="L53" s="248">
        <v>0.1440963183268093</v>
      </c>
      <c r="M53" s="248"/>
      <c r="N53" s="248">
        <v>0.27081373157571825</v>
      </c>
      <c r="O53" s="248">
        <v>0.36853875465199432</v>
      </c>
      <c r="P53" s="248">
        <f t="shared" si="0"/>
        <v>0.19078389786560651</v>
      </c>
      <c r="Q53" s="248">
        <v>0.11337027563523716</v>
      </c>
      <c r="R53" s="248">
        <v>5.6493340271443815E-2</v>
      </c>
      <c r="S53" s="14"/>
      <c r="T53" s="14">
        <f t="shared" si="12"/>
        <v>1.8151896234793675E-2</v>
      </c>
      <c r="U53" s="14">
        <f t="shared" si="13"/>
        <v>2.4214945876311962E-2</v>
      </c>
      <c r="V53" s="244">
        <f t="shared" si="14"/>
        <v>6.0630496415182873E-3</v>
      </c>
      <c r="W53" s="14"/>
      <c r="X53" s="14">
        <f t="shared" si="9"/>
        <v>1.5651896234793676E-2</v>
      </c>
      <c r="Y53" s="14">
        <f t="shared" si="10"/>
        <v>2.1714945876311963E-2</v>
      </c>
      <c r="Z53" s="14"/>
      <c r="AA53" s="14">
        <f t="shared" si="15"/>
        <v>-1.342237700865645E-4</v>
      </c>
      <c r="AB53" s="14">
        <f t="shared" si="16"/>
        <v>4.3671745244239935E-3</v>
      </c>
      <c r="AC53" s="14">
        <f t="shared" si="17"/>
        <v>3.5317790879239234E-4</v>
      </c>
      <c r="AD53" s="14">
        <f t="shared" si="18"/>
        <v>3.4692957206571652E-4</v>
      </c>
      <c r="AE53" s="14">
        <f t="shared" si="19"/>
        <v>1.129991406322749E-3</v>
      </c>
      <c r="AF53" s="14"/>
      <c r="AG53" s="244">
        <f t="shared" si="11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3">
        <v>45777</v>
      </c>
      <c r="B54" s="248">
        <v>1.5775000000000001E-2</v>
      </c>
      <c r="C54" s="248">
        <v>5.0001889052265318E-2</v>
      </c>
      <c r="D54" s="248">
        <v>7.2166666666666664E-3</v>
      </c>
      <c r="E54" s="248">
        <v>4.5562111437863977E-2</v>
      </c>
      <c r="F54" s="234">
        <v>7.0344416390918192E-3</v>
      </c>
      <c r="G54" s="249"/>
      <c r="H54" s="248">
        <v>0.23769856571892925</v>
      </c>
      <c r="I54" s="248">
        <v>0.15727584491139038</v>
      </c>
      <c r="J54" s="248">
        <v>0.40562234894414101</v>
      </c>
      <c r="K54" s="248">
        <v>5.7812811917609105E-2</v>
      </c>
      <c r="L54" s="248">
        <v>0.14159042850793019</v>
      </c>
      <c r="M54" s="248"/>
      <c r="N54" s="248">
        <v>0.26515040480389906</v>
      </c>
      <c r="O54" s="248">
        <v>0.37221409762340824</v>
      </c>
      <c r="P54" s="248">
        <f t="shared" si="0"/>
        <v>0.37728358967504139</v>
      </c>
      <c r="Q54" s="248">
        <v>0.15290321278567548</v>
      </c>
      <c r="R54" s="248">
        <v>-0.16755130488802417</v>
      </c>
      <c r="S54" s="14"/>
      <c r="T54" s="14">
        <f t="shared" si="12"/>
        <v>1.8171108892076366E-2</v>
      </c>
      <c r="U54" s="14">
        <f t="shared" si="13"/>
        <v>3.1304848898684325E-2</v>
      </c>
      <c r="V54" s="244">
        <f t="shared" si="14"/>
        <v>1.3133740006607959E-2</v>
      </c>
      <c r="W54" s="14"/>
      <c r="X54" s="14">
        <f t="shared" si="9"/>
        <v>1.5671108892076367E-2</v>
      </c>
      <c r="Y54" s="14">
        <f t="shared" si="10"/>
        <v>2.8804848898684326E-2</v>
      </c>
      <c r="Z54" s="14"/>
      <c r="AA54" s="14">
        <f t="shared" si="15"/>
        <v>-6.5777595735345675E-5</v>
      </c>
      <c r="AB54" s="14">
        <f t="shared" si="16"/>
        <v>6.8416522700913765E-3</v>
      </c>
      <c r="AC54" s="14">
        <f t="shared" si="17"/>
        <v>3.1043530115314541E-4</v>
      </c>
      <c r="AD54" s="14">
        <f t="shared" si="18"/>
        <v>2.6046214122571703E-3</v>
      </c>
      <c r="AE54" s="14">
        <f t="shared" si="19"/>
        <v>3.4428086188416037E-3</v>
      </c>
      <c r="AF54" s="14"/>
      <c r="AG54" s="244">
        <f t="shared" si="11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3">
        <v>45808</v>
      </c>
      <c r="B55" s="248">
        <v>2.075E-3</v>
      </c>
      <c r="C55" s="248">
        <v>1.4320887907415453E-2</v>
      </c>
      <c r="D55" s="248">
        <v>-2.4083333333333335E-3</v>
      </c>
      <c r="E55" s="248">
        <v>-2.0248908518357596E-3</v>
      </c>
      <c r="F55" s="234">
        <v>2.5661378796467032E-3</v>
      </c>
      <c r="G55" s="249"/>
      <c r="H55" s="248">
        <v>0.23938146781661154</v>
      </c>
      <c r="I55" s="248">
        <v>0.15703318353854309</v>
      </c>
      <c r="J55" s="248">
        <v>0.40122878952655461</v>
      </c>
      <c r="K55" s="248">
        <v>5.6836297075055754E-2</v>
      </c>
      <c r="L55" s="248">
        <v>0.14552026204323493</v>
      </c>
      <c r="M55" s="248"/>
      <c r="N55" s="248">
        <v>0.21855459964736904</v>
      </c>
      <c r="O55" s="248">
        <v>0.43581700934558365</v>
      </c>
      <c r="P55" s="248">
        <f t="shared" si="0"/>
        <v>0.2293950948567873</v>
      </c>
      <c r="Q55" s="248">
        <v>0.17764794707370571</v>
      </c>
      <c r="R55" s="248">
        <v>-6.1414650923445668E-2</v>
      </c>
      <c r="S55" s="14"/>
      <c r="T55" s="14">
        <f t="shared" si="12"/>
        <v>2.0376162554955161E-3</v>
      </c>
      <c r="U55" s="14">
        <f t="shared" si="13"/>
        <v>5.6250113148277811E-3</v>
      </c>
      <c r="V55" s="244">
        <f t="shared" si="14"/>
        <v>3.587395059332265E-3</v>
      </c>
      <c r="W55" s="14"/>
      <c r="X55" s="14">
        <f t="shared" si="9"/>
        <v>-4.6238374450448391E-4</v>
      </c>
      <c r="Y55" s="14">
        <f t="shared" si="10"/>
        <v>3.1250113148277811E-3</v>
      </c>
      <c r="Z55" s="14"/>
      <c r="AA55" s="14">
        <f t="shared" si="15"/>
        <v>-7.7858631846752976E-7</v>
      </c>
      <c r="AB55" s="14">
        <f t="shared" si="16"/>
        <v>3.4243774645494065E-3</v>
      </c>
      <c r="AC55" s="14">
        <f t="shared" si="17"/>
        <v>7.6396394416399405E-4</v>
      </c>
      <c r="AD55" s="14">
        <f t="shared" si="18"/>
        <v>-4.9079818676793399E-4</v>
      </c>
      <c r="AE55" s="14">
        <f t="shared" si="19"/>
        <v>-1.0936957629473455E-4</v>
      </c>
      <c r="AF55" s="14"/>
      <c r="AG55" s="244">
        <f t="shared" si="11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3">
        <v>45838</v>
      </c>
      <c r="B56" s="248">
        <v>-4.4250000000000001E-3</v>
      </c>
      <c r="C56" s="248">
        <v>8.4368711795948913E-3</v>
      </c>
      <c r="D56" s="248">
        <v>-1.0258333333333333E-2</v>
      </c>
      <c r="E56" s="248">
        <v>-4.9179243074768848E-3</v>
      </c>
      <c r="F56" s="234">
        <v>2.0068667537282456E-3</v>
      </c>
      <c r="G56" s="249"/>
      <c r="H56" s="248">
        <v>0.23694721345560243</v>
      </c>
      <c r="I56" s="248">
        <v>0.16188712339518488</v>
      </c>
      <c r="J56" s="248">
        <v>0.38771493901610082</v>
      </c>
      <c r="K56" s="248">
        <v>5.9351023097204081E-2</v>
      </c>
      <c r="L56" s="248">
        <v>0.15409970103590789</v>
      </c>
      <c r="M56" s="248"/>
      <c r="N56" s="248">
        <v>0.24539043137457772</v>
      </c>
      <c r="O56" s="248">
        <v>0.31942516458996933</v>
      </c>
      <c r="P56" s="248">
        <f t="shared" si="0"/>
        <v>0.18896229301166889</v>
      </c>
      <c r="Q56" s="248">
        <v>0.17679094886270635</v>
      </c>
      <c r="R56" s="248">
        <v>6.9431162161077697E-2</v>
      </c>
      <c r="S56" s="14"/>
      <c r="T56" s="14">
        <f t="shared" si="12"/>
        <v>-3.6426059689557864E-3</v>
      </c>
      <c r="U56" s="14">
        <f t="shared" si="13"/>
        <v>-1.0594472965507677E-3</v>
      </c>
      <c r="V56" s="244">
        <f t="shared" si="14"/>
        <v>2.5831586724050187E-3</v>
      </c>
      <c r="W56" s="14"/>
      <c r="X56" s="14">
        <f t="shared" si="9"/>
        <v>-6.142605968955786E-3</v>
      </c>
      <c r="Y56" s="14">
        <f t="shared" si="10"/>
        <v>-3.5594472965507678E-3</v>
      </c>
      <c r="Z56" s="14"/>
      <c r="AA56" s="14">
        <f t="shared" si="15"/>
        <v>-6.6059233026118125E-6</v>
      </c>
      <c r="AB56" s="14">
        <f t="shared" si="16"/>
        <v>1.902977168639834E-3</v>
      </c>
      <c r="AC56" s="14">
        <f t="shared" si="17"/>
        <v>1.314893318913964E-3</v>
      </c>
      <c r="AD56" s="14">
        <f t="shared" si="18"/>
        <v>-1.497732910033015E-4</v>
      </c>
      <c r="AE56" s="14">
        <f t="shared" si="19"/>
        <v>-4.7833260084286574E-4</v>
      </c>
      <c r="AF56" s="14"/>
      <c r="AG56" s="244">
        <f t="shared" si="11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3">
        <v>45869</v>
      </c>
      <c r="B57" s="248">
        <v>5.0000000000000002E-5</v>
      </c>
      <c r="C57" s="248">
        <v>1.1699246064577163E-2</v>
      </c>
      <c r="D57" s="248">
        <v>5.1166666666666661E-3</v>
      </c>
      <c r="E57" s="248">
        <v>-6.6931745375123398E-3</v>
      </c>
      <c r="F57" s="234">
        <v>3.3793823996725409E-3</v>
      </c>
      <c r="G57" s="249"/>
      <c r="H57" s="248">
        <v>0.23523916989346488</v>
      </c>
      <c r="I57" s="248">
        <v>0.15801523859039429</v>
      </c>
      <c r="J57" s="248">
        <v>0.39271956727399238</v>
      </c>
      <c r="K57" s="248">
        <v>6.034884488804769E-2</v>
      </c>
      <c r="L57" s="248">
        <v>0.15367717935410063</v>
      </c>
      <c r="M57" s="248"/>
      <c r="N57" s="248">
        <v>0.21775110224916588</v>
      </c>
      <c r="O57" s="248">
        <v>0.34390195679103036</v>
      </c>
      <c r="P57" s="248">
        <f t="shared" si="0"/>
        <v>0.26118558283978366</v>
      </c>
      <c r="Q57" s="248">
        <v>0.10899561459298517</v>
      </c>
      <c r="R57" s="248">
        <v>6.8165743527034972E-2</v>
      </c>
      <c r="S57" s="14"/>
      <c r="T57" s="14">
        <f t="shared" si="12"/>
        <v>3.9852448391027653E-3</v>
      </c>
      <c r="U57" s="14">
        <f t="shared" si="13"/>
        <v>4.8715121768721096E-3</v>
      </c>
      <c r="V57" s="244">
        <f t="shared" si="14"/>
        <v>8.8626733776934422E-4</v>
      </c>
      <c r="W57" s="14"/>
      <c r="X57" s="14">
        <f t="shared" si="9"/>
        <v>1.4852448391027653E-3</v>
      </c>
      <c r="Y57" s="14">
        <f t="shared" si="10"/>
        <v>2.3715121768721095E-3</v>
      </c>
      <c r="Z57" s="14"/>
      <c r="AA57" s="14">
        <f t="shared" si="15"/>
        <v>6.8819827943107702E-5</v>
      </c>
      <c r="AB57" s="14">
        <f t="shared" si="16"/>
        <v>1.4339303719991207E-3</v>
      </c>
      <c r="AC57" s="14">
        <f t="shared" si="17"/>
        <v>-1.488204210553141E-4</v>
      </c>
      <c r="AD57" s="14">
        <f t="shared" si="18"/>
        <v>-5.1947060822693698E-4</v>
      </c>
      <c r="AE57" s="14">
        <f t="shared" si="19"/>
        <v>5.1808167109367091E-5</v>
      </c>
      <c r="AF57" s="14"/>
      <c r="AG57" s="244">
        <f t="shared" si="11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3">
        <v>45900</v>
      </c>
      <c r="B58" s="248">
        <v>7.6249999999999998E-3</v>
      </c>
      <c r="C58" s="248">
        <v>3.7865462784655385E-2</v>
      </c>
      <c r="D58" s="248">
        <v>1.7441666666666668E-2</v>
      </c>
      <c r="E58" s="248">
        <v>3.2889258902644117E-2</v>
      </c>
      <c r="F58" s="234">
        <v>4.8887897692155092E-3</v>
      </c>
      <c r="G58" s="249"/>
      <c r="H58" s="248">
        <v>0.22992716763217141</v>
      </c>
      <c r="I58" s="248">
        <v>0.16430388609877561</v>
      </c>
      <c r="J58" s="248">
        <v>0.39847791571972019</v>
      </c>
      <c r="K58" s="248">
        <v>6.5013490189813672E-2</v>
      </c>
      <c r="L58" s="248">
        <v>0.14227754035951917</v>
      </c>
      <c r="M58" s="248"/>
      <c r="N58" s="248">
        <v>0.22393588608877874</v>
      </c>
      <c r="O58" s="248">
        <v>0.31744511158204408</v>
      </c>
      <c r="P58" s="248">
        <f t="shared" si="0"/>
        <v>0.30935412397653389</v>
      </c>
      <c r="Q58" s="248">
        <v>0.1468955837211261</v>
      </c>
      <c r="R58" s="248">
        <v>2.3692946315171381E-3</v>
      </c>
      <c r="S58" s="14"/>
      <c r="T58" s="14">
        <f t="shared" si="12"/>
        <v>1.7758566812370265E-2</v>
      </c>
      <c r="U58" s="14">
        <f t="shared" si="13"/>
        <v>2.3966238570578953E-2</v>
      </c>
      <c r="V58" s="244">
        <f t="shared" si="14"/>
        <v>6.2076717582086882E-3</v>
      </c>
      <c r="W58" s="14"/>
      <c r="X58" s="14">
        <f t="shared" si="9"/>
        <v>1.5258566812370264E-2</v>
      </c>
      <c r="Y58" s="14">
        <f t="shared" si="10"/>
        <v>2.1466238570578954E-2</v>
      </c>
      <c r="Z58" s="14"/>
      <c r="AA58" s="14">
        <f t="shared" si="15"/>
        <v>6.0713051811690551E-5</v>
      </c>
      <c r="AB58" s="14">
        <f t="shared" si="16"/>
        <v>3.0791946898603381E-3</v>
      </c>
      <c r="AC58" s="14">
        <f t="shared" si="17"/>
        <v>2.8243342589072766E-5</v>
      </c>
      <c r="AD58" s="14">
        <f t="shared" si="18"/>
        <v>1.2389327449292926E-3</v>
      </c>
      <c r="AE58" s="14">
        <f t="shared" si="19"/>
        <v>1.8005879290182952E-3</v>
      </c>
      <c r="AF58" s="14"/>
      <c r="AG58" s="244">
        <f t="shared" si="11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3">
        <v>45930</v>
      </c>
      <c r="B59" s="248">
        <v>6.1000000000000004E-3</v>
      </c>
      <c r="C59" s="248">
        <v>2.5346912966114181E-2</v>
      </c>
      <c r="D59" s="248">
        <v>-1.2808333333333333E-2</v>
      </c>
      <c r="E59" s="248">
        <v>1.5002159265561692E-2</v>
      </c>
      <c r="F59" s="234">
        <v>4.6026180718098482E-3</v>
      </c>
      <c r="G59" s="249"/>
      <c r="H59" s="248">
        <v>0.23510269941130726</v>
      </c>
      <c r="I59" s="248">
        <v>0.17176882301781529</v>
      </c>
      <c r="J59" s="248">
        <v>0.37736483837009566</v>
      </c>
      <c r="K59" s="248">
        <v>6.3154359942871635E-2</v>
      </c>
      <c r="L59" s="248">
        <v>0.15260927925791015</v>
      </c>
      <c r="M59" s="248"/>
      <c r="N59" s="248">
        <v>0.27679076811365855</v>
      </c>
      <c r="O59" s="248">
        <v>0.46696802774768525</v>
      </c>
      <c r="P59" s="248">
        <f t="shared" si="0"/>
        <v>0.2623298608965442</v>
      </c>
      <c r="Q59" s="248">
        <v>0.13893715463041936</v>
      </c>
      <c r="R59" s="248">
        <v>-0.14502581138830739</v>
      </c>
      <c r="S59" s="14"/>
      <c r="T59" s="14">
        <f t="shared" si="12"/>
        <v>2.6043752284256707E-3</v>
      </c>
      <c r="U59" s="14">
        <f t="shared" si="13"/>
        <v>1.1581472242416797E-2</v>
      </c>
      <c r="V59" s="244">
        <f t="shared" si="14"/>
        <v>8.9770970139911276E-3</v>
      </c>
      <c r="W59" s="14"/>
      <c r="X59" s="14">
        <f t="shared" si="9"/>
        <v>1.0437522842567061E-4</v>
      </c>
      <c r="Y59" s="14">
        <f t="shared" si="10"/>
        <v>9.0814722424167969E-3</v>
      </c>
      <c r="Z59" s="14"/>
      <c r="AA59" s="14">
        <f t="shared" si="15"/>
        <v>1.4572584563503168E-4</v>
      </c>
      <c r="AB59" s="14">
        <f t="shared" si="16"/>
        <v>6.7135790537047038E-3</v>
      </c>
      <c r="AC59" s="14">
        <f t="shared" si="17"/>
        <v>1.7730005822083608E-3</v>
      </c>
      <c r="AD59" s="14">
        <f t="shared" si="18"/>
        <v>9.3953872226683571E-4</v>
      </c>
      <c r="AE59" s="14">
        <f t="shared" si="19"/>
        <v>-5.9474718982380507E-4</v>
      </c>
      <c r="AF59" s="14"/>
      <c r="AG59" s="244">
        <f t="shared" si="11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3">
        <v>45961</v>
      </c>
      <c r="B60" s="248">
        <v>-1.46E-2</v>
      </c>
      <c r="C60" s="248">
        <v>-5.352402956371953E-3</v>
      </c>
      <c r="D60" s="248">
        <v>1.0166666666666666E-3</v>
      </c>
      <c r="E60" s="248">
        <v>-1.2346472579410572E-2</v>
      </c>
      <c r="F60" s="234">
        <v>8.9195655710922427E-4</v>
      </c>
      <c r="G60" s="249"/>
      <c r="H60" s="248">
        <v>0.22136678355487546</v>
      </c>
      <c r="I60" s="248">
        <v>0.18431447073070961</v>
      </c>
      <c r="J60" s="248">
        <v>0.37888932582494061</v>
      </c>
      <c r="K60" s="248">
        <v>6.8028057809600209E-2</v>
      </c>
      <c r="L60" s="248">
        <v>0.14740136207987412</v>
      </c>
      <c r="M60" s="248"/>
      <c r="N60" s="248">
        <v>0.24813259078629799</v>
      </c>
      <c r="O60" s="248">
        <v>0.52264718928792209</v>
      </c>
      <c r="P60" s="248">
        <f t="shared" si="0"/>
        <v>0.21919022315306552</v>
      </c>
      <c r="Q60" s="248">
        <v>0.18266844519620767</v>
      </c>
      <c r="R60" s="248">
        <v>-0.1726384484234933</v>
      </c>
      <c r="S60" s="14"/>
      <c r="T60" s="14">
        <f t="shared" si="12"/>
        <v>-4.5417071489631524E-3</v>
      </c>
      <c r="U60" s="14">
        <f t="shared" si="13"/>
        <v>-8.6066077388442051E-3</v>
      </c>
      <c r="V60" s="244">
        <f t="shared" si="14"/>
        <v>-4.0649005898810526E-3</v>
      </c>
      <c r="W60" s="14"/>
      <c r="X60" s="14">
        <f t="shared" si="9"/>
        <v>-7.0417071489631521E-3</v>
      </c>
      <c r="Y60" s="14">
        <f t="shared" si="10"/>
        <v>-1.1106607738844206E-2</v>
      </c>
      <c r="Z60" s="14"/>
      <c r="AA60" s="14">
        <f t="shared" si="15"/>
        <v>-2.6921832752804754E-4</v>
      </c>
      <c r="AB60" s="14">
        <f t="shared" si="16"/>
        <v>-2.7428491644355388E-4</v>
      </c>
      <c r="AC60" s="14">
        <f t="shared" si="17"/>
        <v>-8.8766731067092862E-4</v>
      </c>
      <c r="AD60" s="14">
        <f t="shared" si="18"/>
        <v>-8.9474133240809433E-4</v>
      </c>
      <c r="AE60" s="14">
        <f t="shared" si="19"/>
        <v>-1.7389887028304283E-3</v>
      </c>
      <c r="AF60" s="14"/>
      <c r="AG60" s="244">
        <f t="shared" si="11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3">
        <v>45991</v>
      </c>
      <c r="B61" s="248">
        <v>7.0000000000000001E-3</v>
      </c>
      <c r="C61" s="248">
        <v>2.1378394265932729E-2</v>
      </c>
      <c r="D61" s="248">
        <v>5.0666666666666664E-3</v>
      </c>
      <c r="E61" s="248">
        <v>4.740121865198791E-3</v>
      </c>
      <c r="F61" s="234">
        <v>3.4715550032863394E-3</v>
      </c>
      <c r="G61" s="249"/>
      <c r="H61" s="248">
        <v>0.22460750024147272</v>
      </c>
      <c r="I61" s="248">
        <v>0.18160369813454552</v>
      </c>
      <c r="J61" s="248">
        <v>0.38154410968542807</v>
      </c>
      <c r="K61" s="248">
        <v>6.5478760487239551E-2</v>
      </c>
      <c r="L61" s="248">
        <v>0.14676593145131403</v>
      </c>
      <c r="M61" s="248"/>
      <c r="N61" s="248">
        <v>0.23015472786843019</v>
      </c>
      <c r="O61" s="248">
        <v>0.36591396643123103</v>
      </c>
      <c r="P61" s="248">
        <f t="shared" si="0"/>
        <v>0.23268377369772653</v>
      </c>
      <c r="Q61" s="248">
        <v>9.2516959259591747E-2</v>
      </c>
      <c r="R61" s="248">
        <v>7.8730572743020533E-2</v>
      </c>
      <c r="S61" s="14"/>
      <c r="T61" s="14">
        <f t="shared" si="12"/>
        <v>8.2076880909016919E-3</v>
      </c>
      <c r="U61" s="14">
        <f t="shared" si="13"/>
        <v>1.1324526432131349E-2</v>
      </c>
      <c r="V61" s="244">
        <f t="shared" si="14"/>
        <v>3.1168383412296576E-3</v>
      </c>
      <c r="W61" s="14"/>
      <c r="X61" s="14">
        <f t="shared" si="9"/>
        <v>5.7076880909016914E-3</v>
      </c>
      <c r="Y61" s="14">
        <f t="shared" si="10"/>
        <v>8.824526432131349E-3</v>
      </c>
      <c r="Z61" s="14"/>
      <c r="AA61" s="14">
        <f t="shared" si="15"/>
        <v>-6.6993207425973933E-6</v>
      </c>
      <c r="AB61" s="14">
        <f t="shared" si="16"/>
        <v>2.4274963887767832E-3</v>
      </c>
      <c r="AC61" s="14">
        <f t="shared" si="17"/>
        <v>4.6757350455619472E-4</v>
      </c>
      <c r="AD61" s="14">
        <f t="shared" si="18"/>
        <v>-9.3756744866850113E-5</v>
      </c>
      <c r="AE61" s="14">
        <f t="shared" si="19"/>
        <v>3.2222451350612816E-4</v>
      </c>
      <c r="AF61" s="14"/>
      <c r="AG61" s="244">
        <f t="shared" si="11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3">
        <v>46022</v>
      </c>
      <c r="B62" s="248">
        <v>-3.5000000000000001E-3</v>
      </c>
      <c r="C62" s="248">
        <v>1.5593996872262506E-2</v>
      </c>
      <c r="D62" s="248">
        <v>3.5416666666666669E-3</v>
      </c>
      <c r="E62" s="248">
        <v>5.1963270778583454E-3</v>
      </c>
      <c r="F62" s="234">
        <v>3.3028005629380641E-3</v>
      </c>
      <c r="G62" s="249"/>
      <c r="H62" s="248">
        <v>0.21777208779741808</v>
      </c>
      <c r="I62" s="248">
        <v>0.19096438391370774</v>
      </c>
      <c r="J62" s="248">
        <v>0.38050041155442765</v>
      </c>
      <c r="K62" s="248">
        <v>6.8160596849137542E-2</v>
      </c>
      <c r="L62" s="248">
        <v>0.14260251988530909</v>
      </c>
      <c r="M62" s="248"/>
      <c r="N62" s="248">
        <v>0.2300528503984216</v>
      </c>
      <c r="O62" s="248">
        <v>0.38114191621836813</v>
      </c>
      <c r="P62" s="248">
        <f>1-N62-O62-Q62-R62</f>
        <v>0.21245699057956385</v>
      </c>
      <c r="Q62" s="248">
        <v>0.11511456954040016</v>
      </c>
      <c r="R62" s="248">
        <v>6.1233673263246247E-2</v>
      </c>
      <c r="S62" s="14"/>
      <c r="T62" s="14">
        <f t="shared" si="12"/>
        <v>4.3884737604319409E-3</v>
      </c>
      <c r="U62" s="14">
        <f t="shared" si="13"/>
        <v>6.6912082799222552E-3</v>
      </c>
      <c r="V62" s="244">
        <f t="shared" si="14"/>
        <v>2.3027345194903143E-3</v>
      </c>
      <c r="W62" s="14"/>
      <c r="X62" s="14">
        <f t="shared" si="9"/>
        <v>1.8884737604319408E-3</v>
      </c>
      <c r="Y62" s="14">
        <f t="shared" si="10"/>
        <v>4.1912082799222556E-3</v>
      </c>
      <c r="Z62" s="14"/>
      <c r="AA62" s="14">
        <f t="shared" si="15"/>
        <v>-9.6876473536110225E-5</v>
      </c>
      <c r="AB62" s="14">
        <f t="shared" si="16"/>
        <v>2.1310387335907758E-3</v>
      </c>
      <c r="AC62" s="14">
        <f t="shared" si="17"/>
        <v>1.423003609420989E-4</v>
      </c>
      <c r="AD62" s="14">
        <f t="shared" si="18"/>
        <v>3.7931922604985302E-5</v>
      </c>
      <c r="AE62" s="14">
        <f t="shared" si="19"/>
        <v>8.8339975888563802E-5</v>
      </c>
      <c r="AF62" s="14"/>
      <c r="AG62" s="244">
        <f t="shared" si="11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85" t="s">
        <v>772</v>
      </c>
      <c r="U64" s="285"/>
      <c r="V64" s="285"/>
      <c r="AA64" s="285" t="s">
        <v>770</v>
      </c>
      <c r="AB64" s="285"/>
      <c r="AC64" s="285"/>
      <c r="AD64" s="285"/>
      <c r="AE64" s="285"/>
    </row>
    <row r="65" spans="19:51">
      <c r="S65" s="1" t="s">
        <v>543</v>
      </c>
      <c r="T65" s="197">
        <f>AVERAGE(T3:T62)</f>
        <v>6.0015964866706817E-3</v>
      </c>
      <c r="U65" s="197">
        <f>AVERAGE(U3:U62)</f>
        <v>9.9004118716199668E-3</v>
      </c>
      <c r="V65" s="241">
        <f>AVERAGE(V3:V62)</f>
        <v>3.8988153849492898E-3</v>
      </c>
      <c r="AA65" s="243" t="s">
        <v>0</v>
      </c>
      <c r="AB65" s="243" t="s">
        <v>1</v>
      </c>
      <c r="AC65" s="243" t="s">
        <v>2</v>
      </c>
      <c r="AD65" s="243" t="s">
        <v>432</v>
      </c>
      <c r="AE65" s="243" t="s">
        <v>433</v>
      </c>
      <c r="AG65" s="243" t="s">
        <v>7</v>
      </c>
    </row>
    <row r="66" spans="19:51">
      <c r="S66" s="1" t="s">
        <v>768</v>
      </c>
      <c r="T66" s="197">
        <f>T65*12</f>
        <v>7.2019157840048184E-2</v>
      </c>
      <c r="U66" s="197">
        <f>U65*12</f>
        <v>0.11880494245943959</v>
      </c>
      <c r="V66" s="241">
        <f>V65*12</f>
        <v>4.6785784619391479E-2</v>
      </c>
      <c r="X66" s="14"/>
      <c r="Z66" s="1" t="s">
        <v>543</v>
      </c>
      <c r="AA66" s="197">
        <f>AVERAGE(AA3:AA62)</f>
        <v>-5.4791854870106017E-5</v>
      </c>
      <c r="AB66" s="197">
        <f>AVERAGE(AB3:AB62)</f>
        <v>3.0218343148934929E-3</v>
      </c>
      <c r="AC66" s="197">
        <f>AVERAGE(AC3:AC62)</f>
        <v>3.0161720393206525E-4</v>
      </c>
      <c r="AD66" s="197">
        <f>AVERAGE(AD3:AD62)</f>
        <v>1.2188748107737852E-4</v>
      </c>
      <c r="AE66" s="197">
        <f>AVERAGE(AE3:AE62)</f>
        <v>5.0826823991645853E-4</v>
      </c>
      <c r="AG66" s="241">
        <f>SUM(AA66:AE66)</f>
        <v>3.8988153849492894E-3</v>
      </c>
      <c r="AS66" s="285"/>
      <c r="AT66" s="285"/>
      <c r="AU66" s="285"/>
      <c r="AV66" s="285"/>
      <c r="AW66" s="285"/>
    </row>
    <row r="67" spans="19:51">
      <c r="T67" s="14"/>
      <c r="U67" s="14"/>
      <c r="V67" s="14"/>
      <c r="X67" s="14"/>
      <c r="Z67" s="1" t="s">
        <v>768</v>
      </c>
      <c r="AA67" s="197">
        <f>AA66*12</f>
        <v>-6.575022584412722E-4</v>
      </c>
      <c r="AB67" s="197">
        <f>AB66*12</f>
        <v>3.6262011778721917E-2</v>
      </c>
      <c r="AC67" s="197">
        <f>AC66*12</f>
        <v>3.6194064471847831E-3</v>
      </c>
      <c r="AD67" s="197">
        <f>AD66*12</f>
        <v>1.4626497729285422E-3</v>
      </c>
      <c r="AE67" s="197">
        <f>AE66*12</f>
        <v>6.0992188789975024E-3</v>
      </c>
      <c r="AG67" s="241">
        <f>SUM(AA67:AE67)</f>
        <v>4.6785784619391473E-2</v>
      </c>
      <c r="AS67" s="3"/>
      <c r="AT67" s="3"/>
      <c r="AU67" s="3"/>
      <c r="AV67" s="3"/>
      <c r="AW67" s="3"/>
    </row>
    <row r="68" spans="19:51">
      <c r="T68" s="245" t="s">
        <v>773</v>
      </c>
      <c r="U68" s="245"/>
      <c r="V68" s="245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543</v>
      </c>
      <c r="T69" s="246">
        <f>INTERCEPT(Y3:Y62,X3:X62)</f>
        <v>2.2732518211335175E-3</v>
      </c>
      <c r="AA69" s="285" t="s">
        <v>771</v>
      </c>
      <c r="AB69" s="285"/>
      <c r="AC69" s="285"/>
      <c r="AD69" s="285"/>
      <c r="AE69" s="285"/>
      <c r="AG69" s="14"/>
      <c r="AS69" s="40"/>
      <c r="AT69" s="40"/>
      <c r="AU69" s="40"/>
      <c r="AV69" s="40"/>
      <c r="AW69" s="40"/>
      <c r="AY69" s="40"/>
    </row>
    <row r="70" spans="19:51">
      <c r="S70" s="1" t="s">
        <v>768</v>
      </c>
      <c r="T70" s="246">
        <f>T69*12</f>
        <v>2.727902185360221E-2</v>
      </c>
      <c r="AA70" s="243" t="s">
        <v>0</v>
      </c>
      <c r="AB70" s="243" t="s">
        <v>1</v>
      </c>
      <c r="AC70" s="243" t="s">
        <v>2</v>
      </c>
      <c r="AD70" s="243" t="s">
        <v>432</v>
      </c>
      <c r="AE70" s="243" t="s">
        <v>433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543</v>
      </c>
      <c r="AA71" s="197">
        <f>INTERCEPT(AA3:AA62,$X$3:$X$62)</f>
        <v>-6.3280927891016725E-5</v>
      </c>
      <c r="AB71" s="197">
        <f>INTERCEPT(AB3:AB62,$X$3:$X$62)</f>
        <v>2.2346518055031978E-3</v>
      </c>
      <c r="AC71" s="197">
        <f>INTERCEPT(AC3:AC62,$X$3:$X$62)</f>
        <v>1.7155095107188945E-4</v>
      </c>
      <c r="AD71" s="197">
        <f>INTERCEPT(AD3:AD62,$X$3:$X$62)</f>
        <v>-8.3861649854842006E-5</v>
      </c>
      <c r="AE71" s="197">
        <f>INTERCEPT(AE3:AE62,$X$3:$X$62)</f>
        <v>1.4191642304293072E-5</v>
      </c>
      <c r="AG71" s="246">
        <f>SUM(AA71:AE71)</f>
        <v>2.2732518211335219E-3</v>
      </c>
    </row>
    <row r="72" spans="19:51">
      <c r="Z72" s="1" t="s">
        <v>768</v>
      </c>
      <c r="AA72" s="197">
        <f>AA71*12</f>
        <v>-7.5937113469220076E-4</v>
      </c>
      <c r="AB72" s="197">
        <f>AB71*12</f>
        <v>2.6815821666038374E-2</v>
      </c>
      <c r="AC72" s="197">
        <f>AC71*12</f>
        <v>2.0586114128626734E-3</v>
      </c>
      <c r="AD72" s="197">
        <f>AD71*12</f>
        <v>-1.0063397982581041E-3</v>
      </c>
      <c r="AE72" s="197">
        <f>AE71*12</f>
        <v>1.7029970765151687E-4</v>
      </c>
      <c r="AG72" s="246">
        <f>SUM(AA72:AE72)</f>
        <v>2.7279021853602259E-2</v>
      </c>
      <c r="AV72" s="40"/>
    </row>
    <row r="74" spans="19:51">
      <c r="AA74" s="285" t="s">
        <v>199</v>
      </c>
      <c r="AB74" s="285"/>
      <c r="AC74" s="285"/>
      <c r="AD74" s="285"/>
      <c r="AE74" s="285"/>
    </row>
    <row r="75" spans="19:51">
      <c r="AA75" s="243" t="s">
        <v>0</v>
      </c>
      <c r="AB75" s="243" t="s">
        <v>1</v>
      </c>
      <c r="AC75" s="243" t="s">
        <v>2</v>
      </c>
      <c r="AD75" s="243" t="s">
        <v>432</v>
      </c>
      <c r="AE75" s="243" t="s">
        <v>433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AA1:AE1"/>
    <mergeCell ref="AA74:AE74"/>
    <mergeCell ref="AY1:AZ1"/>
    <mergeCell ref="AS66:AW66"/>
    <mergeCell ref="AA64:AE64"/>
    <mergeCell ref="AA69:AE69"/>
    <mergeCell ref="AG1:AK1"/>
    <mergeCell ref="AM1:AN1"/>
    <mergeCell ref="AP1:AQ1"/>
    <mergeCell ref="B1:F1"/>
    <mergeCell ref="X1:Y1"/>
    <mergeCell ref="T64:V64"/>
    <mergeCell ref="H1:L1"/>
    <mergeCell ref="N1:R1"/>
    <mergeCell ref="T1:V1"/>
  </mergeCells>
  <pageMargins left="0.7" right="0.7" top="0.75" bottom="0.75" header="0.3" footer="0.3"/>
  <ignoredErrors>
    <ignoredError sqref="T3:V62" formulaRange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121"/>
  <sheetViews>
    <sheetView topLeftCell="A93" workbookViewId="0">
      <selection activeCell="G10" sqref="G10"/>
    </sheetView>
  </sheetViews>
  <sheetFormatPr defaultRowHeight="14.5"/>
  <cols>
    <col min="4" max="4" width="13.81640625" bestFit="1" customWidth="1"/>
  </cols>
  <sheetData>
    <row r="1" spans="1:3">
      <c r="A1" s="1" t="s">
        <v>532</v>
      </c>
      <c r="B1" s="1" t="s">
        <v>17</v>
      </c>
      <c r="C1" s="1" t="s">
        <v>171</v>
      </c>
    </row>
    <row r="2" spans="1:3">
      <c r="A2" t="s">
        <v>776</v>
      </c>
      <c r="B2">
        <v>-5.1349999999999998E-3</v>
      </c>
      <c r="C2">
        <v>-2.3921999999999999E-2</v>
      </c>
    </row>
    <row r="3" spans="1:3">
      <c r="A3" t="s">
        <v>777</v>
      </c>
      <c r="B3">
        <v>6.5317E-2</v>
      </c>
      <c r="C3">
        <v>7.8460000000000005E-3</v>
      </c>
    </row>
    <row r="4" spans="1:3">
      <c r="A4" t="s">
        <v>778</v>
      </c>
      <c r="B4">
        <v>-4.8079999999999998E-3</v>
      </c>
      <c r="C4">
        <v>1.6959999999999999E-2</v>
      </c>
    </row>
    <row r="5" spans="1:3">
      <c r="A5" t="s">
        <v>779</v>
      </c>
      <c r="B5">
        <v>-1.4598E-2</v>
      </c>
      <c r="C5">
        <v>5.1659999999999996E-3</v>
      </c>
    </row>
    <row r="6" spans="1:3">
      <c r="A6" t="s">
        <v>780</v>
      </c>
      <c r="B6">
        <v>-2.5149999999999999E-3</v>
      </c>
      <c r="C6">
        <v>1.4200000000000001E-4</v>
      </c>
    </row>
    <row r="7" spans="1:3">
      <c r="A7" t="s">
        <v>781</v>
      </c>
      <c r="B7">
        <v>-8.3820000000000006E-3</v>
      </c>
      <c r="C7">
        <v>8.541E-3</v>
      </c>
    </row>
    <row r="8" spans="1:3">
      <c r="A8" t="s">
        <v>782</v>
      </c>
      <c r="B8">
        <v>2.4022000000000002E-2</v>
      </c>
      <c r="C8">
        <v>-4.1406999999999999E-2</v>
      </c>
    </row>
    <row r="9" spans="1:3">
      <c r="A9" t="s">
        <v>783</v>
      </c>
      <c r="B9">
        <v>-9.0881000000000003E-2</v>
      </c>
      <c r="C9">
        <v>-1.2648E-2</v>
      </c>
    </row>
    <row r="10" spans="1:3">
      <c r="A10" t="s">
        <v>784</v>
      </c>
      <c r="B10">
        <v>-4.5158999999999998E-2</v>
      </c>
      <c r="C10">
        <v>-9.5759999999999994E-3</v>
      </c>
    </row>
    <row r="11" spans="1:3">
      <c r="A11" t="s">
        <v>785</v>
      </c>
      <c r="B11">
        <v>9.5797999999999994E-2</v>
      </c>
      <c r="C11">
        <v>1.9914999999999999E-2</v>
      </c>
    </row>
    <row r="12" spans="1:3">
      <c r="A12" t="s">
        <v>786</v>
      </c>
      <c r="B12">
        <v>-7.45E-3</v>
      </c>
      <c r="C12">
        <v>5.855E-3</v>
      </c>
    </row>
    <row r="13" spans="1:3">
      <c r="A13" t="s">
        <v>787</v>
      </c>
      <c r="B13">
        <v>-5.4599999999999996E-3</v>
      </c>
      <c r="C13">
        <v>-3.5617000000000003E-2</v>
      </c>
    </row>
    <row r="14" spans="1:3">
      <c r="A14" t="s">
        <v>788</v>
      </c>
      <c r="B14">
        <v>-3.7279E-2</v>
      </c>
      <c r="C14">
        <v>-2.1218000000000001E-2</v>
      </c>
    </row>
    <row r="15" spans="1:3">
      <c r="A15" t="s">
        <v>789</v>
      </c>
      <c r="B15">
        <v>7.4371999999999994E-2</v>
      </c>
      <c r="C15">
        <v>1.1742000000000001E-2</v>
      </c>
    </row>
    <row r="16" spans="1:3">
      <c r="A16" t="s">
        <v>790</v>
      </c>
      <c r="B16">
        <v>8.5233000000000003E-2</v>
      </c>
      <c r="C16">
        <v>4.3011000000000001E-2</v>
      </c>
    </row>
    <row r="17" spans="1:3">
      <c r="A17" t="s">
        <v>791</v>
      </c>
      <c r="B17">
        <v>-9.1730000000000006E-3</v>
      </c>
      <c r="C17">
        <v>6.1900000000000002E-3</v>
      </c>
    </row>
    <row r="18" spans="1:3">
      <c r="A18" t="s">
        <v>792</v>
      </c>
      <c r="B18">
        <v>6.2119999999999996E-3</v>
      </c>
      <c r="C18">
        <v>-4.457E-3</v>
      </c>
    </row>
    <row r="19" spans="1:3">
      <c r="A19" t="s">
        <v>793</v>
      </c>
      <c r="B19">
        <v>4.2944999999999997E-2</v>
      </c>
      <c r="C19">
        <v>1.5945000000000001E-2</v>
      </c>
    </row>
    <row r="20" spans="1:3">
      <c r="A20" t="s">
        <v>794</v>
      </c>
      <c r="B20">
        <v>7.8302999999999998E-2</v>
      </c>
      <c r="C20">
        <v>2.7824000000000002E-2</v>
      </c>
    </row>
    <row r="21" spans="1:3">
      <c r="A21" t="s">
        <v>795</v>
      </c>
      <c r="B21">
        <v>-3.0813E-2</v>
      </c>
      <c r="C21">
        <v>1.5724999999999999E-2</v>
      </c>
    </row>
    <row r="22" spans="1:3">
      <c r="A22" t="s">
        <v>796</v>
      </c>
      <c r="B22">
        <v>-3.166E-3</v>
      </c>
      <c r="C22">
        <v>4.8900000000000002E-3</v>
      </c>
    </row>
    <row r="23" spans="1:3">
      <c r="A23" t="s">
        <v>797</v>
      </c>
      <c r="B23">
        <v>-4.4521999999999999E-2</v>
      </c>
      <c r="C23">
        <v>-1.1448E-2</v>
      </c>
    </row>
    <row r="24" spans="1:3">
      <c r="A24" t="s">
        <v>798</v>
      </c>
      <c r="B24">
        <v>7.0823999999999998E-2</v>
      </c>
      <c r="C24">
        <v>9.1991000000000003E-2</v>
      </c>
    </row>
    <row r="25" spans="1:3">
      <c r="A25" t="s">
        <v>799</v>
      </c>
      <c r="B25">
        <v>2.9194000000000001E-2</v>
      </c>
      <c r="C25">
        <v>3.2821999999999997E-2</v>
      </c>
    </row>
    <row r="26" spans="1:3">
      <c r="A26" t="s">
        <v>64</v>
      </c>
      <c r="B26">
        <v>1.6191000000000001E-2</v>
      </c>
      <c r="C26">
        <v>-2.6858E-2</v>
      </c>
    </row>
    <row r="27" spans="1:3">
      <c r="A27" t="s">
        <v>67</v>
      </c>
      <c r="B27">
        <v>2.2187999999999999E-2</v>
      </c>
      <c r="C27">
        <v>-4.9740000000000001E-3</v>
      </c>
    </row>
    <row r="28" spans="1:3">
      <c r="A28" t="s">
        <v>70</v>
      </c>
      <c r="B28">
        <v>3.1671999999999999E-2</v>
      </c>
      <c r="C28">
        <v>-8.8789999999999997E-3</v>
      </c>
    </row>
    <row r="29" spans="1:3">
      <c r="A29" t="s">
        <v>71</v>
      </c>
      <c r="B29">
        <v>1.2148000000000001E-2</v>
      </c>
      <c r="C29">
        <v>8.6370000000000006E-3</v>
      </c>
    </row>
    <row r="30" spans="1:3">
      <c r="A30" t="s">
        <v>72</v>
      </c>
      <c r="B30">
        <v>2.5304E-2</v>
      </c>
      <c r="C30">
        <v>-1.4546999999999999E-2</v>
      </c>
    </row>
    <row r="31" spans="1:3">
      <c r="A31" t="s">
        <v>73</v>
      </c>
      <c r="B31">
        <v>-5.8019999999999999E-3</v>
      </c>
      <c r="C31">
        <v>1.5370999999999999E-2</v>
      </c>
    </row>
    <row r="32" spans="1:3">
      <c r="A32" t="s">
        <v>74</v>
      </c>
      <c r="B32">
        <v>-4.496E-3</v>
      </c>
      <c r="C32">
        <v>-9.4079999999999997E-3</v>
      </c>
    </row>
    <row r="33" spans="1:3">
      <c r="A33" t="s">
        <v>75</v>
      </c>
      <c r="B33">
        <v>-1.5403E-2</v>
      </c>
      <c r="C33">
        <v>-1.448E-2</v>
      </c>
    </row>
    <row r="34" spans="1:3">
      <c r="A34" t="s">
        <v>76</v>
      </c>
      <c r="B34">
        <v>2.4246E-2</v>
      </c>
      <c r="C34">
        <v>5.7779999999999998E-2</v>
      </c>
    </row>
    <row r="35" spans="1:3">
      <c r="A35" t="s">
        <v>77</v>
      </c>
      <c r="B35">
        <v>3.3050000000000002E-3</v>
      </c>
      <c r="C35">
        <v>-2.7430000000000002E-3</v>
      </c>
    </row>
    <row r="36" spans="1:3">
      <c r="A36" t="s">
        <v>78</v>
      </c>
      <c r="B36">
        <v>7.1082000000000006E-2</v>
      </c>
      <c r="C36">
        <v>2.1753999999999999E-2</v>
      </c>
    </row>
    <row r="37" spans="1:3">
      <c r="A37" t="s">
        <v>79</v>
      </c>
      <c r="B37">
        <v>3.9709000000000001E-2</v>
      </c>
      <c r="C37">
        <v>5.6800000000000002E-3</v>
      </c>
    </row>
    <row r="38" spans="1:3">
      <c r="A38" t="s">
        <v>80</v>
      </c>
      <c r="B38">
        <v>5.8111000000000003E-2</v>
      </c>
      <c r="C38">
        <v>-5.4990000000000004E-3</v>
      </c>
    </row>
    <row r="39" spans="1:3">
      <c r="A39" t="s">
        <v>81</v>
      </c>
      <c r="B39">
        <v>-6.4797999999999994E-2</v>
      </c>
      <c r="C39">
        <v>-1.0102999999999999E-2</v>
      </c>
    </row>
    <row r="40" spans="1:3">
      <c r="A40" t="s">
        <v>82</v>
      </c>
      <c r="B40">
        <v>-4.0879999999999996E-3</v>
      </c>
      <c r="C40">
        <v>3.2230000000000002E-3</v>
      </c>
    </row>
    <row r="41" spans="1:3">
      <c r="A41" t="s">
        <v>83</v>
      </c>
      <c r="B41">
        <v>-1.0215999999999999E-2</v>
      </c>
      <c r="C41">
        <v>-3.5339999999999998E-3</v>
      </c>
    </row>
    <row r="42" spans="1:3">
      <c r="A42" t="s">
        <v>84</v>
      </c>
      <c r="B42">
        <v>2.9914E-2</v>
      </c>
      <c r="C42">
        <v>5.5830000000000003E-3</v>
      </c>
    </row>
    <row r="43" spans="1:3">
      <c r="A43" t="s">
        <v>85</v>
      </c>
      <c r="B43">
        <v>4.6439000000000001E-2</v>
      </c>
      <c r="C43">
        <v>3.6879999999999999E-3</v>
      </c>
    </row>
    <row r="44" spans="1:3">
      <c r="A44" t="s">
        <v>86</v>
      </c>
      <c r="B44">
        <v>4.5501E-2</v>
      </c>
      <c r="C44">
        <v>1.0584E-2</v>
      </c>
    </row>
    <row r="45" spans="1:3">
      <c r="A45" t="s">
        <v>87</v>
      </c>
      <c r="B45">
        <v>3.5076999999999997E-2</v>
      </c>
      <c r="C45">
        <v>-2.0209999999999998E-3</v>
      </c>
    </row>
    <row r="46" spans="1:3">
      <c r="A46" t="s">
        <v>88</v>
      </c>
      <c r="B46">
        <v>5.8710000000000004E-3</v>
      </c>
      <c r="C46">
        <v>-2.0712999999999999E-2</v>
      </c>
    </row>
    <row r="47" spans="1:3">
      <c r="A47" t="s">
        <v>89</v>
      </c>
      <c r="B47">
        <v>-6.6720000000000002E-2</v>
      </c>
      <c r="C47">
        <v>-3.7257999999999999E-2</v>
      </c>
    </row>
    <row r="48" spans="1:3">
      <c r="A48" t="s">
        <v>90</v>
      </c>
      <c r="B48">
        <v>-1.4940000000000001E-3</v>
      </c>
      <c r="C48">
        <v>1.7382000000000002E-2</v>
      </c>
    </row>
    <row r="49" spans="1:3">
      <c r="A49" t="s">
        <v>91</v>
      </c>
      <c r="B49">
        <v>-0.119834</v>
      </c>
      <c r="C49">
        <v>-6.8385000000000001E-2</v>
      </c>
    </row>
    <row r="50" spans="1:3">
      <c r="A50" t="s">
        <v>92</v>
      </c>
      <c r="B50">
        <v>7.0872000000000004E-2</v>
      </c>
      <c r="C50">
        <v>4.8003999999999998E-2</v>
      </c>
    </row>
    <row r="51" spans="1:3">
      <c r="A51" t="s">
        <v>93</v>
      </c>
      <c r="B51">
        <v>4.8911000000000003E-2</v>
      </c>
      <c r="C51">
        <v>1.3948E-2</v>
      </c>
    </row>
    <row r="52" spans="1:3">
      <c r="A52" t="s">
        <v>94</v>
      </c>
      <c r="B52">
        <v>1.2574999999999999E-2</v>
      </c>
      <c r="C52">
        <v>-4.1648999999999999E-2</v>
      </c>
    </row>
    <row r="53" spans="1:3">
      <c r="A53" t="s">
        <v>95</v>
      </c>
      <c r="B53">
        <v>4.2777999999999997E-2</v>
      </c>
      <c r="C53">
        <v>2.5080000000000002E-2</v>
      </c>
    </row>
    <row r="54" spans="1:3">
      <c r="A54" t="s">
        <v>96</v>
      </c>
      <c r="B54">
        <v>-6.5914E-2</v>
      </c>
      <c r="C54">
        <v>-4.3725E-2</v>
      </c>
    </row>
    <row r="55" spans="1:3">
      <c r="A55" t="s">
        <v>97</v>
      </c>
      <c r="B55">
        <v>8.4517999999999996E-2</v>
      </c>
      <c r="C55">
        <v>2.6713000000000001E-2</v>
      </c>
    </row>
    <row r="56" spans="1:3">
      <c r="A56" t="s">
        <v>98</v>
      </c>
      <c r="B56">
        <v>1.4963000000000001E-2</v>
      </c>
      <c r="C56">
        <v>-5.3200000000000001E-3</v>
      </c>
    </row>
    <row r="57" spans="1:3">
      <c r="A57" t="s">
        <v>99</v>
      </c>
      <c r="B57">
        <v>-1.9734999999999999E-2</v>
      </c>
      <c r="C57">
        <v>-4.623E-2</v>
      </c>
    </row>
    <row r="58" spans="1:3">
      <c r="A58" t="s">
        <v>100</v>
      </c>
      <c r="B58">
        <v>2.7888E-2</v>
      </c>
      <c r="C58">
        <v>4.6650999999999998E-2</v>
      </c>
    </row>
    <row r="59" spans="1:3">
      <c r="A59" t="s">
        <v>101</v>
      </c>
      <c r="B59">
        <v>4.4281000000000001E-2</v>
      </c>
      <c r="C59">
        <v>-3.4699999999999998E-4</v>
      </c>
    </row>
    <row r="60" spans="1:3">
      <c r="A60" t="s">
        <v>102</v>
      </c>
      <c r="B60">
        <v>2.7743E-2</v>
      </c>
      <c r="C60">
        <v>-5.6779999999999999E-3</v>
      </c>
    </row>
    <row r="61" spans="1:3">
      <c r="A61" t="s">
        <v>103</v>
      </c>
      <c r="B61">
        <v>3.6212000000000001E-2</v>
      </c>
      <c r="C61">
        <v>2.3266999999999999E-2</v>
      </c>
    </row>
    <row r="62" spans="1:3">
      <c r="A62" t="s">
        <v>104</v>
      </c>
      <c r="B62">
        <v>-1.3006E-2</v>
      </c>
      <c r="C62">
        <v>-5.6401E-2</v>
      </c>
    </row>
    <row r="63" spans="1:3">
      <c r="A63" t="s">
        <v>105</v>
      </c>
      <c r="B63">
        <v>-0.11197699999999999</v>
      </c>
      <c r="C63">
        <v>-4.1257000000000002E-2</v>
      </c>
    </row>
    <row r="64" spans="1:3">
      <c r="A64" t="s">
        <v>106</v>
      </c>
      <c r="B64">
        <v>-7.3729000000000003E-2</v>
      </c>
      <c r="C64">
        <v>-0.15043400000000001</v>
      </c>
    </row>
    <row r="65" spans="1:3">
      <c r="A65" t="s">
        <v>107</v>
      </c>
      <c r="B65">
        <v>0.179086</v>
      </c>
      <c r="C65">
        <v>8.3719000000000002E-2</v>
      </c>
    </row>
    <row r="66" spans="1:3">
      <c r="A66" t="s">
        <v>108</v>
      </c>
      <c r="B66">
        <v>9.6227999999999994E-2</v>
      </c>
      <c r="C66">
        <v>1.8824E-2</v>
      </c>
    </row>
    <row r="67" spans="1:3">
      <c r="A67" t="s">
        <v>109</v>
      </c>
      <c r="B67">
        <v>5.8097999999999997E-2</v>
      </c>
      <c r="C67">
        <v>7.3600000000000002E-3</v>
      </c>
    </row>
    <row r="68" spans="1:3">
      <c r="A68" t="s">
        <v>110</v>
      </c>
      <c r="B68">
        <v>7.7633999999999995E-2</v>
      </c>
      <c r="C68">
        <v>1.6497000000000001E-2</v>
      </c>
    </row>
    <row r="69" spans="1:3">
      <c r="A69" t="s">
        <v>111</v>
      </c>
      <c r="B69">
        <v>0.14960100000000001</v>
      </c>
      <c r="C69">
        <v>2.7768000000000001E-2</v>
      </c>
    </row>
    <row r="70" spans="1:3">
      <c r="A70" t="s">
        <v>112</v>
      </c>
      <c r="B70">
        <v>-4.3188999999999998E-2</v>
      </c>
      <c r="C70">
        <v>-3.3083000000000001E-2</v>
      </c>
    </row>
    <row r="71" spans="1:3">
      <c r="A71" t="s">
        <v>113</v>
      </c>
      <c r="B71">
        <v>-5.5348000000000001E-2</v>
      </c>
      <c r="C71">
        <v>3.6651000000000003E-2</v>
      </c>
    </row>
    <row r="72" spans="1:3">
      <c r="A72" t="s">
        <v>114</v>
      </c>
      <c r="B72">
        <v>0.14902099999999999</v>
      </c>
      <c r="C72">
        <v>9.8651000000000003E-2</v>
      </c>
    </row>
    <row r="73" spans="1:3">
      <c r="A73" t="s">
        <v>115</v>
      </c>
      <c r="B73">
        <v>5.6899999999999999E-2</v>
      </c>
      <c r="C73">
        <v>3.8743E-2</v>
      </c>
    </row>
    <row r="74" spans="1:3">
      <c r="A74" t="s">
        <v>116</v>
      </c>
      <c r="B74">
        <v>1.5654000000000001E-2</v>
      </c>
      <c r="C74">
        <v>4.3771999999999998E-2</v>
      </c>
    </row>
    <row r="75" spans="1:3">
      <c r="A75" t="s">
        <v>117</v>
      </c>
      <c r="B75">
        <v>-5.7590000000000002E-3</v>
      </c>
      <c r="C75">
        <v>7.1138999999999994E-2</v>
      </c>
    </row>
    <row r="76" spans="1:3">
      <c r="A76" t="s">
        <v>118</v>
      </c>
      <c r="B76">
        <v>8.9948E-2</v>
      </c>
      <c r="C76">
        <v>6.8834000000000006E-2</v>
      </c>
    </row>
    <row r="77" spans="1:3">
      <c r="A77" t="s">
        <v>119</v>
      </c>
      <c r="B77">
        <v>6.3660999999999995E-2</v>
      </c>
      <c r="C77">
        <v>1.0800000000000001E-2</v>
      </c>
    </row>
    <row r="78" spans="1:3">
      <c r="A78" t="s">
        <v>120</v>
      </c>
      <c r="B78">
        <v>2.3896000000000001E-2</v>
      </c>
      <c r="C78">
        <v>4.3666999999999997E-2</v>
      </c>
    </row>
    <row r="79" spans="1:3">
      <c r="A79" t="s">
        <v>121</v>
      </c>
      <c r="B79">
        <v>6.6915000000000002E-2</v>
      </c>
      <c r="C79">
        <v>-3.6978999999999998E-2</v>
      </c>
    </row>
    <row r="80" spans="1:3">
      <c r="A80" t="s">
        <v>122</v>
      </c>
      <c r="B80">
        <v>5.7801999999999999E-2</v>
      </c>
      <c r="C80">
        <v>-3.388E-3</v>
      </c>
    </row>
    <row r="81" spans="1:3">
      <c r="A81" t="s">
        <v>123</v>
      </c>
      <c r="B81">
        <v>1.9056E-2</v>
      </c>
      <c r="C81">
        <v>1.8500000000000001E-3</v>
      </c>
    </row>
    <row r="82" spans="1:3">
      <c r="A82" t="s">
        <v>124</v>
      </c>
      <c r="B82">
        <v>-5.4052000000000003E-2</v>
      </c>
      <c r="C82">
        <v>1.0036E-2</v>
      </c>
    </row>
    <row r="83" spans="1:3">
      <c r="A83" t="s">
        <v>125</v>
      </c>
      <c r="B83">
        <v>7.4697E-2</v>
      </c>
      <c r="C83">
        <v>1.3540999999999999E-2</v>
      </c>
    </row>
    <row r="84" spans="1:3">
      <c r="A84" t="s">
        <v>126</v>
      </c>
      <c r="B84">
        <v>8.1414E-2</v>
      </c>
      <c r="C84">
        <v>1.1769E-2</v>
      </c>
    </row>
    <row r="85" spans="1:3">
      <c r="A85" t="s">
        <v>800</v>
      </c>
      <c r="B85">
        <v>9.8111000000000004E-2</v>
      </c>
      <c r="C85">
        <v>4.0349999999999997E-2</v>
      </c>
    </row>
    <row r="86" spans="1:3">
      <c r="A86" t="s">
        <v>801</v>
      </c>
      <c r="B86">
        <v>-7.5355000000000005E-2</v>
      </c>
      <c r="C86">
        <v>4.6589999999999999E-3</v>
      </c>
    </row>
    <row r="87" spans="1:3">
      <c r="A87" t="s">
        <v>802</v>
      </c>
      <c r="B87">
        <v>-2.9089E-2</v>
      </c>
      <c r="C87">
        <v>1.0500000000000001E-2</v>
      </c>
    </row>
    <row r="88" spans="1:3">
      <c r="A88" t="s">
        <v>803</v>
      </c>
      <c r="B88">
        <v>6.2893000000000004E-2</v>
      </c>
      <c r="C88">
        <v>-4.3819999999999996E-3</v>
      </c>
    </row>
    <row r="89" spans="1:3">
      <c r="A89" t="s">
        <v>804</v>
      </c>
      <c r="B89">
        <v>-6.3219999999999998E-2</v>
      </c>
      <c r="C89">
        <v>7.1269999999999997E-3</v>
      </c>
    </row>
    <row r="90" spans="1:3">
      <c r="A90" t="s">
        <v>805</v>
      </c>
      <c r="B90">
        <v>1.2508999999999999E-2</v>
      </c>
      <c r="C90">
        <v>3.5376999999999999E-2</v>
      </c>
    </row>
    <row r="91" spans="1:3">
      <c r="A91" t="s">
        <v>806</v>
      </c>
      <c r="B91">
        <v>-8.1605999999999998E-2</v>
      </c>
      <c r="C91">
        <v>-3.6000999999999998E-2</v>
      </c>
    </row>
    <row r="92" spans="1:3">
      <c r="A92" t="s">
        <v>807</v>
      </c>
      <c r="B92">
        <v>9.2456999999999998E-2</v>
      </c>
      <c r="C92">
        <v>3.7385000000000002E-2</v>
      </c>
    </row>
    <row r="93" spans="1:3">
      <c r="A93" t="s">
        <v>808</v>
      </c>
      <c r="B93">
        <v>-7.0456000000000005E-2</v>
      </c>
      <c r="C93">
        <v>-1.8610999999999999E-2</v>
      </c>
    </row>
    <row r="94" spans="1:3">
      <c r="A94" t="s">
        <v>809</v>
      </c>
      <c r="B94">
        <v>-0.14000000000000001</v>
      </c>
      <c r="C94">
        <v>-5.7997E-2</v>
      </c>
    </row>
    <row r="95" spans="1:3">
      <c r="A95" t="s">
        <v>405</v>
      </c>
      <c r="B95">
        <v>0.12245499999999999</v>
      </c>
      <c r="C95">
        <v>8.1643999999999994E-2</v>
      </c>
    </row>
    <row r="96" spans="1:3">
      <c r="A96" t="s">
        <v>406</v>
      </c>
      <c r="B96">
        <v>0.119232</v>
      </c>
      <c r="C96">
        <v>3.7984999999999998E-2</v>
      </c>
    </row>
    <row r="97" spans="1:3">
      <c r="A97" t="s">
        <v>407</v>
      </c>
      <c r="B97">
        <v>-4.7477999999999999E-2</v>
      </c>
      <c r="C97">
        <v>-1.3768000000000001E-2</v>
      </c>
    </row>
    <row r="98" spans="1:3">
      <c r="A98" t="s">
        <v>810</v>
      </c>
      <c r="B98">
        <v>7.1791999999999995E-2</v>
      </c>
      <c r="C98">
        <v>2.8065E-2</v>
      </c>
    </row>
    <row r="99" spans="1:3">
      <c r="A99" t="s">
        <v>811</v>
      </c>
      <c r="B99">
        <v>-2.2669999999999999E-3</v>
      </c>
      <c r="C99">
        <v>-2.1066000000000001E-2</v>
      </c>
    </row>
    <row r="100" spans="1:3">
      <c r="A100" t="s">
        <v>812</v>
      </c>
      <c r="B100">
        <v>5.7209999999999997E-2</v>
      </c>
      <c r="C100">
        <v>-5.7017999999999999E-2</v>
      </c>
    </row>
    <row r="101" spans="1:3">
      <c r="A101" t="s">
        <v>813</v>
      </c>
      <c r="B101">
        <v>5.5313000000000001E-2</v>
      </c>
      <c r="C101">
        <v>-1.2312E-2</v>
      </c>
    </row>
    <row r="102" spans="1:3">
      <c r="A102" t="s">
        <v>814</v>
      </c>
      <c r="B102">
        <v>-3.6065E-2</v>
      </c>
      <c r="C102">
        <v>-2.8339E-2</v>
      </c>
    </row>
    <row r="103" spans="1:3">
      <c r="A103" t="s">
        <v>815</v>
      </c>
      <c r="B103">
        <v>9.7267999999999993E-2</v>
      </c>
      <c r="C103">
        <v>3.1725999999999997E-2</v>
      </c>
    </row>
    <row r="104" spans="1:3">
      <c r="A104" t="s">
        <v>816</v>
      </c>
      <c r="B104">
        <v>1.2907E-2</v>
      </c>
      <c r="C104">
        <v>4.1475999999999999E-2</v>
      </c>
    </row>
    <row r="105" spans="1:3">
      <c r="A105" t="s">
        <v>817</v>
      </c>
      <c r="B105">
        <v>-1.3194000000000001E-2</v>
      </c>
      <c r="C105">
        <v>-1.847E-2</v>
      </c>
    </row>
    <row r="106" spans="1:3">
      <c r="A106" t="s">
        <v>818</v>
      </c>
      <c r="B106">
        <v>-7.0044999999999996E-2</v>
      </c>
      <c r="C106">
        <v>-2.5562999999999999E-2</v>
      </c>
    </row>
    <row r="107" spans="1:3">
      <c r="A107" t="s">
        <v>417</v>
      </c>
      <c r="B107">
        <v>-4.1651000000000001E-2</v>
      </c>
      <c r="C107">
        <v>-3.4705E-2</v>
      </c>
    </row>
    <row r="108" spans="1:3">
      <c r="A108" t="s">
        <v>418</v>
      </c>
      <c r="B108">
        <v>4.4873000000000003E-2</v>
      </c>
      <c r="C108">
        <v>2.2460999999999998E-2</v>
      </c>
    </row>
    <row r="109" spans="1:3">
      <c r="A109" t="s">
        <v>419</v>
      </c>
      <c r="B109">
        <v>1.5063E-2</v>
      </c>
      <c r="C109">
        <v>5.3952E-2</v>
      </c>
    </row>
    <row r="110" spans="1:3">
      <c r="A110" t="s">
        <v>819</v>
      </c>
      <c r="B110">
        <v>1.4024999999999999E-2</v>
      </c>
      <c r="C110">
        <v>-3.7241000000000003E-2</v>
      </c>
    </row>
    <row r="111" spans="1:3">
      <c r="A111" t="s">
        <v>820</v>
      </c>
      <c r="B111">
        <v>3.4645000000000002E-2</v>
      </c>
      <c r="C111">
        <v>-8.5380000000000005E-3</v>
      </c>
    </row>
    <row r="112" spans="1:3">
      <c r="A112" t="s">
        <v>821</v>
      </c>
      <c r="B112">
        <v>4.8544999999999998E-2</v>
      </c>
      <c r="C112">
        <v>2.6065000000000001E-2</v>
      </c>
    </row>
    <row r="113" spans="1:3">
      <c r="A113" t="s">
        <v>822</v>
      </c>
      <c r="B113">
        <v>-3.7053999999999997E-2</v>
      </c>
      <c r="C113">
        <v>-4.1659000000000002E-2</v>
      </c>
    </row>
    <row r="114" spans="1:3">
      <c r="A114" t="s">
        <v>823</v>
      </c>
      <c r="B114">
        <v>8.3468000000000001E-2</v>
      </c>
      <c r="C114">
        <v>3.0766000000000002E-2</v>
      </c>
    </row>
    <row r="115" spans="1:3">
      <c r="A115" t="s">
        <v>824</v>
      </c>
      <c r="B115">
        <v>2.8306000000000001E-2</v>
      </c>
      <c r="C115">
        <v>-1.8821999999999998E-2</v>
      </c>
    </row>
    <row r="116" spans="1:3">
      <c r="A116" t="s">
        <v>825</v>
      </c>
      <c r="B116">
        <v>2.7543999999999999E-2</v>
      </c>
      <c r="C116">
        <v>6.7946000000000006E-2</v>
      </c>
    </row>
    <row r="117" spans="1:3">
      <c r="A117" t="s">
        <v>826</v>
      </c>
      <c r="B117">
        <v>4.6532999999999998E-2</v>
      </c>
      <c r="C117">
        <v>-1.2062E-2</v>
      </c>
    </row>
    <row r="118" spans="1:3">
      <c r="A118" t="s">
        <v>827</v>
      </c>
      <c r="B118">
        <v>3.2971E-2</v>
      </c>
      <c r="C118">
        <v>-6.7749999999999998E-3</v>
      </c>
    </row>
    <row r="119" spans="1:3">
      <c r="A119" t="s">
        <v>429</v>
      </c>
      <c r="B119">
        <v>-2.1538000000000002E-2</v>
      </c>
      <c r="C119">
        <v>-1.8389999999999999E-3</v>
      </c>
    </row>
    <row r="120" spans="1:3">
      <c r="A120" t="s">
        <v>430</v>
      </c>
      <c r="B120">
        <v>6.6799999999999998E-2</v>
      </c>
      <c r="C120">
        <v>4.7354E-2</v>
      </c>
    </row>
    <row r="121" spans="1:3">
      <c r="A121" t="s">
        <v>431</v>
      </c>
      <c r="B121">
        <v>-1.823E-2</v>
      </c>
      <c r="C121">
        <v>-3.8618E-2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10" sqref="G10"/>
    </sheetView>
  </sheetViews>
  <sheetFormatPr defaultRowHeight="14.5"/>
  <cols>
    <col min="1" max="1" width="11.54296875" customWidth="1"/>
    <col min="7" max="7" width="6.54296875" customWidth="1"/>
    <col min="8" max="8" width="10.453125" customWidth="1"/>
    <col min="9" max="9" width="11.453125" customWidth="1"/>
  </cols>
  <sheetData>
    <row r="1" spans="1:9">
      <c r="B1" s="285" t="s">
        <v>731</v>
      </c>
      <c r="C1" s="286"/>
      <c r="D1" s="286"/>
      <c r="E1" s="286"/>
      <c r="F1" s="286"/>
    </row>
    <row r="3" spans="1:9">
      <c r="B3" s="3" t="s">
        <v>0</v>
      </c>
      <c r="C3" s="3" t="s">
        <v>1</v>
      </c>
      <c r="D3" s="3" t="s">
        <v>2</v>
      </c>
      <c r="E3" s="3" t="s">
        <v>432</v>
      </c>
      <c r="F3" s="3" t="s">
        <v>433</v>
      </c>
    </row>
    <row r="4" spans="1:9">
      <c r="A4" s="3" t="s">
        <v>0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1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2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432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433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85" t="s">
        <v>443</v>
      </c>
      <c r="C10" s="285"/>
      <c r="D10" s="285"/>
      <c r="E10" s="285"/>
      <c r="F10" s="285"/>
      <c r="G10" s="285"/>
    </row>
    <row r="11" spans="1:9">
      <c r="B11" s="4" t="s">
        <v>0</v>
      </c>
      <c r="C11" s="4" t="s">
        <v>1</v>
      </c>
      <c r="D11" s="4" t="s">
        <v>2</v>
      </c>
      <c r="E11" s="4" t="s">
        <v>432</v>
      </c>
      <c r="F11" s="4" t="s">
        <v>433</v>
      </c>
      <c r="G11" s="4" t="s">
        <v>158</v>
      </c>
      <c r="H11" s="4"/>
    </row>
    <row r="12" spans="1:9">
      <c r="A12" s="224" t="s">
        <v>434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171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85" t="s">
        <v>435</v>
      </c>
      <c r="C15" s="286"/>
      <c r="D15" s="286"/>
      <c r="E15" s="286"/>
      <c r="F15" s="286"/>
      <c r="H15" s="1" t="s">
        <v>436</v>
      </c>
      <c r="I15" s="1" t="s">
        <v>228</v>
      </c>
    </row>
    <row r="16" spans="1:9">
      <c r="A16" s="224" t="s">
        <v>434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64" customWidth="1"/>
    <col min="2" max="2" width="32.453125" style="64" bestFit="1" customWidth="1"/>
    <col min="3" max="6" width="9.1796875" style="64" customWidth="1"/>
    <col min="7" max="7" width="32.453125" style="64" bestFit="1" customWidth="1"/>
    <col min="8" max="8" width="9.1796875" style="64" customWidth="1"/>
    <col min="9" max="9" width="9.54296875" style="64" bestFit="1" customWidth="1"/>
    <col min="10" max="10" width="9.1796875" style="64" customWidth="1"/>
    <col min="11" max="11" width="32.453125" style="64" bestFit="1" customWidth="1"/>
    <col min="12" max="12" width="9.1796875" style="64" customWidth="1"/>
    <col min="13" max="13" width="9.54296875" style="64" bestFit="1" customWidth="1"/>
    <col min="14" max="19" width="9.1796875" style="64" customWidth="1"/>
    <col min="20" max="16384" width="9.1796875" style="64"/>
  </cols>
  <sheetData>
    <row r="2" spans="2:13" ht="14.5">
      <c r="B2" s="296" t="s">
        <v>230</v>
      </c>
      <c r="C2" s="297"/>
      <c r="D2" s="298"/>
      <c r="G2" s="296" t="s">
        <v>230</v>
      </c>
      <c r="H2" s="297"/>
      <c r="I2" s="298"/>
      <c r="K2" s="296" t="s">
        <v>230</v>
      </c>
      <c r="L2" s="297"/>
      <c r="M2" s="298"/>
    </row>
    <row r="3" spans="2:13" ht="14.5">
      <c r="B3" s="299" t="s">
        <v>231</v>
      </c>
      <c r="C3" s="300"/>
      <c r="D3" s="301"/>
      <c r="G3" s="299" t="s">
        <v>232</v>
      </c>
      <c r="H3" s="300"/>
      <c r="I3" s="301"/>
      <c r="K3" s="299" t="s">
        <v>233</v>
      </c>
      <c r="L3" s="300"/>
      <c r="M3" s="301"/>
    </row>
    <row r="4" spans="2:13" ht="14.5">
      <c r="B4" s="302">
        <v>45261</v>
      </c>
      <c r="C4" s="290"/>
      <c r="D4" s="303"/>
      <c r="G4" s="302">
        <v>45261</v>
      </c>
      <c r="H4" s="290"/>
      <c r="I4" s="303"/>
      <c r="K4" s="302">
        <v>45261</v>
      </c>
      <c r="L4" s="290"/>
      <c r="M4" s="303"/>
    </row>
    <row r="5" spans="2:13">
      <c r="B5" s="75" t="s">
        <v>234</v>
      </c>
      <c r="D5" s="76" t="s">
        <v>235</v>
      </c>
      <c r="G5" s="75"/>
      <c r="I5" s="76" t="s">
        <v>235</v>
      </c>
      <c r="K5" s="75"/>
      <c r="M5" s="76" t="s">
        <v>235</v>
      </c>
    </row>
    <row r="6" spans="2:13">
      <c r="B6" s="77" t="s">
        <v>236</v>
      </c>
      <c r="D6" s="76"/>
      <c r="G6" s="78" t="s">
        <v>237</v>
      </c>
      <c r="H6" s="79"/>
      <c r="I6" s="80">
        <v>442</v>
      </c>
      <c r="K6" s="77" t="s">
        <v>238</v>
      </c>
      <c r="M6" s="76"/>
    </row>
    <row r="7" spans="2:13">
      <c r="B7" s="77" t="s">
        <v>239</v>
      </c>
      <c r="D7" s="81">
        <v>20</v>
      </c>
      <c r="G7" s="77"/>
      <c r="I7" s="81"/>
      <c r="K7" s="77" t="s">
        <v>240</v>
      </c>
      <c r="M7" s="81">
        <f>I27</f>
        <v>23.270000000000024</v>
      </c>
    </row>
    <row r="8" spans="2:13">
      <c r="B8" s="77" t="s">
        <v>241</v>
      </c>
      <c r="D8" s="81">
        <v>5</v>
      </c>
      <c r="G8" s="78" t="s">
        <v>242</v>
      </c>
      <c r="H8" s="82"/>
      <c r="I8" s="83"/>
      <c r="K8" s="77" t="s">
        <v>243</v>
      </c>
      <c r="M8" s="81">
        <f>I16</f>
        <v>10</v>
      </c>
    </row>
    <row r="9" spans="2:13">
      <c r="B9" s="77" t="s">
        <v>244</v>
      </c>
      <c r="D9" s="81">
        <v>45</v>
      </c>
      <c r="G9" s="77" t="s">
        <v>245</v>
      </c>
      <c r="I9" s="84">
        <f>I6*0.7</f>
        <v>309.39999999999998</v>
      </c>
      <c r="K9" s="77" t="s">
        <v>246</v>
      </c>
      <c r="M9" s="81"/>
    </row>
    <row r="10" spans="2:13">
      <c r="B10" s="77" t="s">
        <v>247</v>
      </c>
      <c r="D10" s="85">
        <v>25</v>
      </c>
      <c r="G10" s="77" t="s">
        <v>248</v>
      </c>
      <c r="I10" s="81">
        <f>I6-I9</f>
        <v>132.60000000000002</v>
      </c>
      <c r="K10" s="77" t="s">
        <v>249</v>
      </c>
      <c r="M10" s="81"/>
    </row>
    <row r="11" spans="2:13">
      <c r="B11" s="77" t="s">
        <v>250</v>
      </c>
      <c r="D11" s="81">
        <f>SUM(D7:D10)</f>
        <v>95</v>
      </c>
      <c r="G11" s="75"/>
      <c r="I11" s="86"/>
      <c r="K11" s="77" t="s">
        <v>251</v>
      </c>
      <c r="M11" s="81">
        <v>-5</v>
      </c>
    </row>
    <row r="12" spans="2:13">
      <c r="B12" s="77" t="s">
        <v>252</v>
      </c>
      <c r="D12" s="81">
        <v>155</v>
      </c>
      <c r="G12" s="77" t="s">
        <v>253</v>
      </c>
      <c r="I12" s="81"/>
      <c r="K12" s="77" t="s">
        <v>254</v>
      </c>
      <c r="M12" s="81">
        <v>6</v>
      </c>
    </row>
    <row r="13" spans="2:13">
      <c r="B13" s="77" t="s">
        <v>255</v>
      </c>
      <c r="D13" s="85">
        <v>100</v>
      </c>
      <c r="G13" s="77" t="s">
        <v>256</v>
      </c>
      <c r="I13" s="81">
        <v>84</v>
      </c>
      <c r="K13" s="77" t="s">
        <v>257</v>
      </c>
      <c r="M13" s="81"/>
    </row>
    <row r="14" spans="2:13">
      <c r="B14" s="77" t="s">
        <v>258</v>
      </c>
      <c r="D14" s="81">
        <f>D12-D13</f>
        <v>55</v>
      </c>
      <c r="G14" s="75" t="s">
        <v>259</v>
      </c>
      <c r="H14" s="65"/>
      <c r="I14" s="81">
        <v>0.1</v>
      </c>
      <c r="K14" s="77" t="s">
        <v>260</v>
      </c>
      <c r="M14" s="81">
        <v>3</v>
      </c>
    </row>
    <row r="15" spans="2:13">
      <c r="B15" s="77" t="s">
        <v>261</v>
      </c>
      <c r="D15" s="81">
        <v>5</v>
      </c>
      <c r="G15" s="77" t="s">
        <v>262</v>
      </c>
      <c r="H15" s="65"/>
      <c r="I15" s="81">
        <v>0.6</v>
      </c>
      <c r="K15" s="77" t="s">
        <v>263</v>
      </c>
      <c r="M15" s="81">
        <v>1</v>
      </c>
    </row>
    <row r="16" spans="2:13">
      <c r="B16" s="78" t="s">
        <v>264</v>
      </c>
      <c r="C16" s="82"/>
      <c r="D16" s="83">
        <f>D14+D11+D15</f>
        <v>155</v>
      </c>
      <c r="G16" s="77" t="s">
        <v>265</v>
      </c>
      <c r="H16" s="65"/>
      <c r="I16" s="81">
        <v>10</v>
      </c>
      <c r="K16" s="77" t="s">
        <v>266</v>
      </c>
      <c r="M16" s="81">
        <v>-1</v>
      </c>
    </row>
    <row r="17" spans="2:13">
      <c r="B17" s="75" t="s">
        <v>267</v>
      </c>
      <c r="D17" s="76" t="s">
        <v>235</v>
      </c>
      <c r="G17" s="77" t="s">
        <v>268</v>
      </c>
      <c r="I17" s="87">
        <f>SUM(I13:I16)</f>
        <v>94.699999999999989</v>
      </c>
      <c r="K17" s="88" t="s">
        <v>269</v>
      </c>
      <c r="L17" s="89"/>
      <c r="M17" s="85">
        <f>SUM(M11:M16)</f>
        <v>4</v>
      </c>
    </row>
    <row r="18" spans="2:13">
      <c r="B18" s="77" t="s">
        <v>270</v>
      </c>
      <c r="D18" s="81"/>
      <c r="G18" s="77" t="s">
        <v>271</v>
      </c>
      <c r="I18" s="76">
        <f>I10-I17</f>
        <v>37.900000000000034</v>
      </c>
      <c r="K18" s="90" t="s">
        <v>272</v>
      </c>
      <c r="L18" s="91"/>
      <c r="M18" s="92">
        <f>M17+M8+M7</f>
        <v>37.270000000000024</v>
      </c>
    </row>
    <row r="19" spans="2:13">
      <c r="B19" s="77" t="s">
        <v>273</v>
      </c>
      <c r="D19" s="81">
        <v>40</v>
      </c>
      <c r="G19" s="77"/>
      <c r="I19" s="81"/>
      <c r="K19" s="93" t="s">
        <v>274</v>
      </c>
      <c r="L19" s="94"/>
      <c r="M19" s="95"/>
    </row>
    <row r="20" spans="2:13">
      <c r="B20" s="77" t="s">
        <v>275</v>
      </c>
      <c r="D20" s="81">
        <v>15</v>
      </c>
      <c r="G20" s="77" t="s">
        <v>276</v>
      </c>
      <c r="I20" s="81"/>
      <c r="K20" s="77" t="s">
        <v>277</v>
      </c>
      <c r="M20" s="81"/>
    </row>
    <row r="21" spans="2:13">
      <c r="B21" s="77" t="s">
        <v>278</v>
      </c>
      <c r="D21" s="85">
        <v>5</v>
      </c>
      <c r="G21" s="77" t="s">
        <v>279</v>
      </c>
      <c r="I21" s="96">
        <f>0.05*5</f>
        <v>0.25</v>
      </c>
      <c r="K21" s="77" t="s">
        <v>280</v>
      </c>
      <c r="M21" s="81">
        <v>-5</v>
      </c>
    </row>
    <row r="22" spans="2:13">
      <c r="B22" s="77" t="s">
        <v>281</v>
      </c>
      <c r="C22" s="65"/>
      <c r="D22" s="81">
        <f>SUM(D19:D21)</f>
        <v>60</v>
      </c>
      <c r="G22" s="77" t="s">
        <v>282</v>
      </c>
      <c r="I22" s="97">
        <f>0.08*D23</f>
        <v>2.4</v>
      </c>
      <c r="K22" s="77" t="s">
        <v>283</v>
      </c>
      <c r="M22" s="87">
        <v>10</v>
      </c>
    </row>
    <row r="23" spans="2:13">
      <c r="B23" s="77" t="s">
        <v>284</v>
      </c>
      <c r="C23" s="65"/>
      <c r="D23" s="85">
        <v>30</v>
      </c>
      <c r="G23" s="77" t="s">
        <v>285</v>
      </c>
      <c r="I23" s="98">
        <v>-2.1</v>
      </c>
      <c r="K23" s="77" t="s">
        <v>286</v>
      </c>
      <c r="M23" s="81">
        <f>SUM(M21:M22)</f>
        <v>5</v>
      </c>
    </row>
    <row r="24" spans="2:13">
      <c r="B24" s="77" t="s">
        <v>287</v>
      </c>
      <c r="D24" s="81">
        <f>SUM(D22:D23)</f>
        <v>90</v>
      </c>
      <c r="G24" s="77"/>
      <c r="H24" s="65"/>
      <c r="I24" s="81"/>
      <c r="K24" s="77" t="s">
        <v>288</v>
      </c>
      <c r="M24" s="81"/>
    </row>
    <row r="25" spans="2:13">
      <c r="B25" s="88" t="s">
        <v>289</v>
      </c>
      <c r="C25" s="89"/>
      <c r="D25" s="85">
        <f>155-90</f>
        <v>65</v>
      </c>
      <c r="G25" s="77" t="s">
        <v>290</v>
      </c>
      <c r="I25" s="99">
        <f>I10-I17+I23</f>
        <v>35.800000000000033</v>
      </c>
      <c r="K25" s="77" t="s">
        <v>291</v>
      </c>
      <c r="M25" s="81">
        <v>-3</v>
      </c>
    </row>
    <row r="26" spans="2:13">
      <c r="B26" s="90" t="s">
        <v>292</v>
      </c>
      <c r="C26" s="100"/>
      <c r="D26" s="101">
        <f>SUM(D24:D25)</f>
        <v>155</v>
      </c>
      <c r="G26" s="77" t="s">
        <v>293</v>
      </c>
      <c r="H26" s="65"/>
      <c r="I26" s="81">
        <f>0.35*I25</f>
        <v>12.53000000000001</v>
      </c>
      <c r="K26" s="77" t="s">
        <v>294</v>
      </c>
      <c r="M26" s="87">
        <v>2</v>
      </c>
    </row>
    <row r="27" spans="2:13">
      <c r="G27" s="78" t="s">
        <v>295</v>
      </c>
      <c r="H27" s="82"/>
      <c r="I27" s="102">
        <f>I25-I26</f>
        <v>23.270000000000024</v>
      </c>
      <c r="K27" s="88" t="s">
        <v>296</v>
      </c>
      <c r="L27" s="89"/>
      <c r="M27" s="85">
        <f>SUM(M25:M26)</f>
        <v>-1</v>
      </c>
    </row>
    <row r="28" spans="2:13">
      <c r="K28" s="78" t="s">
        <v>297</v>
      </c>
      <c r="L28" s="82"/>
      <c r="M28" s="103">
        <f>M27+M23</f>
        <v>4</v>
      </c>
    </row>
    <row r="29" spans="2:13">
      <c r="K29" s="77" t="s">
        <v>298</v>
      </c>
      <c r="M29" s="104"/>
    </row>
    <row r="30" spans="2:13">
      <c r="K30" s="77" t="s">
        <v>299</v>
      </c>
      <c r="M30" s="81">
        <v>-5</v>
      </c>
    </row>
    <row r="31" spans="2:13">
      <c r="K31" s="77" t="s">
        <v>300</v>
      </c>
      <c r="M31" s="81">
        <v>2</v>
      </c>
    </row>
    <row r="32" spans="2:13">
      <c r="K32" s="77" t="s">
        <v>301</v>
      </c>
      <c r="M32" s="81">
        <v>1</v>
      </c>
    </row>
    <row r="33" spans="11:13">
      <c r="K33" s="88" t="s">
        <v>302</v>
      </c>
      <c r="L33" s="89"/>
      <c r="M33" s="85">
        <v>-2.4</v>
      </c>
    </row>
    <row r="34" spans="11:13">
      <c r="K34" s="90" t="s">
        <v>303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304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54296875" style="129" customWidth="1"/>
    <col min="2" max="2" width="12.453125" style="129" customWidth="1"/>
    <col min="3" max="3" width="11.81640625" style="129" customWidth="1"/>
    <col min="4" max="4" width="14.54296875" style="129" customWidth="1"/>
    <col min="5" max="5" width="23" style="129" customWidth="1"/>
    <col min="6" max="6" width="18" style="129" customWidth="1"/>
    <col min="7" max="7" width="11" style="129" customWidth="1"/>
    <col min="8" max="8" width="13.54296875" style="129" customWidth="1"/>
    <col min="9" max="9" width="3.453125" style="129" customWidth="1"/>
    <col min="10" max="10" width="12.54296875" style="129" customWidth="1"/>
    <col min="11" max="11" width="12.1796875" style="129" customWidth="1"/>
    <col min="12" max="12" width="12" style="129" customWidth="1"/>
    <col min="13" max="13" width="15.81640625" style="129" customWidth="1"/>
    <col min="14" max="14" width="2" style="129" customWidth="1"/>
    <col min="15" max="15" width="10.453125" style="129" customWidth="1"/>
    <col min="16" max="16" width="9.54296875" style="129" customWidth="1"/>
    <col min="17" max="17" width="12.1796875" style="129" customWidth="1"/>
    <col min="18" max="18" width="10.54296875" style="129" bestFit="1" customWidth="1"/>
    <col min="19" max="24" width="9.1796875" style="129" customWidth="1"/>
    <col min="25" max="16384" width="9.1796875" style="129"/>
  </cols>
  <sheetData>
    <row r="1" spans="2:22" ht="20.25" customHeight="1">
      <c r="B1" s="115" t="s">
        <v>305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304" t="s">
        <v>306</v>
      </c>
      <c r="D4" s="305"/>
      <c r="E4" s="305"/>
      <c r="F4" s="305"/>
      <c r="G4" s="305"/>
      <c r="H4" s="305"/>
      <c r="I4" s="128"/>
      <c r="J4" s="304" t="s">
        <v>307</v>
      </c>
      <c r="K4" s="305"/>
      <c r="L4" s="305"/>
      <c r="M4" s="115"/>
      <c r="N4" s="130"/>
      <c r="O4" s="130"/>
      <c r="P4" s="130"/>
    </row>
    <row r="5" spans="2:22" ht="20.25" customHeight="1">
      <c r="B5" s="115" t="s">
        <v>308</v>
      </c>
      <c r="C5" s="117" t="s">
        <v>309</v>
      </c>
      <c r="D5" s="117" t="s">
        <v>310</v>
      </c>
      <c r="E5" s="117" t="s">
        <v>311</v>
      </c>
      <c r="F5" s="117" t="s">
        <v>312</v>
      </c>
      <c r="G5" s="117" t="s">
        <v>313</v>
      </c>
      <c r="H5" s="117" t="s">
        <v>310</v>
      </c>
      <c r="I5" s="117"/>
      <c r="J5" s="117" t="s">
        <v>314</v>
      </c>
      <c r="K5" s="115" t="s">
        <v>315</v>
      </c>
      <c r="L5" s="117" t="s">
        <v>316</v>
      </c>
      <c r="M5" s="117" t="s">
        <v>317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318</v>
      </c>
      <c r="D12" s="117" t="s">
        <v>319</v>
      </c>
      <c r="E12" s="117" t="s">
        <v>320</v>
      </c>
      <c r="F12" s="117"/>
      <c r="I12" s="116"/>
      <c r="J12" s="118"/>
      <c r="K12" s="117" t="s">
        <v>321</v>
      </c>
      <c r="L12" s="116"/>
      <c r="M12" s="116"/>
      <c r="U12" s="130"/>
      <c r="V12" s="130"/>
    </row>
    <row r="13" spans="2:22" ht="20.25" customHeight="1">
      <c r="B13" s="115" t="s">
        <v>6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313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322</v>
      </c>
      <c r="D14" s="157" t="s">
        <v>316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323</v>
      </c>
      <c r="C15" s="120">
        <v>0.1</v>
      </c>
      <c r="D15" s="120">
        <v>0.14000000000000001</v>
      </c>
      <c r="E15" s="116"/>
      <c r="F15" s="116"/>
      <c r="I15" s="116"/>
      <c r="J15" s="135" t="s">
        <v>309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324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1" width="9.54296875" style="64" bestFit="1" customWidth="1"/>
    <col min="12" max="12" width="8.81640625" style="64" customWidth="1"/>
    <col min="13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240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326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242</v>
      </c>
      <c r="B7" s="65"/>
      <c r="C7" s="65"/>
      <c r="D7" s="65"/>
      <c r="E7" s="65"/>
      <c r="F7" s="65"/>
      <c r="J7" s="64" t="s">
        <v>329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245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248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331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332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334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268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309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271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335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336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218</v>
      </c>
    </row>
    <row r="16" spans="1:17">
      <c r="A16" s="64" t="s">
        <v>282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295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329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309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28">
      <c r="A19" s="64" t="s">
        <v>290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7" t="s">
        <v>337</v>
      </c>
    </row>
    <row r="20" spans="1:19">
      <c r="A20" s="64" t="s">
        <v>293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70" t="s">
        <v>295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324</v>
      </c>
      <c r="K21" s="64">
        <v>0.18</v>
      </c>
    </row>
    <row r="22" spans="1:19">
      <c r="G22" s="73"/>
      <c r="J22" s="64" t="s">
        <v>339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314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340</v>
      </c>
      <c r="K24" s="64">
        <f>30-20</f>
        <v>10</v>
      </c>
      <c r="N24" s="70"/>
    </row>
    <row r="25" spans="1:19">
      <c r="H25" s="110"/>
      <c r="J25" s="64" t="s">
        <v>341</v>
      </c>
      <c r="K25" s="66">
        <f>K23-K24</f>
        <v>607.50035360888171</v>
      </c>
    </row>
    <row r="26" spans="1:19">
      <c r="J26" s="64" t="s">
        <v>342</v>
      </c>
      <c r="K26" s="64">
        <v>50</v>
      </c>
      <c r="N26" s="70"/>
    </row>
    <row r="27" spans="1:19">
      <c r="J27" s="64" t="s">
        <v>343</v>
      </c>
      <c r="K27" s="71">
        <f>K25/K26</f>
        <v>12.150007072177635</v>
      </c>
    </row>
    <row r="28" spans="1:19">
      <c r="J28" s="64" t="s">
        <v>344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240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345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346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347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329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242</v>
      </c>
      <c r="B9" s="113"/>
      <c r="C9" s="65"/>
      <c r="D9" s="65"/>
      <c r="E9" s="65"/>
      <c r="F9" s="65"/>
      <c r="J9" s="64" t="s">
        <v>331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245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248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334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332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309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218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268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335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271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336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218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295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282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329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337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64" t="s">
        <v>290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324</v>
      </c>
      <c r="K21" s="64">
        <v>0.18</v>
      </c>
    </row>
    <row r="22" spans="1:19">
      <c r="A22" s="64" t="s">
        <v>293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339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295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348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340</v>
      </c>
      <c r="K24" s="64">
        <f>30-20</f>
        <v>10</v>
      </c>
      <c r="N24" s="70"/>
    </row>
    <row r="25" spans="1:19">
      <c r="H25" s="73"/>
      <c r="J25" s="64" t="s">
        <v>341</v>
      </c>
      <c r="K25" s="66">
        <f>K23-K24</f>
        <v>670.33731375149682</v>
      </c>
    </row>
    <row r="26" spans="1:19">
      <c r="G26" s="110"/>
      <c r="J26" s="64" t="s">
        <v>342</v>
      </c>
      <c r="K26" s="64">
        <v>50</v>
      </c>
      <c r="N26" s="70"/>
    </row>
    <row r="27" spans="1:19">
      <c r="H27" s="110"/>
      <c r="J27" s="64" t="s">
        <v>343</v>
      </c>
      <c r="K27" s="71">
        <f>K25/K26</f>
        <v>13.406746275029937</v>
      </c>
    </row>
    <row r="28" spans="1:19">
      <c r="J28" s="64" t="s">
        <v>344</v>
      </c>
      <c r="K28" s="64">
        <v>12.15</v>
      </c>
    </row>
    <row r="29" spans="1:19">
      <c r="J29" s="112" t="s">
        <v>65</v>
      </c>
      <c r="K29" s="114">
        <f>K27/K28-1</f>
        <v>0.10343590740987141</v>
      </c>
      <c r="L29" s="64" t="s">
        <v>562</v>
      </c>
    </row>
    <row r="31" spans="1:19">
      <c r="J31" s="68" t="s">
        <v>563</v>
      </c>
      <c r="K31" s="64">
        <v>0.19</v>
      </c>
    </row>
    <row r="32" spans="1:19">
      <c r="J32" s="64" t="s">
        <v>565</v>
      </c>
      <c r="R32" s="71"/>
      <c r="S32" s="71"/>
    </row>
    <row r="33" spans="10:18">
      <c r="J33" s="64" t="s">
        <v>564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566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796875" defaultRowHeight="14"/>
  <cols>
    <col min="1" max="1" width="8.54296875" style="64" customWidth="1"/>
    <col min="2" max="2" width="9.1796875" style="142" customWidth="1"/>
    <col min="3" max="3" width="22.453125" style="65" customWidth="1"/>
    <col min="4" max="4" width="32.453125" style="64" customWidth="1"/>
    <col min="5" max="5" width="10.81640625" style="64" customWidth="1"/>
    <col min="6" max="6" width="9.54296875" style="64" bestFit="1" customWidth="1"/>
    <col min="7" max="9" width="9.1796875" style="64" customWidth="1"/>
    <col min="10" max="10" width="10.1796875" style="64" bestFit="1" customWidth="1"/>
    <col min="11" max="16" width="9.1796875" style="64" customWidth="1"/>
    <col min="17" max="16384" width="9.1796875" style="64"/>
  </cols>
  <sheetData>
    <row r="1" spans="2:6">
      <c r="B1" s="143"/>
      <c r="C1" s="138"/>
      <c r="D1" s="89"/>
      <c r="E1" s="89"/>
      <c r="F1" s="89"/>
    </row>
    <row r="2" spans="2:6">
      <c r="E2" s="308" t="s">
        <v>349</v>
      </c>
      <c r="F2" s="300"/>
    </row>
    <row r="3" spans="2:6">
      <c r="B3" s="143" t="s">
        <v>350</v>
      </c>
      <c r="C3" s="138"/>
      <c r="D3" s="89"/>
      <c r="E3" s="139" t="s">
        <v>0</v>
      </c>
      <c r="F3" s="139" t="s">
        <v>1</v>
      </c>
    </row>
    <row r="4" spans="2:6" ht="14.5">
      <c r="C4" s="309"/>
      <c r="D4" s="297"/>
      <c r="E4" s="297"/>
      <c r="F4" s="297"/>
    </row>
    <row r="5" spans="2:6">
      <c r="B5" s="144">
        <v>1</v>
      </c>
      <c r="C5" s="65" t="s">
        <v>351</v>
      </c>
      <c r="D5" s="64" t="s">
        <v>234</v>
      </c>
      <c r="E5" s="64">
        <v>200</v>
      </c>
      <c r="F5" s="64">
        <v>200</v>
      </c>
    </row>
    <row r="6" spans="2:6">
      <c r="B6" s="144">
        <f>B5+1</f>
        <v>2</v>
      </c>
      <c r="C6" s="65" t="s">
        <v>231</v>
      </c>
      <c r="D6" s="64" t="s">
        <v>352</v>
      </c>
      <c r="E6" s="64">
        <v>20</v>
      </c>
      <c r="F6" s="64">
        <v>20</v>
      </c>
    </row>
    <row r="7" spans="2:6">
      <c r="B7" s="144">
        <f>B6+1</f>
        <v>3</v>
      </c>
      <c r="D7" s="140" t="s">
        <v>315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353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354</v>
      </c>
      <c r="D10" s="64" t="s">
        <v>355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356</v>
      </c>
      <c r="D11" s="64" t="s">
        <v>357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271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331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333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358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295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359</v>
      </c>
      <c r="D18" s="64" t="s">
        <v>295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360</v>
      </c>
      <c r="D19" s="64" t="s">
        <v>361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485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362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486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363</v>
      </c>
      <c r="D24" s="64" t="s">
        <v>309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364</v>
      </c>
      <c r="D25" s="64" t="s">
        <v>365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366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313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367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368</v>
      </c>
      <c r="D30" s="64" t="s">
        <v>369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370</v>
      </c>
      <c r="D31" s="64" t="s">
        <v>371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372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373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374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375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376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377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338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378</v>
      </c>
      <c r="D40" s="64" t="s">
        <v>379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380</v>
      </c>
      <c r="D41" s="64" t="s">
        <v>381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382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383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54296875" bestFit="1" customWidth="1"/>
    <col min="9" max="9" width="13.453125" bestFit="1" customWidth="1"/>
    <col min="11" max="11" width="27" bestFit="1" customWidth="1"/>
    <col min="12" max="12" width="12" bestFit="1" customWidth="1"/>
    <col min="13" max="15" width="11.54296875" bestFit="1" customWidth="1"/>
    <col min="18" max="18" width="12.54296875" bestFit="1" customWidth="1"/>
    <col min="19" max="19" width="14.54296875" bestFit="1" customWidth="1"/>
    <col min="22" max="23" width="12.54296875" bestFit="1" customWidth="1"/>
  </cols>
  <sheetData>
    <row r="1" spans="1:15">
      <c r="A1" t="s">
        <v>63</v>
      </c>
    </row>
    <row r="2" spans="1:15">
      <c r="A2">
        <v>5.0000000000000001E-3</v>
      </c>
      <c r="C2" t="s">
        <v>227</v>
      </c>
      <c r="E2" s="287" t="s">
        <v>59</v>
      </c>
      <c r="F2" s="288"/>
      <c r="G2" s="288"/>
      <c r="H2" s="288"/>
      <c r="I2" s="288"/>
    </row>
    <row r="3" spans="1:15">
      <c r="A3" t="s">
        <v>209</v>
      </c>
      <c r="B3" t="s">
        <v>384</v>
      </c>
      <c r="C3" t="s">
        <v>385</v>
      </c>
      <c r="E3" t="s">
        <v>384</v>
      </c>
      <c r="F3" t="s">
        <v>385</v>
      </c>
      <c r="G3" t="s">
        <v>385</v>
      </c>
      <c r="H3" t="s">
        <v>385</v>
      </c>
      <c r="I3" t="s">
        <v>385</v>
      </c>
    </row>
    <row r="4" spans="1:15">
      <c r="F4" t="s">
        <v>386</v>
      </c>
      <c r="G4" t="s">
        <v>387</v>
      </c>
      <c r="H4" t="s">
        <v>388</v>
      </c>
      <c r="I4" t="s">
        <v>389</v>
      </c>
      <c r="L4" t="s">
        <v>189</v>
      </c>
    </row>
    <row r="5" spans="1:15">
      <c r="A5" t="s">
        <v>390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391</v>
      </c>
      <c r="M5" t="s">
        <v>392</v>
      </c>
      <c r="N5" t="s">
        <v>393</v>
      </c>
      <c r="O5" t="s">
        <v>394</v>
      </c>
    </row>
    <row r="6" spans="1:15">
      <c r="A6" t="s">
        <v>395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396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397</v>
      </c>
      <c r="L7">
        <v>1</v>
      </c>
      <c r="M7">
        <v>1.2</v>
      </c>
      <c r="N7">
        <v>1.6</v>
      </c>
      <c r="O7">
        <v>2</v>
      </c>
    </row>
    <row r="8" spans="1:15">
      <c r="A8" t="s">
        <v>398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399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400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401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402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403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404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405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406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407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408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409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410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411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412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413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414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415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416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417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418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419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420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421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422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423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424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425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426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427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428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429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430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431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287" t="s">
        <v>156</v>
      </c>
      <c r="C1" s="288"/>
      <c r="D1" s="288"/>
      <c r="E1" s="288"/>
      <c r="F1" s="288"/>
    </row>
    <row r="2" spans="1:9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9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438</v>
      </c>
      <c r="G9" t="s">
        <v>439</v>
      </c>
      <c r="H9" t="s">
        <v>440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438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438</v>
      </c>
      <c r="B13" t="s">
        <v>0</v>
      </c>
      <c r="C13" t="s">
        <v>2</v>
      </c>
      <c r="D13" t="s">
        <v>432</v>
      </c>
      <c r="E13" t="s">
        <v>433</v>
      </c>
      <c r="F13" t="s">
        <v>139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443</v>
      </c>
      <c r="B16" t="s">
        <v>0</v>
      </c>
      <c r="C16" t="s">
        <v>2</v>
      </c>
      <c r="D16" t="s">
        <v>432</v>
      </c>
      <c r="E16" t="s">
        <v>433</v>
      </c>
      <c r="F16" t="s">
        <v>139</v>
      </c>
    </row>
    <row r="17" spans="1:6">
      <c r="A17" t="s">
        <v>171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444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5429687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194</v>
      </c>
      <c r="E2" s="1" t="s">
        <v>445</v>
      </c>
      <c r="F2" s="1" t="s">
        <v>446</v>
      </c>
      <c r="G2" s="1" t="s">
        <v>447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158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194</v>
      </c>
      <c r="E7" s="1" t="s">
        <v>445</v>
      </c>
      <c r="F7" s="1" t="s">
        <v>446</v>
      </c>
      <c r="G7" s="1" t="s">
        <v>447</v>
      </c>
      <c r="H7" s="1" t="s">
        <v>448</v>
      </c>
      <c r="I7" s="1" t="s">
        <v>449</v>
      </c>
      <c r="J7" s="1" t="s">
        <v>450</v>
      </c>
      <c r="K7" s="1" t="s">
        <v>451</v>
      </c>
    </row>
    <row r="8" spans="1:12">
      <c r="A8" s="1" t="s">
        <v>192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193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194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445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446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447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448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449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450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451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85" t="s">
        <v>197</v>
      </c>
      <c r="C19" s="288"/>
      <c r="D19" s="288"/>
    </row>
    <row r="20" spans="1:12">
      <c r="B20" s="1" t="s">
        <v>192</v>
      </c>
      <c r="C20" s="1" t="s">
        <v>193</v>
      </c>
      <c r="D20" s="1" t="s">
        <v>194</v>
      </c>
      <c r="E20" s="1" t="s">
        <v>445</v>
      </c>
      <c r="F20" s="1" t="s">
        <v>446</v>
      </c>
      <c r="G20" s="1" t="s">
        <v>447</v>
      </c>
      <c r="H20" s="1" t="s">
        <v>448</v>
      </c>
      <c r="I20" s="1" t="s">
        <v>449</v>
      </c>
      <c r="J20" s="1" t="s">
        <v>450</v>
      </c>
      <c r="K20" s="1" t="s">
        <v>451</v>
      </c>
    </row>
    <row r="21" spans="1:12">
      <c r="A21" s="1" t="s">
        <v>452</v>
      </c>
      <c r="B21" s="161">
        <v>0.12</v>
      </c>
      <c r="C21" s="161">
        <v>0.08</v>
      </c>
      <c r="D21" s="161">
        <v>0.16</v>
      </c>
      <c r="E21" s="161">
        <v>7.0000000000000007E-2</v>
      </c>
      <c r="F21" s="161">
        <v>0.08</v>
      </c>
      <c r="G21" s="161">
        <v>0.11</v>
      </c>
      <c r="H21" s="161">
        <v>0.09</v>
      </c>
      <c r="I21" s="161">
        <v>0.08</v>
      </c>
      <c r="J21" s="161">
        <v>0.11</v>
      </c>
      <c r="K21" s="161">
        <f>1-SUM(B21:J21)</f>
        <v>0.10000000000000009</v>
      </c>
    </row>
    <row r="22" spans="1:12">
      <c r="A22" s="1" t="s">
        <v>453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454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171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455</v>
      </c>
      <c r="C26" s="1" t="s">
        <v>190</v>
      </c>
      <c r="D26" s="1" t="s">
        <v>13</v>
      </c>
      <c r="E26" s="1" t="s">
        <v>65</v>
      </c>
      <c r="F26" s="1"/>
      <c r="G26" s="1"/>
      <c r="H26" s="1"/>
      <c r="I26" s="1"/>
      <c r="J26" s="1"/>
    </row>
    <row r="27" spans="1:12">
      <c r="A27" s="1" t="s">
        <v>192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193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194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445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446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447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448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449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450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451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456</v>
      </c>
      <c r="C38" t="s">
        <v>190</v>
      </c>
      <c r="D38" t="s">
        <v>13</v>
      </c>
      <c r="E38" t="s">
        <v>65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171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457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17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458</v>
      </c>
      <c r="B43">
        <f>SQRT(B40)</f>
        <v>5.0000999960443923E-2</v>
      </c>
    </row>
    <row r="44" spans="1:19">
      <c r="A44" s="1" t="s">
        <v>65</v>
      </c>
      <c r="B44">
        <f>E40</f>
        <v>3.1611561870672031E-2</v>
      </c>
    </row>
    <row r="45" spans="1:19">
      <c r="A45" s="1" t="s">
        <v>459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54296875" bestFit="1" customWidth="1"/>
    <col min="8" max="8" width="15.8164062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460</v>
      </c>
      <c r="E2" s="1" t="s">
        <v>63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460</v>
      </c>
    </row>
    <row r="8" spans="1:12">
      <c r="A8" s="1" t="s">
        <v>192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193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460</v>
      </c>
      <c r="B10">
        <v>7.8192000000000018E-3</v>
      </c>
      <c r="C10">
        <v>1.371E-2</v>
      </c>
      <c r="D10">
        <v>1.6866720000000002E-2</v>
      </c>
    </row>
    <row r="13" spans="1:12">
      <c r="B13" s="287" t="s">
        <v>197</v>
      </c>
      <c r="C13" s="288"/>
      <c r="D13" s="288"/>
    </row>
    <row r="14" spans="1:12">
      <c r="B14" s="1" t="s">
        <v>192</v>
      </c>
      <c r="C14" s="1" t="s">
        <v>193</v>
      </c>
      <c r="D14" s="1" t="s">
        <v>460</v>
      </c>
      <c r="I14" s="1">
        <v>-0.25</v>
      </c>
      <c r="J14" s="1"/>
      <c r="K14" s="1"/>
      <c r="L14" s="1"/>
    </row>
    <row r="15" spans="1:12">
      <c r="A15" s="1" t="s">
        <v>195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452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461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462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463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464</v>
      </c>
      <c r="B21" t="s">
        <v>455</v>
      </c>
      <c r="C21" t="s">
        <v>190</v>
      </c>
      <c r="D21" t="s">
        <v>13</v>
      </c>
      <c r="E21" t="s">
        <v>65</v>
      </c>
      <c r="F21" t="s">
        <v>465</v>
      </c>
    </row>
    <row r="22" spans="1:9">
      <c r="A22" s="1" t="s">
        <v>192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193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171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458</v>
      </c>
      <c r="B28">
        <f>SQRT(SUMPRODUCT(MMULT(B17:D17,B8:D10),B17:D17))</f>
        <v>4.999997371290596E-2</v>
      </c>
    </row>
    <row r="29" spans="1:9">
      <c r="A29" s="1" t="s">
        <v>65</v>
      </c>
      <c r="B29">
        <f>SUMPRODUCT(B17:D17,B3:D3)</f>
        <v>6.7571003603079105E-3</v>
      </c>
    </row>
    <row r="30" spans="1:9">
      <c r="A30" s="1" t="s">
        <v>459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471</v>
      </c>
      <c r="C3">
        <v>30</v>
      </c>
    </row>
    <row r="4" spans="1:3">
      <c r="A4" s="47" t="s">
        <v>188</v>
      </c>
      <c r="B4" t="s">
        <v>472</v>
      </c>
      <c r="C4">
        <v>0.5</v>
      </c>
    </row>
    <row r="5" spans="1:3">
      <c r="A5" t="s">
        <v>50</v>
      </c>
      <c r="B5" t="s">
        <v>473</v>
      </c>
      <c r="C5">
        <v>40</v>
      </c>
    </row>
    <row r="6" spans="1:3">
      <c r="A6" t="s">
        <v>474</v>
      </c>
      <c r="B6" t="s">
        <v>475</v>
      </c>
      <c r="C6">
        <v>0.5</v>
      </c>
    </row>
    <row r="7" spans="1:3">
      <c r="A7" t="s">
        <v>158</v>
      </c>
      <c r="B7" t="s">
        <v>476</v>
      </c>
      <c r="C7">
        <v>0.01</v>
      </c>
    </row>
    <row r="8" spans="1:3">
      <c r="A8" t="s">
        <v>477</v>
      </c>
      <c r="B8" t="s">
        <v>478</v>
      </c>
      <c r="C8">
        <v>69.342915559511255</v>
      </c>
    </row>
    <row r="9" spans="1:3">
      <c r="A9" t="s">
        <v>479</v>
      </c>
      <c r="B9" t="s">
        <v>480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481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Ex5.1.2</vt:lpstr>
      <vt:lpstr>Ex5.4.1</vt:lpstr>
      <vt:lpstr>EX7.1.1</vt:lpstr>
      <vt:lpstr>EX7.1.2</vt:lpstr>
      <vt:lpstr>EX7.1.3</vt:lpstr>
      <vt:lpstr>EX7.2.1</vt:lpstr>
      <vt:lpstr>EX7.4.1</vt:lpstr>
      <vt:lpstr>EX8.3.1</vt:lpstr>
      <vt:lpstr>EX9.1.1</vt:lpstr>
      <vt:lpstr>EX9.2.3</vt:lpstr>
      <vt:lpstr>EX9.3.1</vt:lpstr>
      <vt:lpstr>EX9.4.2A</vt:lpstr>
      <vt:lpstr>EX9.4.2B</vt:lpstr>
      <vt:lpstr>EX9.5.1</vt:lpstr>
      <vt:lpstr>EX9.5.1Old</vt:lpstr>
      <vt:lpstr>correl</vt:lpstr>
      <vt:lpstr>7-Var</vt:lpstr>
      <vt:lpstr>7-Var and Corr</vt:lpstr>
      <vt:lpstr>7-Beta_and_Var</vt:lpstr>
      <vt:lpstr>7-Google and Tech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2025-10-06T17:56:08Z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