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hb35\Documents\data\investments\PycharmProjects\Investments\"/>
    </mc:Choice>
  </mc:AlternateContent>
  <xr:revisionPtr revIDLastSave="0" documentId="8_{3403C2F7-2712-4C0E-BBE2-26897926DF97}" xr6:coauthVersionLast="47" xr6:coauthVersionMax="47" xr10:uidLastSave="{00000000-0000-0000-0000-000000000000}"/>
  <bookViews>
    <workbookView xWindow="-110" yWindow="-110" windowWidth="38620" windowHeight="21100" tabRatio="799" activeTab="6" xr2:uid="{00000000-000D-0000-FFFF-FFFF00000000}"/>
  </bookViews>
  <sheets>
    <sheet name="Ex5.1.2" sheetId="2" r:id="rId1"/>
    <sheet name="Ex5.4.1" sheetId="68" r:id="rId2"/>
    <sheet name="EX7.1.1" sheetId="3" r:id="rId3"/>
    <sheet name="EX7.1.2" sheetId="88" r:id="rId4"/>
    <sheet name="EX7.1.3" sheetId="4" r:id="rId5"/>
    <sheet name="EX7.2.1" sheetId="5" r:id="rId6"/>
    <sheet name="EX7.4.1" sheetId="50" r:id="rId7"/>
    <sheet name="7-Cov1" sheetId="6" r:id="rId8"/>
    <sheet name="7-Var" sheetId="7" r:id="rId9"/>
    <sheet name="7-Var and Corr" sheetId="54" r:id="rId10"/>
    <sheet name="7-Beta_and_Var" sheetId="69" r:id="rId11"/>
    <sheet name="7-alpha beta 1" sheetId="53" r:id="rId12"/>
    <sheet name="7-alpha beta 2" sheetId="52" r:id="rId13"/>
    <sheet name="7-Google and Tech" sheetId="11" r:id="rId14"/>
    <sheet name="7-Google Tech and Oil" sheetId="13" r:id="rId15"/>
    <sheet name="9-Lakers" sheetId="70" r:id="rId16"/>
    <sheet name="9-alpha beta" sheetId="8" r:id="rId17"/>
    <sheet name="9-Lakers2" sheetId="71" r:id="rId18"/>
    <sheet name="8-Var1" sheetId="14" r:id="rId19"/>
    <sheet name="8-Efficient Frontier" sheetId="15" r:id="rId20"/>
    <sheet name="8-active portfolio" sheetId="16" r:id="rId21"/>
    <sheet name="8-alpha" sheetId="17" r:id="rId22"/>
    <sheet name="8-Rate of Change" sheetId="19" r:id="rId23"/>
    <sheet name="9-Systematic_Risk" sheetId="22" r:id="rId24"/>
    <sheet name="8-Var2" sheetId="18" r:id="rId25"/>
    <sheet name="9-Alpha" sheetId="23" r:id="rId26"/>
    <sheet name="9-max corr" sheetId="55" r:id="rId27"/>
    <sheet name="10-Out of Sample" sheetId="25" r:id="rId28"/>
    <sheet name="10-Tangent Indirect" sheetId="56" r:id="rId29"/>
    <sheet name="10-LoBeta" sheetId="61" r:id="rId30"/>
    <sheet name="10-Estimating Alpha" sheetId="62" r:id="rId31"/>
    <sheet name="10-Tweights5" sheetId="63" r:id="rId32"/>
    <sheet name="10-FF5" sheetId="60" r:id="rId33"/>
    <sheet name="12-PE_Metrics" sheetId="64" r:id="rId34"/>
    <sheet name="13-butterfly" sheetId="48" r:id="rId35"/>
    <sheet name="FI_IRR" sheetId="72" r:id="rId36"/>
    <sheet name="FI_coupon1" sheetId="78" r:id="rId37"/>
    <sheet name="FI_parbonds" sheetId="74" r:id="rId38"/>
    <sheet name="FI_duration" sheetId="75" r:id="rId39"/>
    <sheet name="FI_Convexity" sheetId="76" r:id="rId40"/>
    <sheet name="FI_real yields" sheetId="77" r:id="rId41"/>
    <sheet name="IR-IR" sheetId="79" r:id="rId42"/>
    <sheet name="14-IR0" sheetId="80" r:id="rId43"/>
    <sheet name="14-IR1" sheetId="66" r:id="rId44"/>
    <sheet name="IR-2" sheetId="81" r:id="rId45"/>
    <sheet name="IR-3" sheetId="82" r:id="rId46"/>
    <sheet name="PA-1" sheetId="83" r:id="rId47"/>
    <sheet name="PA-2" sheetId="86" r:id="rId48"/>
    <sheet name="PA-3" sheetId="87" r:id="rId49"/>
    <sheet name="IR-measuring active risk" sheetId="42" r:id="rId50"/>
    <sheet name="15-Accounting" sheetId="36" r:id="rId51"/>
    <sheet name="15-FCFF vs FCFE" sheetId="37" r:id="rId52"/>
    <sheet name="15-Consensus Model" sheetId="38" r:id="rId53"/>
    <sheet name="15-Thesis Model" sheetId="39" r:id="rId54"/>
    <sheet name="15-Summary" sheetId="40" r:id="rId55"/>
    <sheet name="14-alpha and leverage" sheetId="41" r:id="rId56"/>
    <sheet name="14-scaling h and active risk" sheetId="43" r:id="rId57"/>
    <sheet name="14-scaling h and IR" sheetId="44" r:id="rId58"/>
    <sheet name="14-Maximizing IR1" sheetId="45" r:id="rId59"/>
    <sheet name="14-Maximizing IR" sheetId="46" r:id="rId60"/>
    <sheet name="14-Maximizing IR with ETF" sheetId="47" r:id="rId61"/>
    <sheet name="16-Debt Value" sheetId="49" r:id="rId62"/>
  </sheets>
  <definedNames>
    <definedName name="CIQWBGuid" hidden="1">"af76dde8-c140-4a3d-8b80-ff681a66c9f3"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45702.9475694444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solver_adj" localSheetId="30" hidden="1">'10-Estimating Alpha'!$I$15:$J$15</definedName>
    <definedName name="solver_adj" localSheetId="27" hidden="1">'10-Out of Sample'!$E$13</definedName>
    <definedName name="solver_adj" localSheetId="31" hidden="1">'10-Tweights5'!$K$15:$N$15</definedName>
    <definedName name="solver_adj" localSheetId="43" hidden="1">'14-IR1'!$B$14</definedName>
    <definedName name="solver_adj" localSheetId="59" hidden="1">'14-Maximizing IR'!$B$22:$J$22</definedName>
    <definedName name="solver_adj" localSheetId="58" hidden="1">'14-Maximizing IR1'!$B$14:$E$14</definedName>
    <definedName name="solver_adj" localSheetId="52" hidden="1">'15-Consensus Model'!$S$22</definedName>
    <definedName name="solver_adj" localSheetId="53" hidden="1">'15-Thesis Model'!$S$22</definedName>
    <definedName name="solver_adj" localSheetId="61" hidden="1">'16-Debt Value'!$C$8</definedName>
    <definedName name="solver_adj" localSheetId="8" hidden="1">'7-Var'!$C$37:$C$62</definedName>
    <definedName name="solver_adj" localSheetId="20" hidden="1">'8-active portfolio'!$C$13:$E$13</definedName>
    <definedName name="solver_adj" localSheetId="21" hidden="1">'8-alpha'!$K$42:$L$42</definedName>
    <definedName name="solver_adj" localSheetId="19" hidden="1">'8-Efficient Frontier'!$B$27:$C$36</definedName>
    <definedName name="solver_adj" localSheetId="24" hidden="1">'8-Var2'!$B$16:$C$16</definedName>
    <definedName name="solver_adj" localSheetId="26" hidden="1">'9-max corr'!$B$27</definedName>
    <definedName name="solver_adj" localSheetId="39" hidden="1">FI_Convexity!$G$29:$G$30</definedName>
    <definedName name="solver_adj" localSheetId="44" hidden="1">'IR-2'!$B$22:$K$22</definedName>
    <definedName name="solver_adj" localSheetId="45" hidden="1">'IR-3'!$B$22:$K$22</definedName>
    <definedName name="solver_cvg" localSheetId="30" hidden="1">0.0001</definedName>
    <definedName name="solver_cvg" localSheetId="27" hidden="1">0.0001</definedName>
    <definedName name="solver_cvg" localSheetId="31" hidden="1">0.0001</definedName>
    <definedName name="solver_cvg" localSheetId="43" hidden="1">0.0001</definedName>
    <definedName name="solver_cvg" localSheetId="59" hidden="1">0.0001</definedName>
    <definedName name="solver_cvg" localSheetId="58" hidden="1">0.0001</definedName>
    <definedName name="solver_cvg" localSheetId="52" hidden="1">0.0001</definedName>
    <definedName name="solver_cvg" localSheetId="53" hidden="1">0.0001</definedName>
    <definedName name="solver_cvg" localSheetId="61" hidden="1">0.0001</definedName>
    <definedName name="solver_cvg" localSheetId="8" hidden="1">0.0001</definedName>
    <definedName name="solver_cvg" localSheetId="20" hidden="1">0.0001</definedName>
    <definedName name="solver_cvg" localSheetId="21" hidden="1">0.0001</definedName>
    <definedName name="solver_cvg" localSheetId="19" hidden="1">0.0001</definedName>
    <definedName name="solver_cvg" localSheetId="24" hidden="1">0.0001</definedName>
    <definedName name="solver_cvg" localSheetId="26" hidden="1">0.0001</definedName>
    <definedName name="solver_cvg" localSheetId="39" hidden="1">0.0001</definedName>
    <definedName name="solver_cvg" localSheetId="44" hidden="1">0.000001</definedName>
    <definedName name="solver_cvg" localSheetId="45" hidden="1">0.0001</definedName>
    <definedName name="solver_drv" localSheetId="30" hidden="1">1</definedName>
    <definedName name="solver_drv" localSheetId="27" hidden="1">1</definedName>
    <definedName name="solver_drv" localSheetId="31" hidden="1">1</definedName>
    <definedName name="solver_drv" localSheetId="43" hidden="1">1</definedName>
    <definedName name="solver_drv" localSheetId="59" hidden="1">2</definedName>
    <definedName name="solver_drv" localSheetId="58" hidden="1">2</definedName>
    <definedName name="solver_drv" localSheetId="52" hidden="1">1</definedName>
    <definedName name="solver_drv" localSheetId="53" hidden="1">1</definedName>
    <definedName name="solver_drv" localSheetId="61" hidden="1">1</definedName>
    <definedName name="solver_drv" localSheetId="8" hidden="1">1</definedName>
    <definedName name="solver_drv" localSheetId="20" hidden="1">1</definedName>
    <definedName name="solver_drv" localSheetId="21" hidden="1">1</definedName>
    <definedName name="solver_drv" localSheetId="19" hidden="1">1</definedName>
    <definedName name="solver_drv" localSheetId="24" hidden="1">1</definedName>
    <definedName name="solver_drv" localSheetId="26" hidden="1">1</definedName>
    <definedName name="solver_drv" localSheetId="39" hidden="1">1</definedName>
    <definedName name="solver_drv" localSheetId="44" hidden="1">2</definedName>
    <definedName name="solver_drv" localSheetId="45" hidden="1">2</definedName>
    <definedName name="solver_eng" localSheetId="30" hidden="1">1</definedName>
    <definedName name="solver_eng" localSheetId="27" hidden="1">1</definedName>
    <definedName name="solver_eng" localSheetId="31" hidden="1">1</definedName>
    <definedName name="solver_eng" localSheetId="43" hidden="1">1</definedName>
    <definedName name="solver_eng" localSheetId="59" hidden="1">1</definedName>
    <definedName name="solver_eng" localSheetId="58" hidden="1">1</definedName>
    <definedName name="solver_eng" localSheetId="52" hidden="1">1</definedName>
    <definedName name="solver_eng" localSheetId="53" hidden="1">1</definedName>
    <definedName name="solver_eng" localSheetId="61" hidden="1">1</definedName>
    <definedName name="solver_eng" localSheetId="8" hidden="1">1</definedName>
    <definedName name="solver_eng" localSheetId="20" hidden="1">1</definedName>
    <definedName name="solver_eng" localSheetId="21" hidden="1">1</definedName>
    <definedName name="solver_eng" localSheetId="19" hidden="1">1</definedName>
    <definedName name="solver_eng" localSheetId="24" hidden="1">1</definedName>
    <definedName name="solver_eng" localSheetId="26" hidden="1">1</definedName>
    <definedName name="solver_eng" localSheetId="39" hidden="1">2</definedName>
    <definedName name="solver_eng" localSheetId="44" hidden="1">1</definedName>
    <definedName name="solver_eng" localSheetId="45" hidden="1">1</definedName>
    <definedName name="solver_eng" localSheetId="47" hidden="1">1</definedName>
    <definedName name="solver_est" localSheetId="30" hidden="1">1</definedName>
    <definedName name="solver_est" localSheetId="27" hidden="1">1</definedName>
    <definedName name="solver_est" localSheetId="31" hidden="1">1</definedName>
    <definedName name="solver_est" localSheetId="43" hidden="1">1</definedName>
    <definedName name="solver_est" localSheetId="59" hidden="1">1</definedName>
    <definedName name="solver_est" localSheetId="58" hidden="1">1</definedName>
    <definedName name="solver_est" localSheetId="52" hidden="1">1</definedName>
    <definedName name="solver_est" localSheetId="53" hidden="1">1</definedName>
    <definedName name="solver_est" localSheetId="61" hidden="1">1</definedName>
    <definedName name="solver_est" localSheetId="8" hidden="1">1</definedName>
    <definedName name="solver_est" localSheetId="20" hidden="1">1</definedName>
    <definedName name="solver_est" localSheetId="21" hidden="1">1</definedName>
    <definedName name="solver_est" localSheetId="19" hidden="1">1</definedName>
    <definedName name="solver_est" localSheetId="24" hidden="1">1</definedName>
    <definedName name="solver_est" localSheetId="26" hidden="1">1</definedName>
    <definedName name="solver_est" localSheetId="39" hidden="1">1</definedName>
    <definedName name="solver_est" localSheetId="44" hidden="1">1</definedName>
    <definedName name="solver_est" localSheetId="45" hidden="1">1</definedName>
    <definedName name="solver_itr" localSheetId="30" hidden="1">2147483647</definedName>
    <definedName name="solver_itr" localSheetId="27" hidden="1">2147483647</definedName>
    <definedName name="solver_itr" localSheetId="31" hidden="1">2147483647</definedName>
    <definedName name="solver_itr" localSheetId="43" hidden="1">2147483647</definedName>
    <definedName name="solver_itr" localSheetId="59" hidden="1">2147483647</definedName>
    <definedName name="solver_itr" localSheetId="58" hidden="1">2147483647</definedName>
    <definedName name="solver_itr" localSheetId="52" hidden="1">2147483647</definedName>
    <definedName name="solver_itr" localSheetId="53" hidden="1">2147483647</definedName>
    <definedName name="solver_itr" localSheetId="61" hidden="1">2147483647</definedName>
    <definedName name="solver_itr" localSheetId="8" hidden="1">2147483647</definedName>
    <definedName name="solver_itr" localSheetId="20" hidden="1">2147483647</definedName>
    <definedName name="solver_itr" localSheetId="21" hidden="1">2147483647</definedName>
    <definedName name="solver_itr" localSheetId="19" hidden="1">2147483647</definedName>
    <definedName name="solver_itr" localSheetId="24" hidden="1">2147483647</definedName>
    <definedName name="solver_itr" localSheetId="26" hidden="1">2147483647</definedName>
    <definedName name="solver_itr" localSheetId="39" hidden="1">2147483647</definedName>
    <definedName name="solver_itr" localSheetId="44" hidden="1">2147483647</definedName>
    <definedName name="solver_itr" localSheetId="45" hidden="1">2147483647</definedName>
    <definedName name="solver_lhs1" localSheetId="59" hidden="1">'14-Maximizing IR'!$B$43</definedName>
    <definedName name="solver_lhs1" localSheetId="58" hidden="1">'14-Maximizing IR1'!$H$14</definedName>
    <definedName name="solver_lhs1" localSheetId="8" hidden="1">'7-Var'!$B$64</definedName>
    <definedName name="solver_lhs1" localSheetId="20" hidden="1">'8-active portfolio'!$B$16</definedName>
    <definedName name="solver_lhs1" localSheetId="19" hidden="1">'8-Efficient Frontier'!$E$27:$E$36</definedName>
    <definedName name="solver_lhs1" localSheetId="44" hidden="1">'IR-2'!$C$40</definedName>
    <definedName name="solver_lhs1" localSheetId="45" hidden="1">'IR-3'!$C$39</definedName>
    <definedName name="solver_lhs2" localSheetId="59" hidden="1">'14-Maximizing IR'!$C$41</definedName>
    <definedName name="solver_lhs2" localSheetId="8" hidden="1">'7-Var'!$B$65</definedName>
    <definedName name="solver_lhs2" localSheetId="44" hidden="1">'IR-2'!$I$27</definedName>
    <definedName name="solver_lhs2" localSheetId="45" hidden="1">'IR-3'!$H$27</definedName>
    <definedName name="solver_lhs3" localSheetId="59" hidden="1">'14-Maximizing IR'!$I$25</definedName>
    <definedName name="solver_lhs3" localSheetId="8" hidden="1">'7-Var'!$C$64</definedName>
    <definedName name="solver_lhs3" localSheetId="44" hidden="1">'IR-2'!$M$22</definedName>
    <definedName name="solver_lhs3" localSheetId="45" hidden="1">'IR-3'!$H$27</definedName>
    <definedName name="solver_lhs4" localSheetId="8" hidden="1">'7-Var'!$C$65</definedName>
    <definedName name="solver_lhs4" localSheetId="45" hidden="1">'IR-3'!$H$27</definedName>
    <definedName name="solver_lhs5" localSheetId="45" hidden="1">'IR-3'!$H$27</definedName>
    <definedName name="solver_mip" localSheetId="30" hidden="1">2147483647</definedName>
    <definedName name="solver_mip" localSheetId="27" hidden="1">2147483647</definedName>
    <definedName name="solver_mip" localSheetId="31" hidden="1">2147483647</definedName>
    <definedName name="solver_mip" localSheetId="43" hidden="1">2147483647</definedName>
    <definedName name="solver_mip" localSheetId="59" hidden="1">2147483647</definedName>
    <definedName name="solver_mip" localSheetId="58" hidden="1">2147483647</definedName>
    <definedName name="solver_mip" localSheetId="52" hidden="1">2147483647</definedName>
    <definedName name="solver_mip" localSheetId="53" hidden="1">2147483647</definedName>
    <definedName name="solver_mip" localSheetId="61" hidden="1">2147483647</definedName>
    <definedName name="solver_mip" localSheetId="8" hidden="1">2147483647</definedName>
    <definedName name="solver_mip" localSheetId="20" hidden="1">2147483647</definedName>
    <definedName name="solver_mip" localSheetId="21" hidden="1">2147483647</definedName>
    <definedName name="solver_mip" localSheetId="19" hidden="1">2147483647</definedName>
    <definedName name="solver_mip" localSheetId="24" hidden="1">2147483647</definedName>
    <definedName name="solver_mip" localSheetId="26" hidden="1">2147483647</definedName>
    <definedName name="solver_mip" localSheetId="39" hidden="1">2147483647</definedName>
    <definedName name="solver_mip" localSheetId="44" hidden="1">2147483647</definedName>
    <definedName name="solver_mip" localSheetId="45" hidden="1">2147483647</definedName>
    <definedName name="solver_mni" localSheetId="30" hidden="1">30</definedName>
    <definedName name="solver_mni" localSheetId="27" hidden="1">30</definedName>
    <definedName name="solver_mni" localSheetId="31" hidden="1">30</definedName>
    <definedName name="solver_mni" localSheetId="43" hidden="1">30</definedName>
    <definedName name="solver_mni" localSheetId="59" hidden="1">30</definedName>
    <definedName name="solver_mni" localSheetId="58" hidden="1">30</definedName>
    <definedName name="solver_mni" localSheetId="52" hidden="1">30</definedName>
    <definedName name="solver_mni" localSheetId="53" hidden="1">30</definedName>
    <definedName name="solver_mni" localSheetId="61" hidden="1">30</definedName>
    <definedName name="solver_mni" localSheetId="8" hidden="1">30</definedName>
    <definedName name="solver_mni" localSheetId="20" hidden="1">30</definedName>
    <definedName name="solver_mni" localSheetId="21" hidden="1">30</definedName>
    <definedName name="solver_mni" localSheetId="19" hidden="1">30</definedName>
    <definedName name="solver_mni" localSheetId="24" hidden="1">30</definedName>
    <definedName name="solver_mni" localSheetId="26" hidden="1">30</definedName>
    <definedName name="solver_mni" localSheetId="39" hidden="1">30</definedName>
    <definedName name="solver_mni" localSheetId="44" hidden="1">30</definedName>
    <definedName name="solver_mni" localSheetId="45" hidden="1">30</definedName>
    <definedName name="solver_mrt" localSheetId="30" hidden="1">0.075</definedName>
    <definedName name="solver_mrt" localSheetId="27" hidden="1">0.075</definedName>
    <definedName name="solver_mrt" localSheetId="31" hidden="1">0.075</definedName>
    <definedName name="solver_mrt" localSheetId="43" hidden="1">0.075</definedName>
    <definedName name="solver_mrt" localSheetId="59" hidden="1">0.075</definedName>
    <definedName name="solver_mrt" localSheetId="58" hidden="1">0.075</definedName>
    <definedName name="solver_mrt" localSheetId="52" hidden="1">0.075</definedName>
    <definedName name="solver_mrt" localSheetId="53" hidden="1">0.075</definedName>
    <definedName name="solver_mrt" localSheetId="61" hidden="1">0.075</definedName>
    <definedName name="solver_mrt" localSheetId="8" hidden="1">0.075</definedName>
    <definedName name="solver_mrt" localSheetId="20" hidden="1">0.075</definedName>
    <definedName name="solver_mrt" localSheetId="21" hidden="1">0.075</definedName>
    <definedName name="solver_mrt" localSheetId="19" hidden="1">0.075</definedName>
    <definedName name="solver_mrt" localSheetId="24" hidden="1">0.075</definedName>
    <definedName name="solver_mrt" localSheetId="26" hidden="1">0.075</definedName>
    <definedName name="solver_mrt" localSheetId="39" hidden="1">0.075</definedName>
    <definedName name="solver_mrt" localSheetId="44" hidden="1">0.075</definedName>
    <definedName name="solver_mrt" localSheetId="45" hidden="1">0.075</definedName>
    <definedName name="solver_msl" localSheetId="30" hidden="1">2</definedName>
    <definedName name="solver_msl" localSheetId="27" hidden="1">2</definedName>
    <definedName name="solver_msl" localSheetId="31" hidden="1">2</definedName>
    <definedName name="solver_msl" localSheetId="43" hidden="1">2</definedName>
    <definedName name="solver_msl" localSheetId="59" hidden="1">2</definedName>
    <definedName name="solver_msl" localSheetId="58" hidden="1">2</definedName>
    <definedName name="solver_msl" localSheetId="52" hidden="1">2</definedName>
    <definedName name="solver_msl" localSheetId="53" hidden="1">2</definedName>
    <definedName name="solver_msl" localSheetId="61" hidden="1">2</definedName>
    <definedName name="solver_msl" localSheetId="8" hidden="1">2</definedName>
    <definedName name="solver_msl" localSheetId="20" hidden="1">2</definedName>
    <definedName name="solver_msl" localSheetId="21" hidden="1">2</definedName>
    <definedName name="solver_msl" localSheetId="19" hidden="1">2</definedName>
    <definedName name="solver_msl" localSheetId="24" hidden="1">2</definedName>
    <definedName name="solver_msl" localSheetId="26" hidden="1">2</definedName>
    <definedName name="solver_msl" localSheetId="39" hidden="1">2</definedName>
    <definedName name="solver_msl" localSheetId="44" hidden="1">2</definedName>
    <definedName name="solver_msl" localSheetId="45" hidden="1">2</definedName>
    <definedName name="solver_neg" localSheetId="30" hidden="1">2</definedName>
    <definedName name="solver_neg" localSheetId="27" hidden="1">2</definedName>
    <definedName name="solver_neg" localSheetId="31" hidden="1">2</definedName>
    <definedName name="solver_neg" localSheetId="43" hidden="1">2</definedName>
    <definedName name="solver_neg" localSheetId="59" hidden="1">2</definedName>
    <definedName name="solver_neg" localSheetId="58" hidden="1">2</definedName>
    <definedName name="solver_neg" localSheetId="52" hidden="1">2</definedName>
    <definedName name="solver_neg" localSheetId="53" hidden="1">2</definedName>
    <definedName name="solver_neg" localSheetId="61" hidden="1">1</definedName>
    <definedName name="solver_neg" localSheetId="8" hidden="1">2</definedName>
    <definedName name="solver_neg" localSheetId="20" hidden="1">2</definedName>
    <definedName name="solver_neg" localSheetId="21" hidden="1">2</definedName>
    <definedName name="solver_neg" localSheetId="19" hidden="1">2</definedName>
    <definedName name="solver_neg" localSheetId="24" hidden="1">2</definedName>
    <definedName name="solver_neg" localSheetId="26" hidden="1">2</definedName>
    <definedName name="solver_neg" localSheetId="39" hidden="1">2</definedName>
    <definedName name="solver_neg" localSheetId="44" hidden="1">2</definedName>
    <definedName name="solver_neg" localSheetId="45" hidden="1">2</definedName>
    <definedName name="solver_neg" localSheetId="47" hidden="1">1</definedName>
    <definedName name="solver_nod" localSheetId="30" hidden="1">2147483647</definedName>
    <definedName name="solver_nod" localSheetId="27" hidden="1">2147483647</definedName>
    <definedName name="solver_nod" localSheetId="31" hidden="1">2147483647</definedName>
    <definedName name="solver_nod" localSheetId="43" hidden="1">2147483647</definedName>
    <definedName name="solver_nod" localSheetId="59" hidden="1">2147483647</definedName>
    <definedName name="solver_nod" localSheetId="58" hidden="1">2147483647</definedName>
    <definedName name="solver_nod" localSheetId="52" hidden="1">2147483647</definedName>
    <definedName name="solver_nod" localSheetId="53" hidden="1">2147483647</definedName>
    <definedName name="solver_nod" localSheetId="61" hidden="1">2147483647</definedName>
    <definedName name="solver_nod" localSheetId="8" hidden="1">2147483647</definedName>
    <definedName name="solver_nod" localSheetId="20" hidden="1">2147483647</definedName>
    <definedName name="solver_nod" localSheetId="21" hidden="1">2147483647</definedName>
    <definedName name="solver_nod" localSheetId="19" hidden="1">2147483647</definedName>
    <definedName name="solver_nod" localSheetId="24" hidden="1">2147483647</definedName>
    <definedName name="solver_nod" localSheetId="26" hidden="1">2147483647</definedName>
    <definedName name="solver_nod" localSheetId="39" hidden="1">2147483647</definedName>
    <definedName name="solver_nod" localSheetId="44" hidden="1">2147483647</definedName>
    <definedName name="solver_nod" localSheetId="45" hidden="1">2147483647</definedName>
    <definedName name="solver_num" localSheetId="30" hidden="1">0</definedName>
    <definedName name="solver_num" localSheetId="27" hidden="1">0</definedName>
    <definedName name="solver_num" localSheetId="31" hidden="1">0</definedName>
    <definedName name="solver_num" localSheetId="43" hidden="1">0</definedName>
    <definedName name="solver_num" localSheetId="59" hidden="1">2</definedName>
    <definedName name="solver_num" localSheetId="58" hidden="1">1</definedName>
    <definedName name="solver_num" localSheetId="52" hidden="1">0</definedName>
    <definedName name="solver_num" localSheetId="53" hidden="1">0</definedName>
    <definedName name="solver_num" localSheetId="61" hidden="1">0</definedName>
    <definedName name="solver_num" localSheetId="8" hidden="1">4</definedName>
    <definedName name="solver_num" localSheetId="20" hidden="1">0</definedName>
    <definedName name="solver_num" localSheetId="21" hidden="1">0</definedName>
    <definedName name="solver_num" localSheetId="19" hidden="1">1</definedName>
    <definedName name="solver_num" localSheetId="24" hidden="1">0</definedName>
    <definedName name="solver_num" localSheetId="26" hidden="1">0</definedName>
    <definedName name="solver_num" localSheetId="39" hidden="1">0</definedName>
    <definedName name="solver_num" localSheetId="44" hidden="1">3</definedName>
    <definedName name="solver_num" localSheetId="45" hidden="1">2</definedName>
    <definedName name="solver_num" localSheetId="47" hidden="1">0</definedName>
    <definedName name="solver_nwt" localSheetId="30" hidden="1">1</definedName>
    <definedName name="solver_nwt" localSheetId="27" hidden="1">1</definedName>
    <definedName name="solver_nwt" localSheetId="31" hidden="1">1</definedName>
    <definedName name="solver_nwt" localSheetId="43" hidden="1">1</definedName>
    <definedName name="solver_nwt" localSheetId="59" hidden="1">1</definedName>
    <definedName name="solver_nwt" localSheetId="58" hidden="1">1</definedName>
    <definedName name="solver_nwt" localSheetId="52" hidden="1">1</definedName>
    <definedName name="solver_nwt" localSheetId="53" hidden="1">1</definedName>
    <definedName name="solver_nwt" localSheetId="61" hidden="1">1</definedName>
    <definedName name="solver_nwt" localSheetId="8" hidden="1">1</definedName>
    <definedName name="solver_nwt" localSheetId="20" hidden="1">1</definedName>
    <definedName name="solver_nwt" localSheetId="21" hidden="1">1</definedName>
    <definedName name="solver_nwt" localSheetId="19" hidden="1">1</definedName>
    <definedName name="solver_nwt" localSheetId="24" hidden="1">1</definedName>
    <definedName name="solver_nwt" localSheetId="26" hidden="1">1</definedName>
    <definedName name="solver_nwt" localSheetId="39" hidden="1">1</definedName>
    <definedName name="solver_nwt" localSheetId="44" hidden="1">1</definedName>
    <definedName name="solver_nwt" localSheetId="45" hidden="1">1</definedName>
    <definedName name="solver_opt" localSheetId="30" hidden="1">'10-Estimating Alpha'!$M$15</definedName>
    <definedName name="solver_opt" localSheetId="27" hidden="1">'10-Out of Sample'!$J$13</definedName>
    <definedName name="solver_opt" localSheetId="31" hidden="1">'10-Tweights5'!$J$21</definedName>
    <definedName name="solver_opt" localSheetId="43" hidden="1">'14-IR1'!$H$9</definedName>
    <definedName name="solver_opt" localSheetId="59" hidden="1">'14-Maximizing IR'!$B$45</definedName>
    <definedName name="solver_opt" localSheetId="58" hidden="1">'14-Maximizing IR1'!$J$14</definedName>
    <definedName name="solver_opt" localSheetId="52" hidden="1">'15-Consensus Model'!$K$27</definedName>
    <definedName name="solver_opt" localSheetId="53" hidden="1">'15-Thesis Model'!$K$27</definedName>
    <definedName name="solver_opt" localSheetId="61" hidden="1">'16-Debt Value'!$C$9</definedName>
    <definedName name="solver_opt" localSheetId="8" hidden="1">'7-Var'!$A$66</definedName>
    <definedName name="solver_opt" localSheetId="20" hidden="1">'8-active portfolio'!$B$17</definedName>
    <definedName name="solver_opt" localSheetId="21" hidden="1">'8-alpha'!$N$46</definedName>
    <definedName name="solver_opt" localSheetId="19" hidden="1">'8-Efficient Frontier'!$F$38</definedName>
    <definedName name="solver_opt" localSheetId="24" hidden="1">'8-Var2'!$B$25</definedName>
    <definedName name="solver_opt" localSheetId="26" hidden="1">'9-max corr'!$F$27</definedName>
    <definedName name="solver_opt" localSheetId="39" hidden="1">FI_Convexity!$H$40</definedName>
    <definedName name="solver_opt" localSheetId="44" hidden="1">'IR-2'!$H$27</definedName>
    <definedName name="solver_opt" localSheetId="45" hidden="1">'IR-3'!$G$27</definedName>
    <definedName name="solver_opt" localSheetId="47" hidden="1">'PA-2'!$F$3</definedName>
    <definedName name="solver_pre" localSheetId="30" hidden="1">0.000001</definedName>
    <definedName name="solver_pre" localSheetId="27" hidden="1">0.000001</definedName>
    <definedName name="solver_pre" localSheetId="31" hidden="1">0.000001</definedName>
    <definedName name="solver_pre" localSheetId="43" hidden="1">0.000001</definedName>
    <definedName name="solver_pre" localSheetId="59" hidden="1">0.000001</definedName>
    <definedName name="solver_pre" localSheetId="58" hidden="1">0.000001</definedName>
    <definedName name="solver_pre" localSheetId="52" hidden="1">0.000001</definedName>
    <definedName name="solver_pre" localSheetId="53" hidden="1">0.000001</definedName>
    <definedName name="solver_pre" localSheetId="61" hidden="1">0.000001</definedName>
    <definedName name="solver_pre" localSheetId="8" hidden="1">0.000001</definedName>
    <definedName name="solver_pre" localSheetId="20" hidden="1">0.000001</definedName>
    <definedName name="solver_pre" localSheetId="21" hidden="1">0.000001</definedName>
    <definedName name="solver_pre" localSheetId="19" hidden="1">0.000001</definedName>
    <definedName name="solver_pre" localSheetId="24" hidden="1">0.000001</definedName>
    <definedName name="solver_pre" localSheetId="26" hidden="1">0.000001</definedName>
    <definedName name="solver_pre" localSheetId="39" hidden="1">0.000001</definedName>
    <definedName name="solver_pre" localSheetId="44" hidden="1">0.000000001</definedName>
    <definedName name="solver_pre" localSheetId="45" hidden="1">0.000001</definedName>
    <definedName name="solver_rbv" localSheetId="30" hidden="1">1</definedName>
    <definedName name="solver_rbv" localSheetId="27" hidden="1">1</definedName>
    <definedName name="solver_rbv" localSheetId="31" hidden="1">1</definedName>
    <definedName name="solver_rbv" localSheetId="43" hidden="1">1</definedName>
    <definedName name="solver_rbv" localSheetId="59" hidden="1">2</definedName>
    <definedName name="solver_rbv" localSheetId="58" hidden="1">2</definedName>
    <definedName name="solver_rbv" localSheetId="52" hidden="1">1</definedName>
    <definedName name="solver_rbv" localSheetId="53" hidden="1">1</definedName>
    <definedName name="solver_rbv" localSheetId="61" hidden="1">1</definedName>
    <definedName name="solver_rbv" localSheetId="8" hidden="1">1</definedName>
    <definedName name="solver_rbv" localSheetId="20" hidden="1">1</definedName>
    <definedName name="solver_rbv" localSheetId="21" hidden="1">1</definedName>
    <definedName name="solver_rbv" localSheetId="19" hidden="1">1</definedName>
    <definedName name="solver_rbv" localSheetId="24" hidden="1">1</definedName>
    <definedName name="solver_rbv" localSheetId="26" hidden="1">1</definedName>
    <definedName name="solver_rbv" localSheetId="39" hidden="1">1</definedName>
    <definedName name="solver_rbv" localSheetId="44" hidden="1">2</definedName>
    <definedName name="solver_rbv" localSheetId="45" hidden="1">2</definedName>
    <definedName name="solver_rel1" localSheetId="59" hidden="1">2</definedName>
    <definedName name="solver_rel1" localSheetId="58" hidden="1">2</definedName>
    <definedName name="solver_rel1" localSheetId="8" hidden="1">2</definedName>
    <definedName name="solver_rel1" localSheetId="20" hidden="1">2</definedName>
    <definedName name="solver_rel1" localSheetId="19" hidden="1">2</definedName>
    <definedName name="solver_rel1" localSheetId="44" hidden="1">2</definedName>
    <definedName name="solver_rel1" localSheetId="45" hidden="1">2</definedName>
    <definedName name="solver_rel2" localSheetId="59" hidden="1">2</definedName>
    <definedName name="solver_rel2" localSheetId="8" hidden="1">2</definedName>
    <definedName name="solver_rel2" localSheetId="44" hidden="1">2</definedName>
    <definedName name="solver_rel2" localSheetId="45" hidden="1">2</definedName>
    <definedName name="solver_rel3" localSheetId="59" hidden="1">2</definedName>
    <definedName name="solver_rel3" localSheetId="8" hidden="1">2</definedName>
    <definedName name="solver_rel3" localSheetId="44" hidden="1">2</definedName>
    <definedName name="solver_rel3" localSheetId="45" hidden="1">2</definedName>
    <definedName name="solver_rel4" localSheetId="8" hidden="1">2</definedName>
    <definedName name="solver_rel4" localSheetId="45" hidden="1">2</definedName>
    <definedName name="solver_rel5" localSheetId="45" hidden="1">2</definedName>
    <definedName name="solver_rhs1" localSheetId="59" hidden="1">0.05</definedName>
    <definedName name="solver_rhs1" localSheetId="58" hidden="1">0.05</definedName>
    <definedName name="solver_rhs1" localSheetId="8" hidden="1">0</definedName>
    <definedName name="solver_rhs1" localSheetId="20" hidden="1">0.2</definedName>
    <definedName name="solver_rhs1" localSheetId="19" hidden="1">'8-Efficient Frontier'!$G$27:$G$36</definedName>
    <definedName name="solver_rhs1" localSheetId="44" hidden="1">0</definedName>
    <definedName name="solver_rhs1" localSheetId="45" hidden="1">0</definedName>
    <definedName name="solver_rhs2" localSheetId="59" hidden="1">1</definedName>
    <definedName name="solver_rhs2" localSheetId="8" hidden="1">1</definedName>
    <definedName name="solver_rhs2" localSheetId="44" hidden="1">0.05</definedName>
    <definedName name="solver_rhs2" localSheetId="45" hidden="1">0.05</definedName>
    <definedName name="solver_rhs3" localSheetId="59" hidden="1">0</definedName>
    <definedName name="solver_rhs3" localSheetId="8" hidden="1">0</definedName>
    <definedName name="solver_rhs3" localSheetId="44" hidden="1">0</definedName>
    <definedName name="solver_rhs3" localSheetId="45" hidden="1">0.05</definedName>
    <definedName name="solver_rhs4" localSheetId="8" hidden="1">1</definedName>
    <definedName name="solver_rhs4" localSheetId="45" hidden="1">0.05</definedName>
    <definedName name="solver_rhs5" localSheetId="45" hidden="1">0.05</definedName>
    <definedName name="solver_rlx" localSheetId="30" hidden="1">2</definedName>
    <definedName name="solver_rlx" localSheetId="27" hidden="1">2</definedName>
    <definedName name="solver_rlx" localSheetId="31" hidden="1">2</definedName>
    <definedName name="solver_rlx" localSheetId="43" hidden="1">2</definedName>
    <definedName name="solver_rlx" localSheetId="59" hidden="1">2</definedName>
    <definedName name="solver_rlx" localSheetId="58" hidden="1">2</definedName>
    <definedName name="solver_rlx" localSheetId="52" hidden="1">2</definedName>
    <definedName name="solver_rlx" localSheetId="53" hidden="1">2</definedName>
    <definedName name="solver_rlx" localSheetId="61" hidden="1">2</definedName>
    <definedName name="solver_rlx" localSheetId="8" hidden="1">2</definedName>
    <definedName name="solver_rlx" localSheetId="20" hidden="1">2</definedName>
    <definedName name="solver_rlx" localSheetId="21" hidden="1">2</definedName>
    <definedName name="solver_rlx" localSheetId="19" hidden="1">2</definedName>
    <definedName name="solver_rlx" localSheetId="24" hidden="1">2</definedName>
    <definedName name="solver_rlx" localSheetId="26" hidden="1">2</definedName>
    <definedName name="solver_rlx" localSheetId="39" hidden="1">2</definedName>
    <definedName name="solver_rlx" localSheetId="44" hidden="1">2</definedName>
    <definedName name="solver_rlx" localSheetId="45" hidden="1">2</definedName>
    <definedName name="solver_rsd" localSheetId="30" hidden="1">0</definedName>
    <definedName name="solver_rsd" localSheetId="27" hidden="1">0</definedName>
    <definedName name="solver_rsd" localSheetId="31" hidden="1">0</definedName>
    <definedName name="solver_rsd" localSheetId="43" hidden="1">0</definedName>
    <definedName name="solver_rsd" localSheetId="59" hidden="1">0</definedName>
    <definedName name="solver_rsd" localSheetId="58" hidden="1">0</definedName>
    <definedName name="solver_rsd" localSheetId="52" hidden="1">0</definedName>
    <definedName name="solver_rsd" localSheetId="53" hidden="1">0</definedName>
    <definedName name="solver_rsd" localSheetId="61" hidden="1">0</definedName>
    <definedName name="solver_rsd" localSheetId="8" hidden="1">0</definedName>
    <definedName name="solver_rsd" localSheetId="20" hidden="1">0</definedName>
    <definedName name="solver_rsd" localSheetId="21" hidden="1">0</definedName>
    <definedName name="solver_rsd" localSheetId="19" hidden="1">0</definedName>
    <definedName name="solver_rsd" localSheetId="24" hidden="1">0</definedName>
    <definedName name="solver_rsd" localSheetId="26" hidden="1">0</definedName>
    <definedName name="solver_rsd" localSheetId="39" hidden="1">0</definedName>
    <definedName name="solver_rsd" localSheetId="44" hidden="1">0</definedName>
    <definedName name="solver_rsd" localSheetId="45" hidden="1">0</definedName>
    <definedName name="solver_scl" localSheetId="30" hidden="1">1</definedName>
    <definedName name="solver_scl" localSheetId="27" hidden="1">1</definedName>
    <definedName name="solver_scl" localSheetId="31" hidden="1">1</definedName>
    <definedName name="solver_scl" localSheetId="43" hidden="1">1</definedName>
    <definedName name="solver_scl" localSheetId="59" hidden="1">2</definedName>
    <definedName name="solver_scl" localSheetId="58" hidden="1">2</definedName>
    <definedName name="solver_scl" localSheetId="52" hidden="1">1</definedName>
    <definedName name="solver_scl" localSheetId="53" hidden="1">1</definedName>
    <definedName name="solver_scl" localSheetId="61" hidden="1">1</definedName>
    <definedName name="solver_scl" localSheetId="8" hidden="1">1</definedName>
    <definedName name="solver_scl" localSheetId="20" hidden="1">1</definedName>
    <definedName name="solver_scl" localSheetId="21" hidden="1">1</definedName>
    <definedName name="solver_scl" localSheetId="19" hidden="1">1</definedName>
    <definedName name="solver_scl" localSheetId="24" hidden="1">1</definedName>
    <definedName name="solver_scl" localSheetId="26" hidden="1">1</definedName>
    <definedName name="solver_scl" localSheetId="39" hidden="1">1</definedName>
    <definedName name="solver_scl" localSheetId="44" hidden="1">2</definedName>
    <definedName name="solver_scl" localSheetId="45" hidden="1">2</definedName>
    <definedName name="solver_sho" localSheetId="30" hidden="1">2</definedName>
    <definedName name="solver_sho" localSheetId="27" hidden="1">2</definedName>
    <definedName name="solver_sho" localSheetId="31" hidden="1">2</definedName>
    <definedName name="solver_sho" localSheetId="43" hidden="1">2</definedName>
    <definedName name="solver_sho" localSheetId="59" hidden="1">2</definedName>
    <definedName name="solver_sho" localSheetId="58" hidden="1">2</definedName>
    <definedName name="solver_sho" localSheetId="52" hidden="1">2</definedName>
    <definedName name="solver_sho" localSheetId="53" hidden="1">2</definedName>
    <definedName name="solver_sho" localSheetId="61" hidden="1">2</definedName>
    <definedName name="solver_sho" localSheetId="8" hidden="1">2</definedName>
    <definedName name="solver_sho" localSheetId="20" hidden="1">2</definedName>
    <definedName name="solver_sho" localSheetId="21" hidden="1">2</definedName>
    <definedName name="solver_sho" localSheetId="19" hidden="1">2</definedName>
    <definedName name="solver_sho" localSheetId="24" hidden="1">2</definedName>
    <definedName name="solver_sho" localSheetId="26" hidden="1">2</definedName>
    <definedName name="solver_sho" localSheetId="39" hidden="1">2</definedName>
    <definedName name="solver_sho" localSheetId="44" hidden="1">2</definedName>
    <definedName name="solver_sho" localSheetId="45" hidden="1">2</definedName>
    <definedName name="solver_ssz" localSheetId="30" hidden="1">100</definedName>
    <definedName name="solver_ssz" localSheetId="27" hidden="1">100</definedName>
    <definedName name="solver_ssz" localSheetId="31" hidden="1">100</definedName>
    <definedName name="solver_ssz" localSheetId="43" hidden="1">100</definedName>
    <definedName name="solver_ssz" localSheetId="59" hidden="1">100</definedName>
    <definedName name="solver_ssz" localSheetId="58" hidden="1">100</definedName>
    <definedName name="solver_ssz" localSheetId="52" hidden="1">100</definedName>
    <definedName name="solver_ssz" localSheetId="53" hidden="1">100</definedName>
    <definedName name="solver_ssz" localSheetId="61" hidden="1">100</definedName>
    <definedName name="solver_ssz" localSheetId="8" hidden="1">100</definedName>
    <definedName name="solver_ssz" localSheetId="20" hidden="1">100</definedName>
    <definedName name="solver_ssz" localSheetId="21" hidden="1">100</definedName>
    <definedName name="solver_ssz" localSheetId="19" hidden="1">100</definedName>
    <definedName name="solver_ssz" localSheetId="24" hidden="1">100</definedName>
    <definedName name="solver_ssz" localSheetId="26" hidden="1">100</definedName>
    <definedName name="solver_ssz" localSheetId="39" hidden="1">100</definedName>
    <definedName name="solver_ssz" localSheetId="44" hidden="1">100</definedName>
    <definedName name="solver_ssz" localSheetId="45" hidden="1">100</definedName>
    <definedName name="solver_tim" localSheetId="30" hidden="1">2147483647</definedName>
    <definedName name="solver_tim" localSheetId="27" hidden="1">2147483647</definedName>
    <definedName name="solver_tim" localSheetId="31" hidden="1">2147483647</definedName>
    <definedName name="solver_tim" localSheetId="43" hidden="1">2147483647</definedName>
    <definedName name="solver_tim" localSheetId="59" hidden="1">2147483647</definedName>
    <definedName name="solver_tim" localSheetId="58" hidden="1">2147483647</definedName>
    <definedName name="solver_tim" localSheetId="52" hidden="1">2147483647</definedName>
    <definedName name="solver_tim" localSheetId="53" hidden="1">2147483647</definedName>
    <definedName name="solver_tim" localSheetId="61" hidden="1">2147483647</definedName>
    <definedName name="solver_tim" localSheetId="8" hidden="1">2147483647</definedName>
    <definedName name="solver_tim" localSheetId="20" hidden="1">2147483647</definedName>
    <definedName name="solver_tim" localSheetId="21" hidden="1">2147483647</definedName>
    <definedName name="solver_tim" localSheetId="19" hidden="1">2147483647</definedName>
    <definedName name="solver_tim" localSheetId="24" hidden="1">2147483647</definedName>
    <definedName name="solver_tim" localSheetId="26" hidden="1">2147483647</definedName>
    <definedName name="solver_tim" localSheetId="39" hidden="1">2147483647</definedName>
    <definedName name="solver_tim" localSheetId="44" hidden="1">2147483647</definedName>
    <definedName name="solver_tim" localSheetId="45" hidden="1">2147483647</definedName>
    <definedName name="solver_tol" localSheetId="30" hidden="1">0.01</definedName>
    <definedName name="solver_tol" localSheetId="27" hidden="1">0.01</definedName>
    <definedName name="solver_tol" localSheetId="31" hidden="1">0.01</definedName>
    <definedName name="solver_tol" localSheetId="43" hidden="1">0.01</definedName>
    <definedName name="solver_tol" localSheetId="59" hidden="1">0.01</definedName>
    <definedName name="solver_tol" localSheetId="58" hidden="1">0.01</definedName>
    <definedName name="solver_tol" localSheetId="52" hidden="1">0.01</definedName>
    <definedName name="solver_tol" localSheetId="53" hidden="1">0.01</definedName>
    <definedName name="solver_tol" localSheetId="61" hidden="1">0.01</definedName>
    <definedName name="solver_tol" localSheetId="8" hidden="1">0.01</definedName>
    <definedName name="solver_tol" localSheetId="20" hidden="1">0.01</definedName>
    <definedName name="solver_tol" localSheetId="21" hidden="1">0.01</definedName>
    <definedName name="solver_tol" localSheetId="19" hidden="1">0.01</definedName>
    <definedName name="solver_tol" localSheetId="24" hidden="1">0.01</definedName>
    <definedName name="solver_tol" localSheetId="26" hidden="1">0.01</definedName>
    <definedName name="solver_tol" localSheetId="39" hidden="1">0.01</definedName>
    <definedName name="solver_tol" localSheetId="44" hidden="1">0.01</definedName>
    <definedName name="solver_tol" localSheetId="45" hidden="1">0.01</definedName>
    <definedName name="solver_typ" localSheetId="30" hidden="1">1</definedName>
    <definedName name="solver_typ" localSheetId="27" hidden="1">1</definedName>
    <definedName name="solver_typ" localSheetId="31" hidden="1">1</definedName>
    <definedName name="solver_typ" localSheetId="43" hidden="1">3</definedName>
    <definedName name="solver_typ" localSheetId="59" hidden="1">1</definedName>
    <definedName name="solver_typ" localSheetId="58" hidden="1">1</definedName>
    <definedName name="solver_typ" localSheetId="52" hidden="1">3</definedName>
    <definedName name="solver_typ" localSheetId="53" hidden="1">3</definedName>
    <definedName name="solver_typ" localSheetId="61" hidden="1">3</definedName>
    <definedName name="solver_typ" localSheetId="8" hidden="1">3</definedName>
    <definedName name="solver_typ" localSheetId="20" hidden="1">1</definedName>
    <definedName name="solver_typ" localSheetId="21" hidden="1">1</definedName>
    <definedName name="solver_typ" localSheetId="19" hidden="1">2</definedName>
    <definedName name="solver_typ" localSheetId="24" hidden="1">1</definedName>
    <definedName name="solver_typ" localSheetId="26" hidden="1">1</definedName>
    <definedName name="solver_typ" localSheetId="39" hidden="1">3</definedName>
    <definedName name="solver_typ" localSheetId="44" hidden="1">1</definedName>
    <definedName name="solver_typ" localSheetId="45" hidden="1">1</definedName>
    <definedName name="solver_typ" localSheetId="47" hidden="1">1</definedName>
    <definedName name="solver_val" localSheetId="30" hidden="1">0</definedName>
    <definedName name="solver_val" localSheetId="27" hidden="1">0</definedName>
    <definedName name="solver_val" localSheetId="31" hidden="1">0</definedName>
    <definedName name="solver_val" localSheetId="43" hidden="1">1</definedName>
    <definedName name="solver_val" localSheetId="59" hidden="1">0</definedName>
    <definedName name="solver_val" localSheetId="58" hidden="1">0</definedName>
    <definedName name="solver_val" localSheetId="52" hidden="1">12.15</definedName>
    <definedName name="solver_val" localSheetId="53" hidden="1">12.15</definedName>
    <definedName name="solver_val" localSheetId="61" hidden="1">30</definedName>
    <definedName name="solver_val" localSheetId="8" hidden="1">0</definedName>
    <definedName name="solver_val" localSheetId="20" hidden="1">0</definedName>
    <definedName name="solver_val" localSheetId="21" hidden="1">0</definedName>
    <definedName name="solver_val" localSheetId="19" hidden="1">-0.1</definedName>
    <definedName name="solver_val" localSheetId="24" hidden="1">0</definedName>
    <definedName name="solver_val" localSheetId="26" hidden="1">0</definedName>
    <definedName name="solver_val" localSheetId="39" hidden="1">0</definedName>
    <definedName name="solver_val" localSheetId="44" hidden="1">0</definedName>
    <definedName name="solver_val" localSheetId="45" hidden="1">0</definedName>
    <definedName name="solver_val" localSheetId="47" hidden="1">0</definedName>
    <definedName name="solver_ver" localSheetId="30" hidden="1">3</definedName>
    <definedName name="solver_ver" localSheetId="27" hidden="1">3</definedName>
    <definedName name="solver_ver" localSheetId="31" hidden="1">3</definedName>
    <definedName name="solver_ver" localSheetId="43" hidden="1">3</definedName>
    <definedName name="solver_ver" localSheetId="59" hidden="1">3</definedName>
    <definedName name="solver_ver" localSheetId="58" hidden="1">3</definedName>
    <definedName name="solver_ver" localSheetId="52" hidden="1">3</definedName>
    <definedName name="solver_ver" localSheetId="53" hidden="1">3</definedName>
    <definedName name="solver_ver" localSheetId="61" hidden="1">3</definedName>
    <definedName name="solver_ver" localSheetId="8" hidden="1">3</definedName>
    <definedName name="solver_ver" localSheetId="20" hidden="1">3</definedName>
    <definedName name="solver_ver" localSheetId="21" hidden="1">3</definedName>
    <definedName name="solver_ver" localSheetId="19" hidden="1">3</definedName>
    <definedName name="solver_ver" localSheetId="24" hidden="1">3</definedName>
    <definedName name="solver_ver" localSheetId="26" hidden="1">3</definedName>
    <definedName name="solver_ver" localSheetId="39" hidden="1">3</definedName>
    <definedName name="solver_ver" localSheetId="44" hidden="1">3</definedName>
    <definedName name="solver_ver" localSheetId="45" hidden="1">3</definedName>
    <definedName name="solver_ver" localSheetId="47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50" l="1"/>
  <c r="E6" i="50"/>
  <c r="E5" i="50"/>
  <c r="G26" i="5"/>
  <c r="L66" i="5"/>
  <c r="L25" i="5"/>
  <c r="G25" i="5"/>
  <c r="G22" i="5"/>
  <c r="G21" i="5"/>
  <c r="G20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7" i="5"/>
  <c r="G1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G15" i="5" s="1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7" i="5"/>
  <c r="H10" i="5"/>
  <c r="G10" i="5"/>
  <c r="H9" i="5"/>
  <c r="G9" i="5"/>
  <c r="H8" i="5"/>
  <c r="G8" i="5"/>
  <c r="B16" i="4"/>
  <c r="B15" i="4"/>
  <c r="D18" i="88"/>
  <c r="D16" i="88"/>
  <c r="D13" i="88"/>
  <c r="D12" i="88"/>
  <c r="D11" i="88"/>
  <c r="D10" i="88"/>
  <c r="D9" i="88"/>
  <c r="D8" i="88"/>
  <c r="D7" i="88"/>
  <c r="D6" i="88"/>
  <c r="D5" i="88"/>
  <c r="D4" i="88"/>
  <c r="C5" i="88"/>
  <c r="C6" i="88"/>
  <c r="C7" i="88"/>
  <c r="C8" i="88"/>
  <c r="C9" i="88"/>
  <c r="C10" i="88"/>
  <c r="C11" i="88"/>
  <c r="C12" i="88"/>
  <c r="C13" i="88"/>
  <c r="C4" i="88"/>
  <c r="B15" i="88"/>
  <c r="C13" i="3"/>
  <c r="B8" i="3"/>
  <c r="C8" i="3" s="1"/>
  <c r="B7" i="3"/>
  <c r="C7" i="3" s="1"/>
  <c r="B6" i="3"/>
  <c r="C6" i="3" s="1"/>
  <c r="B5" i="3"/>
  <c r="C5" i="3" s="1"/>
  <c r="B4" i="3"/>
  <c r="B11" i="3" s="1"/>
  <c r="A11" i="3"/>
  <c r="E36" i="2"/>
  <c r="C26" i="2"/>
  <c r="C32" i="2"/>
  <c r="G22" i="83"/>
  <c r="G23" i="83"/>
  <c r="C17" i="83"/>
  <c r="T9" i="86"/>
  <c r="AA9" i="86" s="1"/>
  <c r="T10" i="86"/>
  <c r="T14" i="86"/>
  <c r="X14" i="86" s="1"/>
  <c r="T29" i="86"/>
  <c r="X29" i="86" s="1"/>
  <c r="T30" i="86"/>
  <c r="AD30" i="86" s="1"/>
  <c r="T39" i="86"/>
  <c r="AA39" i="86" s="1"/>
  <c r="T58" i="86"/>
  <c r="AE58" i="86" s="1"/>
  <c r="T52" i="86"/>
  <c r="AA52" i="86" s="1"/>
  <c r="T51" i="86"/>
  <c r="T50" i="86"/>
  <c r="AD50" i="86" s="1"/>
  <c r="T32" i="86"/>
  <c r="AE32" i="86" s="1"/>
  <c r="T31" i="86"/>
  <c r="T26" i="86"/>
  <c r="T7" i="86"/>
  <c r="T5" i="86"/>
  <c r="AA5" i="86" s="1"/>
  <c r="T4" i="86"/>
  <c r="X4" i="86" s="1"/>
  <c r="P61" i="86"/>
  <c r="P60" i="86"/>
  <c r="P59" i="86"/>
  <c r="P58" i="86"/>
  <c r="P57" i="86"/>
  <c r="P56" i="86"/>
  <c r="P55" i="86"/>
  <c r="P54" i="86"/>
  <c r="P53" i="86"/>
  <c r="P52" i="86"/>
  <c r="P51" i="86"/>
  <c r="P50" i="86"/>
  <c r="P49" i="86"/>
  <c r="P48" i="86"/>
  <c r="P47" i="86"/>
  <c r="P46" i="86"/>
  <c r="P45" i="86"/>
  <c r="P44" i="86"/>
  <c r="P43" i="86"/>
  <c r="P42" i="86"/>
  <c r="P41" i="86"/>
  <c r="P40" i="86"/>
  <c r="P39" i="86"/>
  <c r="P38" i="86"/>
  <c r="P37" i="86"/>
  <c r="P36" i="86"/>
  <c r="P35" i="86"/>
  <c r="P34" i="86"/>
  <c r="P33" i="86"/>
  <c r="P32" i="86"/>
  <c r="P31" i="86"/>
  <c r="P30" i="86"/>
  <c r="P29" i="86"/>
  <c r="P28" i="86"/>
  <c r="P27" i="86"/>
  <c r="P26" i="86"/>
  <c r="P25" i="86"/>
  <c r="P24" i="86"/>
  <c r="P23" i="86"/>
  <c r="P22" i="86"/>
  <c r="P21" i="86"/>
  <c r="P20" i="86"/>
  <c r="P19" i="86"/>
  <c r="P18" i="86"/>
  <c r="P17" i="86"/>
  <c r="P16" i="86"/>
  <c r="P15" i="86"/>
  <c r="P14" i="86"/>
  <c r="P13" i="86"/>
  <c r="P12" i="86"/>
  <c r="P11" i="86"/>
  <c r="P10" i="86"/>
  <c r="P9" i="86"/>
  <c r="P8" i="86"/>
  <c r="P7" i="86"/>
  <c r="P6" i="86"/>
  <c r="P5" i="86"/>
  <c r="P4" i="86"/>
  <c r="P3" i="86"/>
  <c r="P62" i="86"/>
  <c r="T56" i="86"/>
  <c r="T55" i="86"/>
  <c r="T38" i="86"/>
  <c r="AE38" i="86" s="1"/>
  <c r="T34" i="86"/>
  <c r="T17" i="86"/>
  <c r="AD17" i="86" s="1"/>
  <c r="T13" i="86"/>
  <c r="AD13" i="86" s="1"/>
  <c r="T11" i="86"/>
  <c r="G13" i="5" l="1"/>
  <c r="G14" i="5"/>
  <c r="C4" i="3"/>
  <c r="C11" i="3" s="1"/>
  <c r="X10" i="86"/>
  <c r="AD10" i="86"/>
  <c r="AC58" i="86"/>
  <c r="AA32" i="86"/>
  <c r="AB32" i="86"/>
  <c r="AA58" i="86"/>
  <c r="AD58" i="86"/>
  <c r="X50" i="86"/>
  <c r="X52" i="86"/>
  <c r="X9" i="86"/>
  <c r="AD56" i="86"/>
  <c r="X56" i="86"/>
  <c r="AE50" i="86"/>
  <c r="AE4" i="86"/>
  <c r="AE5" i="86"/>
  <c r="AE9" i="86"/>
  <c r="AE10" i="86"/>
  <c r="AC5" i="86"/>
  <c r="AB9" i="86"/>
  <c r="AC9" i="86"/>
  <c r="AD9" i="86"/>
  <c r="AA10" i="86"/>
  <c r="AC56" i="86"/>
  <c r="AB10" i="86"/>
  <c r="AC13" i="86"/>
  <c r="AC14" i="86"/>
  <c r="AE11" i="86"/>
  <c r="X11" i="86"/>
  <c r="AD11" i="86"/>
  <c r="AA11" i="86"/>
  <c r="X7" i="86"/>
  <c r="AE7" i="86"/>
  <c r="AD51" i="86"/>
  <c r="AE51" i="86"/>
  <c r="X51" i="86"/>
  <c r="AE13" i="86"/>
  <c r="AB11" i="86"/>
  <c r="AA13" i="86"/>
  <c r="AD32" i="86"/>
  <c r="AB56" i="86"/>
  <c r="AA50" i="86"/>
  <c r="AG50" i="86" s="1"/>
  <c r="U59" i="86"/>
  <c r="Y59" i="86" s="1"/>
  <c r="X13" i="86"/>
  <c r="T33" i="86"/>
  <c r="AC33" i="86" s="1"/>
  <c r="AB13" i="86"/>
  <c r="AB50" i="86"/>
  <c r="AB5" i="86"/>
  <c r="AD52" i="86"/>
  <c r="T40" i="86"/>
  <c r="T42" i="86"/>
  <c r="V42" i="86" s="1"/>
  <c r="T21" i="86"/>
  <c r="AB21" i="86" s="1"/>
  <c r="T44" i="86"/>
  <c r="V44" i="86" s="1"/>
  <c r="T45" i="86"/>
  <c r="AB45" i="86" s="1"/>
  <c r="T24" i="86"/>
  <c r="AC24" i="86" s="1"/>
  <c r="T25" i="86"/>
  <c r="V25" i="86" s="1"/>
  <c r="X26" i="86"/>
  <c r="AD26" i="86"/>
  <c r="AB26" i="86"/>
  <c r="AA26" i="86"/>
  <c r="AE26" i="86"/>
  <c r="T18" i="86"/>
  <c r="AB18" i="86" s="1"/>
  <c r="T41" i="86"/>
  <c r="AB41" i="86" s="1"/>
  <c r="T22" i="86"/>
  <c r="AC22" i="86" s="1"/>
  <c r="T23" i="86"/>
  <c r="V23" i="86" s="1"/>
  <c r="AC31" i="86"/>
  <c r="AD31" i="86"/>
  <c r="AA31" i="86"/>
  <c r="AE31" i="86"/>
  <c r="X31" i="86"/>
  <c r="AD55" i="86"/>
  <c r="AA55" i="86"/>
  <c r="AE55" i="86"/>
  <c r="T61" i="86"/>
  <c r="X38" i="86"/>
  <c r="AC38" i="86"/>
  <c r="AC39" i="86"/>
  <c r="AE52" i="86"/>
  <c r="T16" i="86"/>
  <c r="AE16" i="86" s="1"/>
  <c r="U16" i="86"/>
  <c r="Y16" i="86" s="1"/>
  <c r="AA38" i="86"/>
  <c r="AA51" i="86"/>
  <c r="X55" i="86"/>
  <c r="AE17" i="86"/>
  <c r="X17" i="86"/>
  <c r="AB38" i="86"/>
  <c r="AB51" i="86"/>
  <c r="T48" i="86"/>
  <c r="V48" i="86" s="1"/>
  <c r="AB55" i="86"/>
  <c r="AD38" i="86"/>
  <c r="X5" i="86"/>
  <c r="AD5" i="86"/>
  <c r="T27" i="86"/>
  <c r="V27" i="86" s="1"/>
  <c r="T49" i="86"/>
  <c r="V49" i="86" s="1"/>
  <c r="X58" i="86"/>
  <c r="T6" i="86"/>
  <c r="AB6" i="86" s="1"/>
  <c r="AB39" i="86"/>
  <c r="AB52" i="86"/>
  <c r="AB7" i="86"/>
  <c r="AB29" i="86"/>
  <c r="AA34" i="86"/>
  <c r="AE34" i="86"/>
  <c r="AD34" i="86"/>
  <c r="AE39" i="86"/>
  <c r="X39" i="86"/>
  <c r="AC34" i="86"/>
  <c r="AD39" i="86"/>
  <c r="T60" i="86"/>
  <c r="AB60" i="86" s="1"/>
  <c r="T15" i="86"/>
  <c r="T3" i="86"/>
  <c r="AA30" i="86"/>
  <c r="T54" i="86"/>
  <c r="V54" i="86" s="1"/>
  <c r="AE29" i="86"/>
  <c r="AD29" i="86"/>
  <c r="AA29" i="86"/>
  <c r="AD14" i="86"/>
  <c r="AE14" i="86"/>
  <c r="AA14" i="86"/>
  <c r="X30" i="86"/>
  <c r="AE30" i="86"/>
  <c r="AD7" i="86"/>
  <c r="AA7" i="86"/>
  <c r="AA4" i="86"/>
  <c r="AA17" i="86"/>
  <c r="X32" i="86"/>
  <c r="AB30" i="86"/>
  <c r="AB34" i="86"/>
  <c r="AB4" i="86"/>
  <c r="AB17" i="86"/>
  <c r="AB31" i="86"/>
  <c r="AB14" i="86"/>
  <c r="T36" i="86"/>
  <c r="AC36" i="86" s="1"/>
  <c r="AD4" i="86"/>
  <c r="AC17" i="86"/>
  <c r="AB58" i="86"/>
  <c r="X34" i="86"/>
  <c r="AC4" i="86"/>
  <c r="AC26" i="86"/>
  <c r="AC50" i="86"/>
  <c r="AC7" i="86"/>
  <c r="U29" i="86"/>
  <c r="Y29" i="86" s="1"/>
  <c r="AC51" i="86"/>
  <c r="AC30" i="86"/>
  <c r="AC52" i="86"/>
  <c r="AA56" i="86"/>
  <c r="AC10" i="86"/>
  <c r="AC32" i="86"/>
  <c r="AC11" i="86"/>
  <c r="AC55" i="86"/>
  <c r="U35" i="86"/>
  <c r="Y35" i="86" s="1"/>
  <c r="U37" i="86"/>
  <c r="Y37" i="86" s="1"/>
  <c r="U57" i="86"/>
  <c r="Y57" i="86" s="1"/>
  <c r="U56" i="86"/>
  <c r="Y56" i="86" s="1"/>
  <c r="AC29" i="86"/>
  <c r="AE56" i="86"/>
  <c r="U8" i="86"/>
  <c r="Y8" i="86" s="1"/>
  <c r="U53" i="86"/>
  <c r="Y53" i="86" s="1"/>
  <c r="U41" i="86"/>
  <c r="Y41" i="86" s="1"/>
  <c r="U52" i="86"/>
  <c r="Y52" i="86" s="1"/>
  <c r="T8" i="86"/>
  <c r="AB8" i="86" s="1"/>
  <c r="U28" i="86"/>
  <c r="Y28" i="86" s="1"/>
  <c r="U48" i="86"/>
  <c r="Y48" i="86" s="1"/>
  <c r="U30" i="86"/>
  <c r="Y30" i="86" s="1"/>
  <c r="U43" i="86"/>
  <c r="Y43" i="86" s="1"/>
  <c r="U47" i="86"/>
  <c r="Y47" i="86" s="1"/>
  <c r="U31" i="86"/>
  <c r="Y31" i="86" s="1"/>
  <c r="U50" i="86"/>
  <c r="Y50" i="86" s="1"/>
  <c r="U51" i="86"/>
  <c r="Y51" i="86" s="1"/>
  <c r="V51" i="86"/>
  <c r="V11" i="86"/>
  <c r="V26" i="86"/>
  <c r="V58" i="86"/>
  <c r="V50" i="86"/>
  <c r="V14" i="86"/>
  <c r="V17" i="86"/>
  <c r="V52" i="86"/>
  <c r="T28" i="86"/>
  <c r="U5" i="86"/>
  <c r="Y5" i="86" s="1"/>
  <c r="U10" i="86"/>
  <c r="Y10" i="86" s="1"/>
  <c r="U15" i="86"/>
  <c r="Y15" i="86" s="1"/>
  <c r="T57" i="86"/>
  <c r="AE57" i="86" s="1"/>
  <c r="U22" i="86"/>
  <c r="Y22" i="86" s="1"/>
  <c r="U23" i="86"/>
  <c r="Y23" i="86" s="1"/>
  <c r="T35" i="86"/>
  <c r="AE35" i="86" s="1"/>
  <c r="U36" i="86"/>
  <c r="Y36" i="86" s="1"/>
  <c r="T19" i="86"/>
  <c r="AC19" i="86" s="1"/>
  <c r="T59" i="86"/>
  <c r="T47" i="86"/>
  <c r="AB47" i="86" s="1"/>
  <c r="U24" i="86"/>
  <c r="Y24" i="86" s="1"/>
  <c r="T43" i="86"/>
  <c r="AC43" i="86" s="1"/>
  <c r="U44" i="86"/>
  <c r="Y44" i="86" s="1"/>
  <c r="U19" i="86"/>
  <c r="Y19" i="86" s="1"/>
  <c r="T37" i="86"/>
  <c r="U60" i="86"/>
  <c r="Y60" i="86" s="1"/>
  <c r="T46" i="86"/>
  <c r="T12" i="86"/>
  <c r="AC12" i="86" s="1"/>
  <c r="T20" i="86"/>
  <c r="U46" i="86"/>
  <c r="Y46" i="86" s="1"/>
  <c r="U12" i="86"/>
  <c r="Y12" i="86" s="1"/>
  <c r="U20" i="86"/>
  <c r="Y20" i="86" s="1"/>
  <c r="T53" i="86"/>
  <c r="AB53" i="86" s="1"/>
  <c r="U38" i="86"/>
  <c r="Y38" i="86" s="1"/>
  <c r="U33" i="86"/>
  <c r="Y33" i="86" s="1"/>
  <c r="V55" i="86"/>
  <c r="V34" i="86"/>
  <c r="V32" i="86"/>
  <c r="V29" i="86"/>
  <c r="U45" i="86"/>
  <c r="Y45" i="86" s="1"/>
  <c r="U13" i="86"/>
  <c r="Y13" i="86" s="1"/>
  <c r="U42" i="86"/>
  <c r="Y42" i="86" s="1"/>
  <c r="U7" i="86"/>
  <c r="Y7" i="86" s="1"/>
  <c r="U4" i="86"/>
  <c r="Y4" i="86" s="1"/>
  <c r="U34" i="86"/>
  <c r="Y34" i="86" s="1"/>
  <c r="U55" i="86"/>
  <c r="Y55" i="86" s="1"/>
  <c r="U32" i="86"/>
  <c r="Y32" i="86" s="1"/>
  <c r="U14" i="86"/>
  <c r="Y14" i="86" s="1"/>
  <c r="V38" i="86"/>
  <c r="U40" i="86"/>
  <c r="Y40" i="86" s="1"/>
  <c r="U61" i="86"/>
  <c r="Y61" i="86" s="1"/>
  <c r="U9" i="86"/>
  <c r="Y9" i="86" s="1"/>
  <c r="V9" i="86"/>
  <c r="U3" i="86"/>
  <c r="U54" i="86"/>
  <c r="Y54" i="86" s="1"/>
  <c r="U21" i="86"/>
  <c r="Y21" i="86" s="1"/>
  <c r="U18" i="86"/>
  <c r="Y18" i="86" s="1"/>
  <c r="U11" i="86"/>
  <c r="Y11" i="86" s="1"/>
  <c r="V13" i="86"/>
  <c r="U49" i="86"/>
  <c r="Y49" i="86" s="1"/>
  <c r="U39" i="86"/>
  <c r="Y39" i="86" s="1"/>
  <c r="U17" i="86"/>
  <c r="Y17" i="86" s="1"/>
  <c r="V30" i="86"/>
  <c r="V56" i="86"/>
  <c r="V5" i="86"/>
  <c r="U6" i="86"/>
  <c r="Y6" i="86" s="1"/>
  <c r="U25" i="86"/>
  <c r="Y25" i="86" s="1"/>
  <c r="U27" i="86"/>
  <c r="Y27" i="86" s="1"/>
  <c r="V7" i="86"/>
  <c r="V10" i="86"/>
  <c r="U26" i="86"/>
  <c r="Y26" i="86" s="1"/>
  <c r="U58" i="86"/>
  <c r="Y58" i="86" s="1"/>
  <c r="V4" i="86"/>
  <c r="V31" i="86"/>
  <c r="V39" i="86"/>
  <c r="AG13" i="86" l="1"/>
  <c r="V3" i="86"/>
  <c r="AA3" i="86"/>
  <c r="AG51" i="86"/>
  <c r="AG52" i="86"/>
  <c r="AG14" i="86"/>
  <c r="AG9" i="86"/>
  <c r="AG5" i="86"/>
  <c r="AG56" i="86"/>
  <c r="AG4" i="86"/>
  <c r="AG34" i="86"/>
  <c r="AG7" i="86"/>
  <c r="AG26" i="86"/>
  <c r="AG39" i="86"/>
  <c r="AG11" i="86"/>
  <c r="AG29" i="86"/>
  <c r="AG32" i="86"/>
  <c r="AG17" i="86"/>
  <c r="AG55" i="86"/>
  <c r="AG10" i="86"/>
  <c r="AG38" i="86"/>
  <c r="AG58" i="86"/>
  <c r="AG31" i="86"/>
  <c r="AG30" i="86"/>
  <c r="Y3" i="86"/>
  <c r="AB25" i="86"/>
  <c r="AB27" i="86"/>
  <c r="AB36" i="86"/>
  <c r="AB23" i="86"/>
  <c r="AB49" i="86"/>
  <c r="AB24" i="86"/>
  <c r="AB42" i="86"/>
  <c r="AB48" i="86"/>
  <c r="AB54" i="86"/>
  <c r="V21" i="86"/>
  <c r="AC18" i="86"/>
  <c r="V60" i="86"/>
  <c r="V16" i="86"/>
  <c r="AB44" i="86"/>
  <c r="AC23" i="86"/>
  <c r="AC57" i="86"/>
  <c r="AB16" i="86"/>
  <c r="AC21" i="86"/>
  <c r="V22" i="86"/>
  <c r="AB35" i="86"/>
  <c r="AD33" i="86"/>
  <c r="AE33" i="86"/>
  <c r="X33" i="86"/>
  <c r="AA33" i="86"/>
  <c r="V41" i="86"/>
  <c r="AB33" i="86"/>
  <c r="AB22" i="86"/>
  <c r="V33" i="86"/>
  <c r="AC54" i="86"/>
  <c r="AC41" i="86"/>
  <c r="V18" i="86"/>
  <c r="AD61" i="86"/>
  <c r="X61" i="86"/>
  <c r="AC61" i="86"/>
  <c r="AA61" i="86"/>
  <c r="AE61" i="86"/>
  <c r="V20" i="86"/>
  <c r="AE20" i="86"/>
  <c r="AA20" i="86"/>
  <c r="AD20" i="86"/>
  <c r="X20" i="86"/>
  <c r="V12" i="86"/>
  <c r="AD12" i="86"/>
  <c r="AE12" i="86"/>
  <c r="AB12" i="86"/>
  <c r="AA12" i="86"/>
  <c r="X12" i="86"/>
  <c r="V46" i="86"/>
  <c r="X46" i="86"/>
  <c r="AD46" i="86"/>
  <c r="AC46" i="86"/>
  <c r="AE46" i="86"/>
  <c r="AA46" i="86"/>
  <c r="V37" i="86"/>
  <c r="X37" i="86"/>
  <c r="AD37" i="86"/>
  <c r="AA37" i="86"/>
  <c r="X49" i="86"/>
  <c r="AD49" i="86"/>
  <c r="AC49" i="86"/>
  <c r="AA49" i="86"/>
  <c r="AE49" i="86"/>
  <c r="AE40" i="86"/>
  <c r="X40" i="86"/>
  <c r="AD40" i="86"/>
  <c r="AA40" i="86"/>
  <c r="V28" i="86"/>
  <c r="AD28" i="86"/>
  <c r="AA28" i="86"/>
  <c r="AE28" i="86"/>
  <c r="X28" i="86"/>
  <c r="AD6" i="86"/>
  <c r="AA6" i="86"/>
  <c r="X6" i="86"/>
  <c r="AE6" i="86"/>
  <c r="X25" i="86"/>
  <c r="AD25" i="86"/>
  <c r="AE25" i="86"/>
  <c r="AA25" i="86"/>
  <c r="V8" i="86"/>
  <c r="AB46" i="86"/>
  <c r="V40" i="86"/>
  <c r="V6" i="86"/>
  <c r="AD15" i="86"/>
  <c r="AA15" i="86"/>
  <c r="AE15" i="86"/>
  <c r="X15" i="86"/>
  <c r="AC40" i="86"/>
  <c r="V36" i="86"/>
  <c r="V59" i="86"/>
  <c r="AE59" i="86"/>
  <c r="AC59" i="86"/>
  <c r="AD59" i="86"/>
  <c r="AB59" i="86"/>
  <c r="X59" i="86"/>
  <c r="AA59" i="86"/>
  <c r="AC6" i="86"/>
  <c r="X45" i="86"/>
  <c r="AA45" i="86"/>
  <c r="AE45" i="86"/>
  <c r="AD45" i="86"/>
  <c r="V19" i="86"/>
  <c r="AE19" i="86"/>
  <c r="X19" i="86"/>
  <c r="AD19" i="86"/>
  <c r="AA19" i="86"/>
  <c r="AE37" i="86"/>
  <c r="AC25" i="86"/>
  <c r="AE44" i="86"/>
  <c r="X44" i="86"/>
  <c r="AD44" i="86"/>
  <c r="AA44" i="86"/>
  <c r="V15" i="86"/>
  <c r="AC45" i="86"/>
  <c r="AE21" i="86"/>
  <c r="AD21" i="86"/>
  <c r="AA21" i="86"/>
  <c r="X21" i="86"/>
  <c r="AB20" i="86"/>
  <c r="V61" i="86"/>
  <c r="AE42" i="86"/>
  <c r="AD42" i="86"/>
  <c r="AC42" i="86"/>
  <c r="AA42" i="86"/>
  <c r="X42" i="86"/>
  <c r="AC8" i="86"/>
  <c r="X3" i="86"/>
  <c r="AD3" i="86"/>
  <c r="AE3" i="86"/>
  <c r="X27" i="86"/>
  <c r="AA27" i="86"/>
  <c r="AD27" i="86"/>
  <c r="AE27" i="86"/>
  <c r="AA60" i="86"/>
  <c r="X60" i="86"/>
  <c r="AE60" i="86"/>
  <c r="AC60" i="86"/>
  <c r="AD60" i="86"/>
  <c r="AC37" i="86"/>
  <c r="AC15" i="86"/>
  <c r="V53" i="86"/>
  <c r="AD53" i="86"/>
  <c r="AC53" i="86"/>
  <c r="AA53" i="86"/>
  <c r="AE53" i="86"/>
  <c r="X53" i="86"/>
  <c r="AB19" i="86"/>
  <c r="AD8" i="86"/>
  <c r="AA8" i="86"/>
  <c r="AE8" i="86"/>
  <c r="X8" i="86"/>
  <c r="AB28" i="86"/>
  <c r="AA54" i="86"/>
  <c r="AD54" i="86"/>
  <c r="AE54" i="86"/>
  <c r="X54" i="86"/>
  <c r="AD36" i="86"/>
  <c r="AA36" i="86"/>
  <c r="AE36" i="86"/>
  <c r="X36" i="86"/>
  <c r="AA16" i="86"/>
  <c r="X16" i="86"/>
  <c r="AD16" i="86"/>
  <c r="AC16" i="86"/>
  <c r="V43" i="86"/>
  <c r="AD43" i="86"/>
  <c r="AE43" i="86"/>
  <c r="AA43" i="86"/>
  <c r="X43" i="86"/>
  <c r="X24" i="86"/>
  <c r="AE24" i="86"/>
  <c r="AD24" i="86"/>
  <c r="AA24" i="86"/>
  <c r="V47" i="86"/>
  <c r="X47" i="86"/>
  <c r="AD47" i="86"/>
  <c r="AC47" i="86"/>
  <c r="AE47" i="86"/>
  <c r="AA47" i="86"/>
  <c r="AC28" i="86"/>
  <c r="AB37" i="86"/>
  <c r="AB15" i="86"/>
  <c r="X23" i="86"/>
  <c r="AE23" i="86"/>
  <c r="AD23" i="86"/>
  <c r="AA23" i="86"/>
  <c r="AC3" i="86"/>
  <c r="AD22" i="86"/>
  <c r="AA22" i="86"/>
  <c r="X22" i="86"/>
  <c r="AE22" i="86"/>
  <c r="V35" i="86"/>
  <c r="AD35" i="86"/>
  <c r="AA35" i="86"/>
  <c r="X35" i="86"/>
  <c r="AB43" i="86"/>
  <c r="AC44" i="86"/>
  <c r="V45" i="86"/>
  <c r="X48" i="86"/>
  <c r="AD48" i="86"/>
  <c r="AC48" i="86"/>
  <c r="AA48" i="86"/>
  <c r="AE48" i="86"/>
  <c r="V24" i="86"/>
  <c r="V57" i="86"/>
  <c r="AD57" i="86"/>
  <c r="AB57" i="86"/>
  <c r="AA57" i="86"/>
  <c r="X57" i="86"/>
  <c r="AC27" i="86"/>
  <c r="AC20" i="86"/>
  <c r="AC35" i="86"/>
  <c r="AE41" i="86"/>
  <c r="AD41" i="86"/>
  <c r="X41" i="86"/>
  <c r="AA41" i="86"/>
  <c r="AB3" i="86"/>
  <c r="AB61" i="86"/>
  <c r="AE18" i="86"/>
  <c r="X18" i="86"/>
  <c r="AD18" i="86"/>
  <c r="AA18" i="86"/>
  <c r="AB40" i="86"/>
  <c r="AG24" i="86" l="1"/>
  <c r="AG41" i="86"/>
  <c r="AG42" i="86"/>
  <c r="AG47" i="86"/>
  <c r="AG19" i="86"/>
  <c r="AG3" i="86"/>
  <c r="AG8" i="86"/>
  <c r="AG18" i="86"/>
  <c r="AG44" i="86"/>
  <c r="AG12" i="86"/>
  <c r="AG22" i="86"/>
  <c r="AG37" i="86"/>
  <c r="AG60" i="86"/>
  <c r="AG28" i="86"/>
  <c r="AG54" i="86"/>
  <c r="AG35" i="86"/>
  <c r="AG15" i="86"/>
  <c r="AG27" i="86"/>
  <c r="AG20" i="86"/>
  <c r="AG49" i="86"/>
  <c r="AG40" i="86"/>
  <c r="AG43" i="86"/>
  <c r="AG57" i="86"/>
  <c r="AG23" i="86"/>
  <c r="AG45" i="86"/>
  <c r="AG46" i="86"/>
  <c r="AG61" i="86"/>
  <c r="AG16" i="86"/>
  <c r="AG59" i="86"/>
  <c r="AG21" i="86"/>
  <c r="AG6" i="86"/>
  <c r="AG53" i="86"/>
  <c r="AG25" i="86"/>
  <c r="AG33" i="86"/>
  <c r="AG48" i="86"/>
  <c r="AG36" i="86"/>
  <c r="H11" i="83"/>
  <c r="H3" i="83" s="1"/>
  <c r="G11" i="83"/>
  <c r="E7" i="83"/>
  <c r="C11" i="83" s="1"/>
  <c r="D7" i="83"/>
  <c r="G12" i="83" s="1"/>
  <c r="L22" i="82"/>
  <c r="H27" i="82" s="1"/>
  <c r="N21" i="82"/>
  <c r="D25" i="82" a="1"/>
  <c r="D25" i="82" s="1"/>
  <c r="B35" i="82"/>
  <c r="C35" i="82" s="1"/>
  <c r="B34" i="82"/>
  <c r="C34" i="82" s="1"/>
  <c r="B33" i="82"/>
  <c r="C33" i="82" s="1"/>
  <c r="B32" i="82"/>
  <c r="C32" i="82" s="1"/>
  <c r="B31" i="82"/>
  <c r="C31" i="82" s="1"/>
  <c r="B30" i="82"/>
  <c r="C30" i="82" s="1"/>
  <c r="B29" i="82"/>
  <c r="C29" i="82" s="1"/>
  <c r="B28" i="82"/>
  <c r="C28" i="82" s="1"/>
  <c r="B27" i="82"/>
  <c r="C27" i="82" s="1"/>
  <c r="B26" i="82"/>
  <c r="C26" i="82" s="1"/>
  <c r="B25" i="82"/>
  <c r="C25" i="82" s="1"/>
  <c r="K20" i="82"/>
  <c r="J20" i="82"/>
  <c r="I20" i="82"/>
  <c r="H20" i="82"/>
  <c r="G20" i="82"/>
  <c r="F20" i="82"/>
  <c r="E20" i="82"/>
  <c r="D20" i="82"/>
  <c r="C20" i="82"/>
  <c r="B20" i="82"/>
  <c r="G6" i="83" l="1"/>
  <c r="B37" i="83"/>
  <c r="C12" i="83"/>
  <c r="G5" i="83"/>
  <c r="E37" i="83"/>
  <c r="E38" i="83" s="1"/>
  <c r="D37" i="83"/>
  <c r="D38" i="83" s="1"/>
  <c r="C37" i="83"/>
  <c r="C38" i="83" s="1"/>
  <c r="F37" i="83"/>
  <c r="F38" i="83" s="1"/>
  <c r="B11" i="83"/>
  <c r="G7" i="83"/>
  <c r="J6" i="83" s="1"/>
  <c r="G4" i="83"/>
  <c r="H4" i="83"/>
  <c r="G3" i="83"/>
  <c r="H5" i="83"/>
  <c r="H12" i="83"/>
  <c r="H6" i="83" s="1"/>
  <c r="G27" i="82" a="1"/>
  <c r="G27" i="82" s="1"/>
  <c r="L20" i="82"/>
  <c r="N20" i="82" s="1"/>
  <c r="N22" i="82"/>
  <c r="C39" i="82" a="1"/>
  <c r="C39" i="82" s="1"/>
  <c r="F39" i="82" s="1"/>
  <c r="E25" i="82"/>
  <c r="D35" i="82"/>
  <c r="E35" i="82" s="1"/>
  <c r="D33" i="82"/>
  <c r="E33" i="82" s="1"/>
  <c r="D31" i="82"/>
  <c r="E31" i="82" s="1"/>
  <c r="D29" i="82"/>
  <c r="E29" i="82" s="1"/>
  <c r="D26" i="82"/>
  <c r="E26" i="82" s="1"/>
  <c r="D34" i="82"/>
  <c r="E34" i="82" s="1"/>
  <c r="D32" i="82"/>
  <c r="E32" i="82" s="1"/>
  <c r="D30" i="82"/>
  <c r="E30" i="82" s="1"/>
  <c r="D28" i="82"/>
  <c r="E28" i="82" s="1"/>
  <c r="D27" i="82"/>
  <c r="E27" i="82" s="1"/>
  <c r="G37" i="83" l="1"/>
  <c r="B38" i="83"/>
  <c r="G38" i="83" s="1"/>
  <c r="D11" i="83"/>
  <c r="D12" i="83" s="1"/>
  <c r="B12" i="83"/>
  <c r="J3" i="83"/>
  <c r="K3" i="83"/>
  <c r="K11" i="83"/>
  <c r="J11" i="83"/>
  <c r="J15" i="83" s="1"/>
  <c r="J12" i="83"/>
  <c r="J16" i="83" s="1"/>
  <c r="H7" i="83"/>
  <c r="K12" i="83" s="1"/>
  <c r="I27" i="82"/>
  <c r="C16" i="83" l="1"/>
  <c r="K16" i="83"/>
  <c r="B16" i="83"/>
  <c r="K15" i="83"/>
  <c r="D16" i="83"/>
  <c r="B17" i="83"/>
  <c r="C26" i="83"/>
  <c r="C27" i="83" s="1"/>
  <c r="K6" i="83"/>
  <c r="C21" i="83"/>
  <c r="C22" i="83" s="1"/>
  <c r="B26" i="83"/>
  <c r="B21" i="83"/>
  <c r="F34" i="81"/>
  <c r="F33" i="81"/>
  <c r="F32" i="81"/>
  <c r="F31" i="81"/>
  <c r="F30" i="81"/>
  <c r="F29" i="81"/>
  <c r="F28" i="81"/>
  <c r="F27" i="81"/>
  <c r="F26" i="81"/>
  <c r="F25" i="81"/>
  <c r="M22" i="81"/>
  <c r="H15" i="66"/>
  <c r="G17" i="80"/>
  <c r="F17" i="80"/>
  <c r="E17" i="80"/>
  <c r="D17" i="80"/>
  <c r="C17" i="80"/>
  <c r="K21" i="81"/>
  <c r="B33" i="81" s="1"/>
  <c r="D20" i="81"/>
  <c r="D25" i="81"/>
  <c r="D34" i="81"/>
  <c r="D33" i="81"/>
  <c r="D32" i="81"/>
  <c r="D31" i="81"/>
  <c r="D30" i="81"/>
  <c r="D29" i="81"/>
  <c r="D28" i="81"/>
  <c r="D27" i="81"/>
  <c r="D26" i="81"/>
  <c r="J20" i="81"/>
  <c r="I20" i="81"/>
  <c r="H20" i="81"/>
  <c r="G20" i="81"/>
  <c r="F20" i="81"/>
  <c r="E20" i="81"/>
  <c r="C20" i="81"/>
  <c r="B20" i="81"/>
  <c r="B27" i="83" l="1"/>
  <c r="D26" i="83"/>
  <c r="D27" i="83" s="1"/>
  <c r="D17" i="83"/>
  <c r="B22" i="83"/>
  <c r="D21" i="83"/>
  <c r="D22" i="83" s="1"/>
  <c r="I27" i="81"/>
  <c r="M21" i="81"/>
  <c r="B30" i="81"/>
  <c r="B28" i="81"/>
  <c r="B36" i="81"/>
  <c r="B32" i="81"/>
  <c r="B29" i="81"/>
  <c r="B26" i="81"/>
  <c r="B37" i="81"/>
  <c r="B31" i="81"/>
  <c r="B27" i="81"/>
  <c r="C27" i="81" s="1"/>
  <c r="B25" i="81"/>
  <c r="B34" i="81"/>
  <c r="C26" i="81"/>
  <c r="C32" i="81"/>
  <c r="E32" i="81" s="1"/>
  <c r="C29" i="81"/>
  <c r="E29" i="81" s="1"/>
  <c r="C25" i="81"/>
  <c r="C34" i="81"/>
  <c r="E34" i="81" s="1"/>
  <c r="C33" i="81"/>
  <c r="E33" i="81" s="1"/>
  <c r="C28" i="81"/>
  <c r="E28" i="81" s="1"/>
  <c r="C31" i="81"/>
  <c r="E31" i="81" s="1"/>
  <c r="C30" i="81"/>
  <c r="E30" i="81" s="1"/>
  <c r="K20" i="81"/>
  <c r="M20" i="81" s="1"/>
  <c r="B32" i="83" l="1"/>
  <c r="B33" i="83" s="1"/>
  <c r="C40" i="81" a="1"/>
  <c r="C40" i="81" s="1"/>
  <c r="E25" i="81"/>
  <c r="E26" i="81"/>
  <c r="E27" i="81"/>
  <c r="H27" i="81" l="1" a="1"/>
  <c r="H27" i="81" s="1"/>
  <c r="J27" i="81" s="1"/>
  <c r="J15" i="66"/>
  <c r="C27" i="80"/>
  <c r="E25" i="80"/>
  <c r="E24" i="80"/>
  <c r="E23" i="80"/>
  <c r="E22" i="80"/>
  <c r="E21" i="80"/>
  <c r="C28" i="80"/>
  <c r="C25" i="80"/>
  <c r="C24" i="80"/>
  <c r="C23" i="80"/>
  <c r="D23" i="80" s="1"/>
  <c r="C22" i="80"/>
  <c r="C21" i="80"/>
  <c r="D21" i="80" s="1"/>
  <c r="I16" i="80"/>
  <c r="I15" i="80"/>
  <c r="G13" i="42"/>
  <c r="C16" i="42"/>
  <c r="G5" i="79"/>
  <c r="D11" i="79"/>
  <c r="D12" i="79"/>
  <c r="D13" i="79"/>
  <c r="D14" i="79"/>
  <c r="D15" i="79"/>
  <c r="D16" i="79"/>
  <c r="D17" i="79"/>
  <c r="D18" i="79"/>
  <c r="D19" i="79"/>
  <c r="D20" i="79"/>
  <c r="D21" i="79"/>
  <c r="D22" i="79"/>
  <c r="D23" i="79"/>
  <c r="D24" i="79"/>
  <c r="D25" i="79"/>
  <c r="D33" i="79"/>
  <c r="D34" i="79"/>
  <c r="D35" i="79"/>
  <c r="D36" i="79"/>
  <c r="D37" i="79"/>
  <c r="D38" i="79"/>
  <c r="D39" i="79"/>
  <c r="D40" i="79"/>
  <c r="D41" i="79"/>
  <c r="D42" i="79"/>
  <c r="D43" i="79"/>
  <c r="D44" i="79"/>
  <c r="D45" i="79"/>
  <c r="D46" i="79"/>
  <c r="D47" i="79"/>
  <c r="D55" i="79"/>
  <c r="D56" i="79"/>
  <c r="D57" i="79"/>
  <c r="D58" i="79"/>
  <c r="D59" i="79"/>
  <c r="D60" i="79"/>
  <c r="D61" i="79"/>
  <c r="D4" i="79"/>
  <c r="D5" i="79"/>
  <c r="D6" i="79"/>
  <c r="D7" i="79"/>
  <c r="D8" i="79"/>
  <c r="D9" i="79"/>
  <c r="D10" i="79"/>
  <c r="D26" i="79"/>
  <c r="D27" i="79"/>
  <c r="D28" i="79"/>
  <c r="D29" i="79"/>
  <c r="D30" i="79"/>
  <c r="D31" i="79"/>
  <c r="D32" i="79"/>
  <c r="D48" i="79"/>
  <c r="D49" i="79"/>
  <c r="D50" i="79"/>
  <c r="D51" i="79"/>
  <c r="D52" i="79"/>
  <c r="D53" i="79"/>
  <c r="D54" i="79"/>
  <c r="D3" i="79"/>
  <c r="G3" i="79"/>
  <c r="N7" i="78"/>
  <c r="K4" i="78"/>
  <c r="I7" i="78"/>
  <c r="I6" i="78"/>
  <c r="I5" i="78"/>
  <c r="I4" i="78"/>
  <c r="I11" i="78"/>
  <c r="D8" i="74"/>
  <c r="C8" i="74"/>
  <c r="B8" i="74"/>
  <c r="D6" i="74"/>
  <c r="C6" i="74"/>
  <c r="B6" i="74"/>
  <c r="F7" i="78"/>
  <c r="F6" i="78"/>
  <c r="F5" i="78"/>
  <c r="F4" i="78"/>
  <c r="D7" i="78"/>
  <c r="D6" i="78"/>
  <c r="D5" i="78"/>
  <c r="D4" i="78"/>
  <c r="D24" i="56"/>
  <c r="D23" i="56"/>
  <c r="D22" i="56"/>
  <c r="I22" i="56"/>
  <c r="H22" i="56"/>
  <c r="G22" i="56"/>
  <c r="F22" i="56"/>
  <c r="F14" i="56"/>
  <c r="D14" i="56"/>
  <c r="D15" i="77"/>
  <c r="C12" i="77"/>
  <c r="I17" i="80" l="1"/>
  <c r="F21" i="80"/>
  <c r="D22" i="80"/>
  <c r="D25" i="80"/>
  <c r="D24" i="80"/>
  <c r="C31" i="80" s="1" a="1"/>
  <c r="C31" i="80" s="1"/>
  <c r="F25" i="80"/>
  <c r="F22" i="80"/>
  <c r="F23" i="80"/>
  <c r="G4" i="79"/>
  <c r="D10" i="78"/>
  <c r="F3" i="78" s="1"/>
  <c r="F10" i="78" s="1"/>
  <c r="G10" i="77"/>
  <c r="E7" i="77"/>
  <c r="E6" i="77"/>
  <c r="E5" i="77"/>
  <c r="E4" i="77"/>
  <c r="E10" i="77" s="1"/>
  <c r="F10" i="77" s="1"/>
  <c r="D10" i="77"/>
  <c r="D7" i="77"/>
  <c r="D6" i="77"/>
  <c r="D5" i="77"/>
  <c r="D4" i="77"/>
  <c r="D3" i="77"/>
  <c r="B10" i="77"/>
  <c r="J37" i="76"/>
  <c r="G34" i="76"/>
  <c r="G33" i="76"/>
  <c r="G31" i="76"/>
  <c r="F37" i="76" s="1"/>
  <c r="H37" i="76" s="1"/>
  <c r="F35" i="76"/>
  <c r="F31" i="76"/>
  <c r="K19" i="76"/>
  <c r="J19" i="76"/>
  <c r="K28" i="76"/>
  <c r="K26" i="76"/>
  <c r="K23" i="76"/>
  <c r="K22" i="76"/>
  <c r="J23" i="76"/>
  <c r="J22" i="76"/>
  <c r="K18" i="76"/>
  <c r="P14" i="76"/>
  <c r="P15" i="76"/>
  <c r="P16" i="76"/>
  <c r="P17" i="76"/>
  <c r="P18" i="76"/>
  <c r="P19" i="76"/>
  <c r="P20" i="76"/>
  <c r="P21" i="76"/>
  <c r="P22" i="76"/>
  <c r="P23" i="76"/>
  <c r="P24" i="76"/>
  <c r="P25" i="76"/>
  <c r="P26" i="76"/>
  <c r="P27" i="76"/>
  <c r="P28" i="76"/>
  <c r="P29" i="76"/>
  <c r="P30" i="76"/>
  <c r="P31" i="76"/>
  <c r="P32" i="76"/>
  <c r="P13" i="76"/>
  <c r="R32" i="76"/>
  <c r="R31" i="76"/>
  <c r="R30" i="76"/>
  <c r="R29" i="76"/>
  <c r="R28" i="76"/>
  <c r="R27" i="76"/>
  <c r="R26" i="76"/>
  <c r="R25" i="76"/>
  <c r="R24" i="76"/>
  <c r="R23" i="76"/>
  <c r="R22" i="76"/>
  <c r="R21" i="76"/>
  <c r="R20" i="76"/>
  <c r="R19" i="76"/>
  <c r="R18" i="76"/>
  <c r="R17" i="76"/>
  <c r="R16" i="76"/>
  <c r="R15" i="76"/>
  <c r="R14" i="76"/>
  <c r="R13" i="76"/>
  <c r="F8" i="76"/>
  <c r="F5" i="76"/>
  <c r="F4" i="76"/>
  <c r="F3" i="76"/>
  <c r="F2" i="76"/>
  <c r="D8" i="76"/>
  <c r="D11" i="76" s="1"/>
  <c r="D5" i="76"/>
  <c r="D4" i="76"/>
  <c r="D3" i="76"/>
  <c r="D2" i="76"/>
  <c r="C8" i="76"/>
  <c r="C5" i="76"/>
  <c r="C4" i="76"/>
  <c r="C3" i="76"/>
  <c r="C2" i="76"/>
  <c r="D24" i="75"/>
  <c r="D21" i="75"/>
  <c r="D20" i="75"/>
  <c r="D19" i="75"/>
  <c r="D18" i="75"/>
  <c r="D17" i="75"/>
  <c r="D16" i="75"/>
  <c r="D15" i="75"/>
  <c r="D14" i="75"/>
  <c r="D13" i="75"/>
  <c r="D12" i="75"/>
  <c r="D11" i="75"/>
  <c r="D10" i="75"/>
  <c r="D9" i="75"/>
  <c r="D8" i="75"/>
  <c r="D7" i="75"/>
  <c r="D6" i="75"/>
  <c r="D5" i="75"/>
  <c r="D4" i="75"/>
  <c r="D3" i="75"/>
  <c r="D2" i="75"/>
  <c r="D27" i="75"/>
  <c r="C24" i="75"/>
  <c r="C21" i="75"/>
  <c r="C20" i="75"/>
  <c r="C19" i="75"/>
  <c r="C18" i="75"/>
  <c r="C17" i="75"/>
  <c r="C16" i="75"/>
  <c r="C15" i="75"/>
  <c r="C14" i="75"/>
  <c r="C13" i="75"/>
  <c r="C12" i="75"/>
  <c r="C11" i="75"/>
  <c r="C10" i="75"/>
  <c r="C9" i="75"/>
  <c r="C8" i="75"/>
  <c r="C7" i="75"/>
  <c r="C6" i="75"/>
  <c r="C5" i="75"/>
  <c r="C4" i="75"/>
  <c r="C3" i="75"/>
  <c r="C2" i="75"/>
  <c r="B7" i="72"/>
  <c r="B10" i="74"/>
  <c r="E5" i="72"/>
  <c r="L6" i="70"/>
  <c r="I35" i="70"/>
  <c r="I14" i="70"/>
  <c r="I13" i="70"/>
  <c r="G11" i="70"/>
  <c r="G10" i="70" s="1"/>
  <c r="G6" i="70"/>
  <c r="I34" i="70" s="1"/>
  <c r="C9" i="49"/>
  <c r="B14" i="49"/>
  <c r="B15" i="47"/>
  <c r="C15" i="47"/>
  <c r="D17" i="47"/>
  <c r="B29" i="47" s="1"/>
  <c r="B30" i="47" s="1"/>
  <c r="I18" i="47"/>
  <c r="B22" i="47"/>
  <c r="C22" i="47" s="1"/>
  <c r="B24" i="47"/>
  <c r="C23" i="47" s="1"/>
  <c r="D22" i="47"/>
  <c r="E22" i="47" s="1"/>
  <c r="B23" i="47"/>
  <c r="D23" i="47"/>
  <c r="E23" i="47" s="1"/>
  <c r="D24" i="47"/>
  <c r="B28" i="47"/>
  <c r="K21" i="46"/>
  <c r="K22" i="46"/>
  <c r="K23" i="46" s="1"/>
  <c r="B23" i="46"/>
  <c r="C23" i="46"/>
  <c r="D23" i="46"/>
  <c r="E23" i="46"/>
  <c r="F23" i="46"/>
  <c r="G23" i="46"/>
  <c r="H23" i="46"/>
  <c r="I23" i="46"/>
  <c r="J23" i="46"/>
  <c r="B27" i="46"/>
  <c r="B39" i="46"/>
  <c r="C34" i="46" s="1"/>
  <c r="E34" i="46" s="1"/>
  <c r="D27" i="46"/>
  <c r="D39" i="46"/>
  <c r="B28" i="46"/>
  <c r="D28" i="46"/>
  <c r="B29" i="46"/>
  <c r="D29" i="46"/>
  <c r="B30" i="46"/>
  <c r="D30" i="46"/>
  <c r="B31" i="46"/>
  <c r="C31" i="46" s="1"/>
  <c r="D31" i="46"/>
  <c r="E31" i="46" s="1"/>
  <c r="B32" i="46"/>
  <c r="C32" i="46"/>
  <c r="E32" i="46" s="1"/>
  <c r="D32" i="46"/>
  <c r="B33" i="46"/>
  <c r="C33" i="46" s="1"/>
  <c r="E33" i="46" s="1"/>
  <c r="D33" i="46"/>
  <c r="B34" i="46"/>
  <c r="D34" i="46"/>
  <c r="B35" i="46"/>
  <c r="C35" i="46" s="1"/>
  <c r="E35" i="46" s="1"/>
  <c r="D35" i="46"/>
  <c r="B36" i="46"/>
  <c r="D36" i="46"/>
  <c r="B40" i="46"/>
  <c r="B43" i="46" s="1"/>
  <c r="D40" i="46"/>
  <c r="F14" i="45"/>
  <c r="I14" i="45" s="1"/>
  <c r="J14" i="45" s="1"/>
  <c r="H14" i="45"/>
  <c r="F17" i="45"/>
  <c r="B18" i="45"/>
  <c r="C18" i="45"/>
  <c r="D18" i="45"/>
  <c r="E18" i="45"/>
  <c r="F18" i="45"/>
  <c r="F14" i="44"/>
  <c r="H14" i="44" s="1"/>
  <c r="I14" i="44"/>
  <c r="B15" i="44"/>
  <c r="F15" i="44" s="1"/>
  <c r="I15" i="44" s="1"/>
  <c r="C15" i="44"/>
  <c r="D15" i="44"/>
  <c r="H15" i="44" s="1"/>
  <c r="E15" i="44"/>
  <c r="B16" i="44"/>
  <c r="F16" i="44" s="1"/>
  <c r="I16" i="44" s="1"/>
  <c r="C16" i="44"/>
  <c r="D16" i="44"/>
  <c r="E16" i="44"/>
  <c r="F10" i="43"/>
  <c r="F11" i="43" s="1"/>
  <c r="H10" i="43"/>
  <c r="I11" i="43" s="1"/>
  <c r="B11" i="43"/>
  <c r="H11" i="43" s="1"/>
  <c r="C11" i="43"/>
  <c r="D11" i="43"/>
  <c r="E11" i="43"/>
  <c r="B12" i="43"/>
  <c r="C12" i="43"/>
  <c r="D12" i="43"/>
  <c r="E12" i="43"/>
  <c r="G12" i="42"/>
  <c r="B16" i="42"/>
  <c r="D16" i="42"/>
  <c r="E16" i="42"/>
  <c r="F16" i="42"/>
  <c r="E5" i="41"/>
  <c r="F5" i="41"/>
  <c r="L6" i="41" s="1"/>
  <c r="G5" i="41"/>
  <c r="H5" i="41"/>
  <c r="I5" i="41"/>
  <c r="E6" i="41"/>
  <c r="F6" i="41"/>
  <c r="G6" i="41"/>
  <c r="H6" i="41"/>
  <c r="I6" i="41"/>
  <c r="F7" i="41"/>
  <c r="E7" i="41"/>
  <c r="F8" i="41"/>
  <c r="E8" i="41"/>
  <c r="F9" i="41"/>
  <c r="F10" i="41"/>
  <c r="F11" i="41"/>
  <c r="F12" i="41"/>
  <c r="F13" i="41"/>
  <c r="F14" i="41"/>
  <c r="F15" i="41"/>
  <c r="F16" i="41"/>
  <c r="F17" i="41"/>
  <c r="F18" i="41"/>
  <c r="F19" i="41"/>
  <c r="F20" i="41"/>
  <c r="F21" i="41"/>
  <c r="F22" i="41"/>
  <c r="F23" i="41"/>
  <c r="F24" i="41"/>
  <c r="F25" i="41"/>
  <c r="F26" i="41"/>
  <c r="F27" i="41"/>
  <c r="F28" i="41"/>
  <c r="F29" i="41"/>
  <c r="F30" i="41"/>
  <c r="F31" i="41"/>
  <c r="F32" i="41"/>
  <c r="F33" i="41"/>
  <c r="F34" i="41"/>
  <c r="F35" i="41"/>
  <c r="F36" i="41"/>
  <c r="F37" i="41"/>
  <c r="F38" i="41"/>
  <c r="F39" i="41"/>
  <c r="F40" i="41"/>
  <c r="E9" i="41"/>
  <c r="E10" i="41"/>
  <c r="E11" i="41"/>
  <c r="E12" i="41"/>
  <c r="E13" i="41"/>
  <c r="E14" i="41"/>
  <c r="E15" i="41"/>
  <c r="E16" i="41"/>
  <c r="E17" i="41"/>
  <c r="E18" i="41"/>
  <c r="E19" i="41"/>
  <c r="E20" i="41"/>
  <c r="E21" i="41"/>
  <c r="E22" i="41"/>
  <c r="E23" i="41"/>
  <c r="E24" i="41"/>
  <c r="E25" i="41"/>
  <c r="E26" i="41"/>
  <c r="E27" i="41"/>
  <c r="E28" i="41"/>
  <c r="E29" i="41"/>
  <c r="E30" i="41"/>
  <c r="E31" i="41"/>
  <c r="E32" i="41"/>
  <c r="E33" i="41"/>
  <c r="E34" i="41"/>
  <c r="E35" i="41"/>
  <c r="E36" i="41"/>
  <c r="E37" i="41"/>
  <c r="E38" i="41"/>
  <c r="E39" i="41"/>
  <c r="E40" i="41"/>
  <c r="G7" i="41"/>
  <c r="G8" i="41"/>
  <c r="G9" i="41"/>
  <c r="G10" i="41"/>
  <c r="G11" i="41"/>
  <c r="G12" i="41"/>
  <c r="G13" i="41"/>
  <c r="G14" i="41"/>
  <c r="G15" i="41"/>
  <c r="G16" i="41"/>
  <c r="G17" i="41"/>
  <c r="G18" i="41"/>
  <c r="G19" i="41"/>
  <c r="G20" i="41"/>
  <c r="G21" i="41"/>
  <c r="G22" i="41"/>
  <c r="G23" i="41"/>
  <c r="G24" i="41"/>
  <c r="G25" i="41"/>
  <c r="G26" i="41"/>
  <c r="G27" i="41"/>
  <c r="G28" i="41"/>
  <c r="G29" i="41"/>
  <c r="G30" i="41"/>
  <c r="G31" i="41"/>
  <c r="G32" i="41"/>
  <c r="G33" i="41"/>
  <c r="G34" i="41"/>
  <c r="G35" i="41"/>
  <c r="G36" i="41"/>
  <c r="G37" i="41"/>
  <c r="G38" i="41"/>
  <c r="G39" i="41"/>
  <c r="G40" i="41"/>
  <c r="H7" i="41"/>
  <c r="H8" i="41"/>
  <c r="H9" i="41"/>
  <c r="H10" i="41"/>
  <c r="H11" i="41"/>
  <c r="H12" i="41"/>
  <c r="H13" i="41"/>
  <c r="H14" i="41"/>
  <c r="H15" i="41"/>
  <c r="H16" i="41"/>
  <c r="H17" i="41"/>
  <c r="H18" i="41"/>
  <c r="H19" i="41"/>
  <c r="H20" i="41"/>
  <c r="H21" i="41"/>
  <c r="H22" i="41"/>
  <c r="H23" i="41"/>
  <c r="H24" i="41"/>
  <c r="H25" i="41"/>
  <c r="H26" i="41"/>
  <c r="H27" i="41"/>
  <c r="H28" i="41"/>
  <c r="H29" i="41"/>
  <c r="H30" i="41"/>
  <c r="H31" i="41"/>
  <c r="H32" i="41"/>
  <c r="H33" i="41"/>
  <c r="H34" i="41"/>
  <c r="H35" i="41"/>
  <c r="H36" i="41"/>
  <c r="H37" i="41"/>
  <c r="H38" i="41"/>
  <c r="H39" i="41"/>
  <c r="H40" i="41"/>
  <c r="I7" i="41"/>
  <c r="I8" i="41"/>
  <c r="I9" i="41"/>
  <c r="I10" i="41"/>
  <c r="I11" i="41"/>
  <c r="I12" i="41"/>
  <c r="I13" i="41"/>
  <c r="I14" i="41"/>
  <c r="I15" i="41"/>
  <c r="I16" i="41"/>
  <c r="I17" i="41"/>
  <c r="I18" i="41"/>
  <c r="I19" i="41"/>
  <c r="I20" i="41"/>
  <c r="I21" i="41"/>
  <c r="I22" i="41"/>
  <c r="I23" i="41"/>
  <c r="I24" i="41"/>
  <c r="I25" i="41"/>
  <c r="I26" i="41"/>
  <c r="I27" i="41"/>
  <c r="I28" i="41"/>
  <c r="I29" i="41"/>
  <c r="I30" i="41"/>
  <c r="I31" i="41"/>
  <c r="I32" i="41"/>
  <c r="I33" i="41"/>
  <c r="I34" i="41"/>
  <c r="I35" i="41"/>
  <c r="I36" i="41"/>
  <c r="I37" i="41"/>
  <c r="I38" i="41"/>
  <c r="I39" i="41"/>
  <c r="I40" i="41"/>
  <c r="B6" i="40"/>
  <c r="B7" i="40" s="1"/>
  <c r="B8" i="40" s="1"/>
  <c r="B10" i="40" s="1"/>
  <c r="B11" i="40" s="1"/>
  <c r="B12" i="40" s="1"/>
  <c r="B13" i="40" s="1"/>
  <c r="B14" i="40" s="1"/>
  <c r="B15" i="40" s="1"/>
  <c r="B16" i="40" s="1"/>
  <c r="B18" i="40" s="1"/>
  <c r="B19" i="40" s="1"/>
  <c r="B20" i="40" s="1"/>
  <c r="B21" i="40" s="1"/>
  <c r="B22" i="40" s="1"/>
  <c r="B24" i="40" s="1"/>
  <c r="B25" i="40" s="1"/>
  <c r="B26" i="40" s="1"/>
  <c r="B27" i="40" s="1"/>
  <c r="B28" i="40" s="1"/>
  <c r="B30" i="40" s="1"/>
  <c r="B31" i="40" s="1"/>
  <c r="B32" i="40" s="1"/>
  <c r="B33" i="40" s="1"/>
  <c r="B34" i="40" s="1"/>
  <c r="B35" i="40" s="1"/>
  <c r="B36" i="40" s="1"/>
  <c r="B37" i="40" s="1"/>
  <c r="B38" i="40" s="1"/>
  <c r="B40" i="40" s="1"/>
  <c r="B41" i="40" s="1"/>
  <c r="E8" i="40"/>
  <c r="F8" i="40"/>
  <c r="E12" i="40"/>
  <c r="F12" i="40"/>
  <c r="F15" i="40" s="1"/>
  <c r="E13" i="40"/>
  <c r="F13" i="40"/>
  <c r="E31" i="40"/>
  <c r="F31" i="40"/>
  <c r="E32" i="40"/>
  <c r="F32" i="40"/>
  <c r="B42" i="40"/>
  <c r="F3" i="39"/>
  <c r="O3" i="39" s="1"/>
  <c r="O20" i="39" s="1"/>
  <c r="C4" i="39"/>
  <c r="C15" i="39" s="1"/>
  <c r="C21" i="39" s="1"/>
  <c r="D4" i="39"/>
  <c r="D15" i="39" s="1"/>
  <c r="D21" i="39" s="1"/>
  <c r="E4" i="39"/>
  <c r="E10" i="39" s="1"/>
  <c r="F5" i="39"/>
  <c r="G5" i="39"/>
  <c r="H5" i="39"/>
  <c r="B15" i="39"/>
  <c r="B14" i="39" s="1"/>
  <c r="B21" i="39"/>
  <c r="B22" i="39" s="1"/>
  <c r="E15" i="39"/>
  <c r="E21" i="39" s="1"/>
  <c r="Q5" i="39"/>
  <c r="K9" i="39"/>
  <c r="L9" i="39"/>
  <c r="M9" i="39"/>
  <c r="M11" i="39" s="1"/>
  <c r="N9" i="39"/>
  <c r="O9" i="39"/>
  <c r="P9" i="39"/>
  <c r="P11" i="39" s="1"/>
  <c r="Q9" i="39"/>
  <c r="B11" i="39"/>
  <c r="B10" i="39"/>
  <c r="C11" i="39"/>
  <c r="E11" i="39"/>
  <c r="K11" i="39"/>
  <c r="L11" i="39"/>
  <c r="N11" i="39"/>
  <c r="O11" i="39"/>
  <c r="Q11" i="39"/>
  <c r="E14" i="39"/>
  <c r="K24" i="39"/>
  <c r="F3" i="38"/>
  <c r="O3" i="38" s="1"/>
  <c r="O20" i="38" s="1"/>
  <c r="B9" i="38"/>
  <c r="B10" i="38" s="1"/>
  <c r="C9" i="38"/>
  <c r="C10" i="38" s="1"/>
  <c r="C13" i="38"/>
  <c r="C19" i="38" s="1"/>
  <c r="D9" i="38"/>
  <c r="E9" i="38"/>
  <c r="E13" i="38" s="1"/>
  <c r="F9" i="38"/>
  <c r="F13" i="38"/>
  <c r="F19" i="38"/>
  <c r="F20" i="38" s="1"/>
  <c r="G9" i="38"/>
  <c r="G10" i="38" s="1"/>
  <c r="G13" i="38"/>
  <c r="G14" i="38" s="1"/>
  <c r="H9" i="38"/>
  <c r="H10" i="38" s="1"/>
  <c r="H13" i="38"/>
  <c r="H14" i="38" s="1"/>
  <c r="C5" i="38"/>
  <c r="D5" i="38"/>
  <c r="E5" i="38"/>
  <c r="F5" i="38"/>
  <c r="G5" i="38"/>
  <c r="H5" i="38"/>
  <c r="Q5" i="38"/>
  <c r="K9" i="38"/>
  <c r="K11" i="38" s="1"/>
  <c r="L9" i="38"/>
  <c r="L11" i="38" s="1"/>
  <c r="M9" i="38"/>
  <c r="M11" i="38" s="1"/>
  <c r="N9" i="38"/>
  <c r="N11" i="38" s="1"/>
  <c r="O9" i="38"/>
  <c r="O11" i="38" s="1"/>
  <c r="P9" i="38"/>
  <c r="P11" i="38" s="1"/>
  <c r="Q9" i="38"/>
  <c r="Q11" i="38" s="1"/>
  <c r="F10" i="38"/>
  <c r="C14" i="38"/>
  <c r="F14" i="38"/>
  <c r="R22" i="38"/>
  <c r="R23" i="38" s="1"/>
  <c r="K24" i="38"/>
  <c r="D13" i="37"/>
  <c r="C16" i="37"/>
  <c r="D7" i="37" s="1"/>
  <c r="D10" i="37"/>
  <c r="J9" i="37" s="1"/>
  <c r="I9" i="36"/>
  <c r="I10" i="36"/>
  <c r="I25" i="36" s="1"/>
  <c r="I17" i="36"/>
  <c r="M8" i="36"/>
  <c r="D11" i="36"/>
  <c r="D14" i="36"/>
  <c r="D16" i="36" s="1"/>
  <c r="M17" i="36"/>
  <c r="I21" i="36"/>
  <c r="D22" i="36"/>
  <c r="I22" i="36"/>
  <c r="M23" i="36"/>
  <c r="D24" i="36"/>
  <c r="D25" i="36"/>
  <c r="D26" i="36"/>
  <c r="M27" i="36"/>
  <c r="M28" i="36" s="1"/>
  <c r="M34" i="36"/>
  <c r="F13" i="66"/>
  <c r="D14" i="66"/>
  <c r="B15" i="66"/>
  <c r="C15" i="66"/>
  <c r="C18" i="66" s="1"/>
  <c r="C19" i="66" s="1"/>
  <c r="B3" i="48"/>
  <c r="C3" i="48"/>
  <c r="D3" i="48"/>
  <c r="F3" i="48"/>
  <c r="A4" i="48"/>
  <c r="D4" i="64"/>
  <c r="D5" i="64" s="1"/>
  <c r="D6" i="64" s="1"/>
  <c r="D7" i="64" s="1"/>
  <c r="G4" i="64"/>
  <c r="G5" i="64"/>
  <c r="G6" i="64"/>
  <c r="G7" i="64"/>
  <c r="D8" i="64"/>
  <c r="D9" i="64" s="1"/>
  <c r="D10" i="64" s="1"/>
  <c r="D11" i="64" s="1"/>
  <c r="D12" i="64" s="1"/>
  <c r="D14" i="64" s="1"/>
  <c r="D15" i="64" s="1"/>
  <c r="G8" i="64"/>
  <c r="G19" i="64" s="1"/>
  <c r="G9" i="64"/>
  <c r="G10" i="64"/>
  <c r="G11" i="64"/>
  <c r="G12" i="64"/>
  <c r="H13" i="64"/>
  <c r="H19" i="64" s="1"/>
  <c r="H24" i="64" s="1"/>
  <c r="G14" i="64"/>
  <c r="G15" i="64"/>
  <c r="H16" i="64"/>
  <c r="H17" i="64"/>
  <c r="H21" i="64"/>
  <c r="H22" i="64" s="1"/>
  <c r="H23" i="64"/>
  <c r="J3" i="63"/>
  <c r="J25" i="63" s="1"/>
  <c r="K25" i="63" s="1"/>
  <c r="K3" i="63"/>
  <c r="L3" i="63"/>
  <c r="M3" i="63"/>
  <c r="N3" i="63"/>
  <c r="J4" i="63"/>
  <c r="K4" i="63"/>
  <c r="L4" i="63"/>
  <c r="M4" i="63"/>
  <c r="N4" i="63"/>
  <c r="J5" i="63"/>
  <c r="K5" i="63"/>
  <c r="L5" i="63"/>
  <c r="M5" i="63"/>
  <c r="N5" i="63"/>
  <c r="J6" i="63"/>
  <c r="K6" i="63"/>
  <c r="L6" i="63"/>
  <c r="M6" i="63"/>
  <c r="N6" i="63"/>
  <c r="J7" i="63"/>
  <c r="K7" i="63"/>
  <c r="J19" i="63" s="1"/>
  <c r="L7" i="63"/>
  <c r="M7" i="63"/>
  <c r="N7" i="63"/>
  <c r="J11" i="63"/>
  <c r="K11" i="63"/>
  <c r="L11" i="63"/>
  <c r="M11" i="63"/>
  <c r="N11" i="63"/>
  <c r="J24" i="63"/>
  <c r="O3" i="62"/>
  <c r="O4" i="62"/>
  <c r="O5" i="62"/>
  <c r="O6" i="62"/>
  <c r="O7" i="62"/>
  <c r="O8" i="62"/>
  <c r="O9" i="62"/>
  <c r="H10" i="62"/>
  <c r="I10" i="62"/>
  <c r="J10" i="62"/>
  <c r="O10" i="62"/>
  <c r="O11" i="62"/>
  <c r="O12" i="62"/>
  <c r="O13" i="62"/>
  <c r="O14" i="62"/>
  <c r="K15" i="62"/>
  <c r="M15" i="62" s="1"/>
  <c r="L15" i="62"/>
  <c r="O15" i="62"/>
  <c r="O16" i="62"/>
  <c r="O17" i="62"/>
  <c r="O18" i="62"/>
  <c r="O19" i="62"/>
  <c r="O20" i="62"/>
  <c r="O21" i="62"/>
  <c r="O22" i="62"/>
  <c r="O23" i="62"/>
  <c r="O24" i="62"/>
  <c r="O25" i="62"/>
  <c r="O26" i="62"/>
  <c r="O27" i="62"/>
  <c r="O28" i="62"/>
  <c r="O29" i="62"/>
  <c r="O30" i="62"/>
  <c r="O31" i="62"/>
  <c r="O32" i="62"/>
  <c r="O33" i="62"/>
  <c r="O34" i="62"/>
  <c r="O35" i="62"/>
  <c r="O36" i="62"/>
  <c r="O37" i="62"/>
  <c r="O38" i="62"/>
  <c r="O39" i="62"/>
  <c r="O40" i="62"/>
  <c r="O41" i="62"/>
  <c r="O42" i="62"/>
  <c r="O43" i="62"/>
  <c r="O44" i="62"/>
  <c r="O45" i="62"/>
  <c r="O46" i="62"/>
  <c r="O47" i="62"/>
  <c r="O48" i="62"/>
  <c r="O49" i="62"/>
  <c r="O50" i="62"/>
  <c r="O51" i="62"/>
  <c r="O52" i="62"/>
  <c r="O53" i="62"/>
  <c r="O54" i="62"/>
  <c r="O55" i="62"/>
  <c r="O56" i="62"/>
  <c r="O57" i="62"/>
  <c r="O58" i="62"/>
  <c r="O59" i="62"/>
  <c r="O60" i="62"/>
  <c r="O61" i="62"/>
  <c r="O62" i="62"/>
  <c r="F5" i="56"/>
  <c r="F6" i="56"/>
  <c r="F7" i="56"/>
  <c r="F10" i="56" s="1"/>
  <c r="F8" i="56"/>
  <c r="D10" i="56"/>
  <c r="E10" i="56"/>
  <c r="D15" i="56"/>
  <c r="E15" i="56" s="1"/>
  <c r="F15" i="56"/>
  <c r="D16" i="56"/>
  <c r="E16" i="56" s="1"/>
  <c r="F16" i="56"/>
  <c r="D17" i="56"/>
  <c r="E17" i="56" s="1"/>
  <c r="F17" i="56"/>
  <c r="A3" i="25"/>
  <c r="F13" i="25"/>
  <c r="L3" i="25"/>
  <c r="N3" i="25"/>
  <c r="P3" i="25"/>
  <c r="Q3" i="25"/>
  <c r="L4" i="25"/>
  <c r="N4" i="25"/>
  <c r="P4" i="25"/>
  <c r="Q4" i="25"/>
  <c r="F5" i="25"/>
  <c r="H13" i="25" s="1"/>
  <c r="I13" i="25" s="1"/>
  <c r="G5" i="25"/>
  <c r="L5" i="25"/>
  <c r="N5" i="25"/>
  <c r="P5" i="25"/>
  <c r="Q5" i="25"/>
  <c r="F6" i="25"/>
  <c r="G6" i="25"/>
  <c r="L6" i="25"/>
  <c r="N6" i="25" s="1"/>
  <c r="P6" i="25"/>
  <c r="Q6" i="25"/>
  <c r="L7" i="25"/>
  <c r="N7" i="25" s="1"/>
  <c r="P7" i="25"/>
  <c r="Q7" i="25"/>
  <c r="L8" i="25"/>
  <c r="N8" i="25" s="1"/>
  <c r="P8" i="25"/>
  <c r="Q8" i="25"/>
  <c r="P9" i="25"/>
  <c r="L9" i="25"/>
  <c r="N9" i="25"/>
  <c r="P10" i="25"/>
  <c r="L10" i="25"/>
  <c r="N10" i="25"/>
  <c r="P11" i="25"/>
  <c r="P12" i="25"/>
  <c r="P13" i="25"/>
  <c r="P14" i="25"/>
  <c r="P15" i="25"/>
  <c r="P16" i="25"/>
  <c r="P17" i="25"/>
  <c r="P18" i="25"/>
  <c r="P19" i="25"/>
  <c r="P20" i="25"/>
  <c r="P21" i="25"/>
  <c r="P22" i="25"/>
  <c r="P23" i="25"/>
  <c r="P24" i="25"/>
  <c r="P25" i="25"/>
  <c r="P26" i="25"/>
  <c r="L11" i="25"/>
  <c r="N11" i="25" s="1"/>
  <c r="L12" i="25"/>
  <c r="N12" i="25" s="1"/>
  <c r="L13" i="25"/>
  <c r="N13" i="25"/>
  <c r="L14" i="25"/>
  <c r="N14" i="25"/>
  <c r="L15" i="25"/>
  <c r="N15" i="25" s="1"/>
  <c r="L16" i="25"/>
  <c r="N16" i="25" s="1"/>
  <c r="L17" i="25"/>
  <c r="N17" i="25"/>
  <c r="L18" i="25"/>
  <c r="N18" i="25" s="1"/>
  <c r="L19" i="25"/>
  <c r="N19" i="25"/>
  <c r="L20" i="25"/>
  <c r="N20" i="25" s="1"/>
  <c r="L21" i="25"/>
  <c r="N21" i="25"/>
  <c r="L22" i="25"/>
  <c r="N22" i="25"/>
  <c r="L23" i="25"/>
  <c r="N23" i="25" s="1"/>
  <c r="L24" i="25"/>
  <c r="N24" i="25"/>
  <c r="L25" i="25"/>
  <c r="N25" i="25"/>
  <c r="L26" i="25"/>
  <c r="N26" i="25" s="1"/>
  <c r="Q9" i="25"/>
  <c r="Q10" i="25"/>
  <c r="Q11" i="25"/>
  <c r="Q12" i="25"/>
  <c r="Q13" i="25"/>
  <c r="Q14" i="25"/>
  <c r="Q15" i="25"/>
  <c r="Q16" i="25"/>
  <c r="Q17" i="25"/>
  <c r="Q18" i="25"/>
  <c r="Q19" i="25"/>
  <c r="Q20" i="25"/>
  <c r="Q21" i="25"/>
  <c r="Q22" i="25"/>
  <c r="Q23" i="25"/>
  <c r="Q24" i="25"/>
  <c r="Q25" i="25"/>
  <c r="Q26" i="25"/>
  <c r="F9" i="25"/>
  <c r="G9" i="25"/>
  <c r="G13" i="25" s="1"/>
  <c r="J13" i="25" s="1"/>
  <c r="L27" i="25"/>
  <c r="N27" i="25" s="1"/>
  <c r="U9" i="25" s="1"/>
  <c r="P27" i="25"/>
  <c r="Q27" i="25"/>
  <c r="L28" i="25"/>
  <c r="N28" i="25" s="1"/>
  <c r="P28" i="25"/>
  <c r="Q28" i="25"/>
  <c r="L29" i="25"/>
  <c r="N29" i="25" s="1"/>
  <c r="P29" i="25"/>
  <c r="Q29" i="25"/>
  <c r="L30" i="25"/>
  <c r="N30" i="25"/>
  <c r="P30" i="25"/>
  <c r="Q30" i="25"/>
  <c r="L31" i="25"/>
  <c r="N31" i="25" s="1"/>
  <c r="P31" i="25"/>
  <c r="Q31" i="25"/>
  <c r="L32" i="25"/>
  <c r="N32" i="25"/>
  <c r="P32" i="25"/>
  <c r="Q32" i="25"/>
  <c r="L33" i="25"/>
  <c r="N33" i="25"/>
  <c r="P33" i="25"/>
  <c r="Q33" i="25"/>
  <c r="L34" i="25"/>
  <c r="N34" i="25"/>
  <c r="P34" i="25"/>
  <c r="Q34" i="25"/>
  <c r="L35" i="25"/>
  <c r="N35" i="25" s="1"/>
  <c r="P35" i="25"/>
  <c r="Q35" i="25"/>
  <c r="L36" i="25"/>
  <c r="N36" i="25"/>
  <c r="P36" i="25"/>
  <c r="Q36" i="25"/>
  <c r="L37" i="25"/>
  <c r="N37" i="25" s="1"/>
  <c r="P37" i="25"/>
  <c r="Q37" i="25"/>
  <c r="L38" i="25"/>
  <c r="N38" i="25" s="1"/>
  <c r="P38" i="25"/>
  <c r="Q38" i="25"/>
  <c r="L39" i="25"/>
  <c r="N39" i="25" s="1"/>
  <c r="P39" i="25"/>
  <c r="Q39" i="25"/>
  <c r="L40" i="25"/>
  <c r="N40" i="25" s="1"/>
  <c r="P40" i="25"/>
  <c r="Q40" i="25"/>
  <c r="L41" i="25"/>
  <c r="N41" i="25"/>
  <c r="P41" i="25"/>
  <c r="Q41" i="25"/>
  <c r="L42" i="25"/>
  <c r="N42" i="25" s="1"/>
  <c r="P42" i="25"/>
  <c r="Q42" i="25"/>
  <c r="L43" i="25"/>
  <c r="N43" i="25"/>
  <c r="P43" i="25"/>
  <c r="Q43" i="25"/>
  <c r="L44" i="25"/>
  <c r="N44" i="25"/>
  <c r="P44" i="25"/>
  <c r="Q44" i="25"/>
  <c r="L45" i="25"/>
  <c r="N45" i="25"/>
  <c r="P45" i="25"/>
  <c r="Q45" i="25"/>
  <c r="L46" i="25"/>
  <c r="N46" i="25" s="1"/>
  <c r="P46" i="25"/>
  <c r="Q46" i="25"/>
  <c r="L47" i="25"/>
  <c r="N47" i="25"/>
  <c r="P47" i="25"/>
  <c r="Q47" i="25"/>
  <c r="L48" i="25"/>
  <c r="N48" i="25" s="1"/>
  <c r="P48" i="25"/>
  <c r="Q48" i="25"/>
  <c r="L49" i="25"/>
  <c r="N49" i="25" s="1"/>
  <c r="P49" i="25"/>
  <c r="Q49" i="25"/>
  <c r="L50" i="25"/>
  <c r="N50" i="25" s="1"/>
  <c r="P50" i="25"/>
  <c r="Q50" i="25"/>
  <c r="L51" i="25"/>
  <c r="N51" i="25"/>
  <c r="P51" i="25"/>
  <c r="Q51" i="25"/>
  <c r="L52" i="25"/>
  <c r="N52" i="25"/>
  <c r="P52" i="25"/>
  <c r="Q52" i="25"/>
  <c r="L53" i="25"/>
  <c r="N53" i="25" s="1"/>
  <c r="P53" i="25"/>
  <c r="Q53" i="25"/>
  <c r="L54" i="25"/>
  <c r="N54" i="25"/>
  <c r="P54" i="25"/>
  <c r="Q54" i="25"/>
  <c r="L55" i="25"/>
  <c r="N55" i="25"/>
  <c r="P55" i="25"/>
  <c r="Q55" i="25"/>
  <c r="L56" i="25"/>
  <c r="N56" i="25"/>
  <c r="P56" i="25"/>
  <c r="Q56" i="25"/>
  <c r="L57" i="25"/>
  <c r="N57" i="25" s="1"/>
  <c r="P57" i="25"/>
  <c r="Q57" i="25"/>
  <c r="L58" i="25"/>
  <c r="N58" i="25"/>
  <c r="P58" i="25"/>
  <c r="Q58" i="25"/>
  <c r="L59" i="25"/>
  <c r="N59" i="25" s="1"/>
  <c r="P59" i="25"/>
  <c r="Q59" i="25"/>
  <c r="L60" i="25"/>
  <c r="N60" i="25" s="1"/>
  <c r="P60" i="25"/>
  <c r="Q60" i="25"/>
  <c r="L61" i="25"/>
  <c r="N61" i="25" s="1"/>
  <c r="P61" i="25"/>
  <c r="Q61" i="25"/>
  <c r="D5" i="55"/>
  <c r="D10" i="55"/>
  <c r="E10" i="55"/>
  <c r="D32" i="55" s="1"/>
  <c r="D11" i="55"/>
  <c r="E11" i="55"/>
  <c r="B16" i="55"/>
  <c r="C17" i="55"/>
  <c r="E27" i="55" s="1"/>
  <c r="B21" i="55"/>
  <c r="C21" i="55"/>
  <c r="C27" i="55"/>
  <c r="C32" i="55"/>
  <c r="F5" i="23"/>
  <c r="G5" i="23"/>
  <c r="F6" i="23"/>
  <c r="G6" i="23"/>
  <c r="F7" i="23"/>
  <c r="G7" i="23"/>
  <c r="F8" i="23"/>
  <c r="G8" i="23"/>
  <c r="F9" i="23"/>
  <c r="G9" i="23"/>
  <c r="F10" i="23"/>
  <c r="G10" i="23"/>
  <c r="F11" i="23"/>
  <c r="G11" i="23"/>
  <c r="F12" i="23"/>
  <c r="G12" i="23"/>
  <c r="F13" i="23"/>
  <c r="G13" i="23"/>
  <c r="F14" i="23"/>
  <c r="G14" i="23"/>
  <c r="F15" i="23"/>
  <c r="G15" i="23"/>
  <c r="F16" i="23"/>
  <c r="G16" i="23"/>
  <c r="F17" i="23"/>
  <c r="G17" i="23"/>
  <c r="F18" i="23"/>
  <c r="G18" i="23"/>
  <c r="F19" i="23"/>
  <c r="G19" i="23"/>
  <c r="F20" i="23"/>
  <c r="G20" i="23"/>
  <c r="F21" i="23"/>
  <c r="G21" i="23"/>
  <c r="F22" i="23"/>
  <c r="G22" i="23"/>
  <c r="F23" i="23"/>
  <c r="G23" i="23"/>
  <c r="F24" i="23"/>
  <c r="G24" i="23"/>
  <c r="F25" i="23"/>
  <c r="G25" i="23"/>
  <c r="F26" i="23"/>
  <c r="G26" i="23"/>
  <c r="F27" i="23"/>
  <c r="G27" i="23"/>
  <c r="F28" i="23"/>
  <c r="G28" i="23"/>
  <c r="F29" i="23"/>
  <c r="G29" i="23"/>
  <c r="F30" i="23"/>
  <c r="G30" i="23"/>
  <c r="F31" i="23"/>
  <c r="G31" i="23"/>
  <c r="F32" i="23"/>
  <c r="G32" i="23"/>
  <c r="F33" i="23"/>
  <c r="G33" i="23"/>
  <c r="F34" i="23"/>
  <c r="G34" i="23"/>
  <c r="F35" i="23"/>
  <c r="G35" i="23"/>
  <c r="F36" i="23"/>
  <c r="G36" i="23"/>
  <c r="F37" i="23"/>
  <c r="G37" i="23"/>
  <c r="F38" i="23"/>
  <c r="G38" i="23"/>
  <c r="F39" i="23"/>
  <c r="G39" i="23"/>
  <c r="F40" i="23"/>
  <c r="G40" i="23"/>
  <c r="F41" i="23"/>
  <c r="G41" i="23"/>
  <c r="F42" i="23"/>
  <c r="G42" i="23"/>
  <c r="F43" i="23"/>
  <c r="G43" i="23"/>
  <c r="F44" i="23"/>
  <c r="G44" i="23"/>
  <c r="F45" i="23"/>
  <c r="G45" i="23"/>
  <c r="F46" i="23"/>
  <c r="G46" i="23"/>
  <c r="F47" i="23"/>
  <c r="G47" i="23"/>
  <c r="F48" i="23"/>
  <c r="G48" i="23"/>
  <c r="F49" i="23"/>
  <c r="G49" i="23"/>
  <c r="F50" i="23"/>
  <c r="G50" i="23"/>
  <c r="F51" i="23"/>
  <c r="G51" i="23"/>
  <c r="F52" i="23"/>
  <c r="G52" i="23"/>
  <c r="F53" i="23"/>
  <c r="G53" i="23"/>
  <c r="F54" i="23"/>
  <c r="G54" i="23"/>
  <c r="F55" i="23"/>
  <c r="G55" i="23"/>
  <c r="F56" i="23"/>
  <c r="G56" i="23"/>
  <c r="F57" i="23"/>
  <c r="G57" i="23"/>
  <c r="F58" i="23"/>
  <c r="G58" i="23"/>
  <c r="F59" i="23"/>
  <c r="G59" i="23"/>
  <c r="F60" i="23"/>
  <c r="G60" i="23"/>
  <c r="F61" i="23"/>
  <c r="G61" i="23"/>
  <c r="F62" i="23"/>
  <c r="G62" i="23"/>
  <c r="F63" i="23"/>
  <c r="G63" i="23"/>
  <c r="D16" i="18"/>
  <c r="J16" i="18"/>
  <c r="B19" i="18"/>
  <c r="B23" i="18"/>
  <c r="B25" i="18" s="1"/>
  <c r="C19" i="18"/>
  <c r="D19" i="18"/>
  <c r="B24" i="18"/>
  <c r="H19" i="18"/>
  <c r="I19" i="18" s="1"/>
  <c r="H23" i="18"/>
  <c r="H24" i="18"/>
  <c r="B20" i="18"/>
  <c r="D20" i="18"/>
  <c r="J20" i="18" s="1"/>
  <c r="H20" i="18"/>
  <c r="I20" i="18" s="1"/>
  <c r="B21" i="18"/>
  <c r="D21" i="18"/>
  <c r="J21" i="18" s="1"/>
  <c r="H21" i="18"/>
  <c r="I21" i="18" s="1"/>
  <c r="H25" i="18"/>
  <c r="E3" i="22"/>
  <c r="F3" i="22"/>
  <c r="G3" i="22"/>
  <c r="H3" i="22"/>
  <c r="I3" i="22" s="1"/>
  <c r="G5" i="19"/>
  <c r="H5" i="19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H7" i="19"/>
  <c r="F5" i="17"/>
  <c r="G5" i="17"/>
  <c r="H5" i="17"/>
  <c r="O49" i="17" s="1"/>
  <c r="O51" i="17" s="1"/>
  <c r="I5" i="17"/>
  <c r="I44" i="17" s="1"/>
  <c r="N5" i="17"/>
  <c r="F6" i="17"/>
  <c r="G6" i="17"/>
  <c r="H6" i="17"/>
  <c r="I6" i="17"/>
  <c r="N6" i="17"/>
  <c r="F7" i="17"/>
  <c r="G7" i="17"/>
  <c r="H7" i="17"/>
  <c r="I7" i="17"/>
  <c r="N7" i="17"/>
  <c r="O48" i="17" s="1"/>
  <c r="F8" i="17"/>
  <c r="G8" i="17"/>
  <c r="H8" i="17"/>
  <c r="I8" i="17"/>
  <c r="N8" i="17"/>
  <c r="F9" i="17"/>
  <c r="G9" i="17"/>
  <c r="H9" i="17"/>
  <c r="I9" i="17"/>
  <c r="N9" i="17"/>
  <c r="F10" i="17"/>
  <c r="G10" i="17"/>
  <c r="H10" i="17"/>
  <c r="I10" i="17"/>
  <c r="N10" i="17"/>
  <c r="F11" i="17"/>
  <c r="G11" i="17"/>
  <c r="H11" i="17"/>
  <c r="I11" i="17"/>
  <c r="N11" i="17"/>
  <c r="F12" i="17"/>
  <c r="G12" i="17"/>
  <c r="H12" i="17"/>
  <c r="I12" i="17"/>
  <c r="N12" i="17"/>
  <c r="F13" i="17"/>
  <c r="G13" i="17"/>
  <c r="H13" i="17"/>
  <c r="I13" i="17"/>
  <c r="N13" i="17"/>
  <c r="F14" i="17"/>
  <c r="G14" i="17"/>
  <c r="H14" i="17"/>
  <c r="I14" i="17"/>
  <c r="N14" i="17"/>
  <c r="F15" i="17"/>
  <c r="G15" i="17"/>
  <c r="H15" i="17"/>
  <c r="I15" i="17"/>
  <c r="N15" i="17"/>
  <c r="F16" i="17"/>
  <c r="G16" i="17"/>
  <c r="H16" i="17"/>
  <c r="I16" i="17"/>
  <c r="N16" i="17"/>
  <c r="F17" i="17"/>
  <c r="G17" i="17"/>
  <c r="H17" i="17"/>
  <c r="I17" i="17"/>
  <c r="N17" i="17"/>
  <c r="F18" i="17"/>
  <c r="G18" i="17"/>
  <c r="H18" i="17"/>
  <c r="I18" i="17"/>
  <c r="N18" i="17"/>
  <c r="F19" i="17"/>
  <c r="G19" i="17"/>
  <c r="H19" i="17"/>
  <c r="I19" i="17"/>
  <c r="N19" i="17"/>
  <c r="F20" i="17"/>
  <c r="G20" i="17"/>
  <c r="H20" i="17"/>
  <c r="I20" i="17"/>
  <c r="N20" i="17"/>
  <c r="F21" i="17"/>
  <c r="G21" i="17"/>
  <c r="H21" i="17"/>
  <c r="I21" i="17"/>
  <c r="N21" i="17"/>
  <c r="F22" i="17"/>
  <c r="G22" i="17"/>
  <c r="H22" i="17"/>
  <c r="I22" i="17"/>
  <c r="N22" i="17"/>
  <c r="F23" i="17"/>
  <c r="G23" i="17"/>
  <c r="H23" i="17"/>
  <c r="I23" i="17"/>
  <c r="N23" i="17"/>
  <c r="F24" i="17"/>
  <c r="G24" i="17"/>
  <c r="H24" i="17"/>
  <c r="I24" i="17"/>
  <c r="N24" i="17"/>
  <c r="F25" i="17"/>
  <c r="G25" i="17"/>
  <c r="H25" i="17"/>
  <c r="I25" i="17"/>
  <c r="N25" i="17"/>
  <c r="F26" i="17"/>
  <c r="G26" i="17"/>
  <c r="H26" i="17"/>
  <c r="I26" i="17"/>
  <c r="N26" i="17"/>
  <c r="F27" i="17"/>
  <c r="G27" i="17"/>
  <c r="H27" i="17"/>
  <c r="I27" i="17"/>
  <c r="N27" i="17"/>
  <c r="F28" i="17"/>
  <c r="G28" i="17"/>
  <c r="H28" i="17"/>
  <c r="I28" i="17"/>
  <c r="N28" i="17"/>
  <c r="F29" i="17"/>
  <c r="G29" i="17"/>
  <c r="H29" i="17"/>
  <c r="I29" i="17"/>
  <c r="N29" i="17"/>
  <c r="F30" i="17"/>
  <c r="G30" i="17"/>
  <c r="H30" i="17"/>
  <c r="I30" i="17"/>
  <c r="N30" i="17"/>
  <c r="F31" i="17"/>
  <c r="G31" i="17"/>
  <c r="H31" i="17"/>
  <c r="I31" i="17"/>
  <c r="N31" i="17"/>
  <c r="F32" i="17"/>
  <c r="G32" i="17"/>
  <c r="H32" i="17"/>
  <c r="I32" i="17"/>
  <c r="N32" i="17"/>
  <c r="F33" i="17"/>
  <c r="G33" i="17"/>
  <c r="H33" i="17"/>
  <c r="I33" i="17"/>
  <c r="N33" i="17"/>
  <c r="F34" i="17"/>
  <c r="G34" i="17"/>
  <c r="H34" i="17"/>
  <c r="I34" i="17"/>
  <c r="N34" i="17"/>
  <c r="F35" i="17"/>
  <c r="G35" i="17"/>
  <c r="H35" i="17"/>
  <c r="I35" i="17"/>
  <c r="N35" i="17"/>
  <c r="F36" i="17"/>
  <c r="G36" i="17"/>
  <c r="H36" i="17"/>
  <c r="I36" i="17"/>
  <c r="N36" i="17"/>
  <c r="F37" i="17"/>
  <c r="G37" i="17"/>
  <c r="H37" i="17"/>
  <c r="I37" i="17"/>
  <c r="N37" i="17"/>
  <c r="F38" i="17"/>
  <c r="G38" i="17"/>
  <c r="H38" i="17"/>
  <c r="I38" i="17"/>
  <c r="N38" i="17"/>
  <c r="F39" i="17"/>
  <c r="G39" i="17"/>
  <c r="H39" i="17"/>
  <c r="I39" i="17"/>
  <c r="N39" i="17"/>
  <c r="F40" i="17"/>
  <c r="G40" i="17"/>
  <c r="H40" i="17"/>
  <c r="I40" i="17"/>
  <c r="N40" i="17"/>
  <c r="B43" i="17"/>
  <c r="C43" i="17"/>
  <c r="C45" i="17" s="1"/>
  <c r="D43" i="17"/>
  <c r="B44" i="17"/>
  <c r="B45" i="17" s="1"/>
  <c r="C44" i="17"/>
  <c r="D44" i="17"/>
  <c r="D45" i="17"/>
  <c r="B14" i="16"/>
  <c r="B15" i="16"/>
  <c r="B16" i="16" s="1"/>
  <c r="B17" i="16" s="1"/>
  <c r="B20" i="16"/>
  <c r="C20" i="16" s="1"/>
  <c r="C25" i="16" s="1"/>
  <c r="B21" i="16"/>
  <c r="C21" i="16" s="1"/>
  <c r="B22" i="16"/>
  <c r="C22" i="16"/>
  <c r="B23" i="16"/>
  <c r="C23" i="16"/>
  <c r="D13" i="15"/>
  <c r="E13" i="15"/>
  <c r="F13" i="15"/>
  <c r="D14" i="15"/>
  <c r="E14" i="15"/>
  <c r="F14" i="15"/>
  <c r="D15" i="15"/>
  <c r="E15" i="15"/>
  <c r="F15" i="15"/>
  <c r="D16" i="15"/>
  <c r="F16" i="15" s="1"/>
  <c r="D17" i="15"/>
  <c r="F17" i="15" s="1"/>
  <c r="E17" i="15"/>
  <c r="D18" i="15"/>
  <c r="D19" i="15"/>
  <c r="E19" i="15" s="1"/>
  <c r="F19" i="15"/>
  <c r="D20" i="15"/>
  <c r="F20" i="15" s="1"/>
  <c r="E20" i="15"/>
  <c r="D21" i="15"/>
  <c r="E21" i="15" s="1"/>
  <c r="F21" i="15"/>
  <c r="D22" i="15"/>
  <c r="D27" i="15"/>
  <c r="F27" i="15" s="1"/>
  <c r="E27" i="15"/>
  <c r="D28" i="15"/>
  <c r="E28" i="15"/>
  <c r="F28" i="15"/>
  <c r="G28" i="15"/>
  <c r="G29" i="15" s="1"/>
  <c r="G30" i="15" s="1"/>
  <c r="D29" i="15"/>
  <c r="D30" i="15"/>
  <c r="E30" i="15"/>
  <c r="F30" i="15"/>
  <c r="D31" i="15"/>
  <c r="F31" i="15" s="1"/>
  <c r="D32" i="15"/>
  <c r="F32" i="15" s="1"/>
  <c r="D33" i="15"/>
  <c r="E33" i="15"/>
  <c r="F33" i="15"/>
  <c r="D34" i="15"/>
  <c r="E34" i="15" s="1"/>
  <c r="F34" i="15"/>
  <c r="G34" i="15"/>
  <c r="G35" i="15" s="1"/>
  <c r="D35" i="15"/>
  <c r="F35" i="15" s="1"/>
  <c r="D36" i="15"/>
  <c r="E36" i="15" s="1"/>
  <c r="D42" i="15"/>
  <c r="E42" i="15" s="1"/>
  <c r="E45" i="15"/>
  <c r="F45" i="15"/>
  <c r="F2" i="14"/>
  <c r="H24" i="14" s="1"/>
  <c r="H4" i="14"/>
  <c r="H5" i="14"/>
  <c r="H6" i="14"/>
  <c r="H7" i="14"/>
  <c r="H8" i="14"/>
  <c r="H9" i="14"/>
  <c r="H10" i="14"/>
  <c r="H11" i="14"/>
  <c r="H13" i="14"/>
  <c r="H14" i="14"/>
  <c r="H15" i="14"/>
  <c r="H16" i="14"/>
  <c r="H17" i="14"/>
  <c r="H18" i="14"/>
  <c r="H19" i="14"/>
  <c r="H20" i="14"/>
  <c r="H21" i="14"/>
  <c r="H22" i="14"/>
  <c r="H23" i="14"/>
  <c r="H25" i="14"/>
  <c r="H26" i="14"/>
  <c r="H27" i="14"/>
  <c r="H28" i="14"/>
  <c r="H29" i="14"/>
  <c r="H30" i="14"/>
  <c r="H31" i="14"/>
  <c r="H32" i="14"/>
  <c r="H33" i="14"/>
  <c r="H35" i="14"/>
  <c r="H36" i="14"/>
  <c r="H37" i="14"/>
  <c r="H38" i="14"/>
  <c r="H39" i="14"/>
  <c r="H40" i="14"/>
  <c r="H41" i="14"/>
  <c r="H42" i="14"/>
  <c r="H43" i="14"/>
  <c r="H44" i="14"/>
  <c r="H45" i="14"/>
  <c r="H47" i="14"/>
  <c r="H48" i="14"/>
  <c r="H49" i="14"/>
  <c r="H50" i="14"/>
  <c r="H51" i="14"/>
  <c r="H52" i="14"/>
  <c r="H53" i="14"/>
  <c r="H54" i="14"/>
  <c r="H55" i="14"/>
  <c r="H57" i="14"/>
  <c r="H58" i="14"/>
  <c r="H59" i="14"/>
  <c r="H60" i="14"/>
  <c r="H61" i="14"/>
  <c r="H62" i="14"/>
  <c r="H63" i="14"/>
  <c r="J7" i="14"/>
  <c r="K7" i="14"/>
  <c r="L7" i="14"/>
  <c r="J9" i="14" s="1"/>
  <c r="M7" i="14"/>
  <c r="K8" i="14"/>
  <c r="L8" i="14"/>
  <c r="K9" i="14" s="1"/>
  <c r="M8" i="14"/>
  <c r="K10" i="14" s="1"/>
  <c r="L9" i="14"/>
  <c r="M9" i="14"/>
  <c r="L10" i="14" s="1"/>
  <c r="J10" i="14"/>
  <c r="M10" i="14"/>
  <c r="G7" i="70"/>
  <c r="I46" i="70" s="1"/>
  <c r="G2" i="11"/>
  <c r="G3" i="11"/>
  <c r="H6" i="11" s="1"/>
  <c r="H9" i="11" s="1"/>
  <c r="H10" i="11" s="1"/>
  <c r="H7" i="11"/>
  <c r="F5" i="52"/>
  <c r="G5" i="52"/>
  <c r="F6" i="52"/>
  <c r="J5" i="52" s="1"/>
  <c r="G6" i="52"/>
  <c r="F7" i="52"/>
  <c r="G7" i="52"/>
  <c r="F8" i="52"/>
  <c r="F9" i="52"/>
  <c r="F10" i="52"/>
  <c r="F11" i="52"/>
  <c r="F12" i="52"/>
  <c r="F13" i="52"/>
  <c r="F14" i="52"/>
  <c r="F15" i="52"/>
  <c r="F16" i="52"/>
  <c r="F17" i="52"/>
  <c r="F18" i="52"/>
  <c r="F19" i="52"/>
  <c r="F20" i="52"/>
  <c r="F21" i="52"/>
  <c r="F22" i="52"/>
  <c r="F23" i="52"/>
  <c r="F24" i="52"/>
  <c r="F25" i="52"/>
  <c r="F26" i="52"/>
  <c r="F27" i="52"/>
  <c r="F28" i="52"/>
  <c r="F29" i="52"/>
  <c r="F30" i="52"/>
  <c r="F31" i="52"/>
  <c r="F32" i="52"/>
  <c r="F33" i="52"/>
  <c r="F34" i="52"/>
  <c r="F35" i="52"/>
  <c r="F36" i="52"/>
  <c r="F37" i="52"/>
  <c r="F38" i="52"/>
  <c r="F39" i="52"/>
  <c r="F40" i="52"/>
  <c r="G8" i="52"/>
  <c r="G9" i="52"/>
  <c r="G10" i="52"/>
  <c r="G11" i="52"/>
  <c r="G12" i="52"/>
  <c r="G13" i="52"/>
  <c r="G14" i="52"/>
  <c r="G15" i="52"/>
  <c r="G16" i="52"/>
  <c r="G17" i="52"/>
  <c r="G18" i="52"/>
  <c r="G19" i="52"/>
  <c r="G20" i="52"/>
  <c r="G21" i="52"/>
  <c r="G22" i="52"/>
  <c r="G23" i="52"/>
  <c r="G24" i="52"/>
  <c r="G25" i="52"/>
  <c r="G26" i="52"/>
  <c r="G27" i="52"/>
  <c r="G28" i="52"/>
  <c r="G29" i="52"/>
  <c r="G30" i="52"/>
  <c r="G31" i="52"/>
  <c r="G32" i="52"/>
  <c r="G33" i="52"/>
  <c r="G34" i="52"/>
  <c r="G35" i="52"/>
  <c r="G36" i="52"/>
  <c r="G37" i="52"/>
  <c r="G38" i="52"/>
  <c r="G39" i="52"/>
  <c r="G40" i="52"/>
  <c r="M5" i="52"/>
  <c r="M6" i="52"/>
  <c r="D5" i="53"/>
  <c r="F5" i="53"/>
  <c r="G5" i="53"/>
  <c r="D6" i="53"/>
  <c r="F6" i="53"/>
  <c r="G6" i="53"/>
  <c r="D7" i="53"/>
  <c r="G7" i="53" s="1"/>
  <c r="F7" i="53"/>
  <c r="D8" i="53"/>
  <c r="F8" i="53"/>
  <c r="D9" i="53"/>
  <c r="F9" i="53" s="1"/>
  <c r="D10" i="53"/>
  <c r="F10" i="53"/>
  <c r="D11" i="53"/>
  <c r="G11" i="53" s="1"/>
  <c r="F11" i="53"/>
  <c r="D12" i="53"/>
  <c r="G12" i="53" s="1"/>
  <c r="F12" i="53"/>
  <c r="D13" i="53"/>
  <c r="G13" i="53" s="1"/>
  <c r="D14" i="53"/>
  <c r="F14" i="53" s="1"/>
  <c r="D15" i="53"/>
  <c r="F15" i="53"/>
  <c r="D16" i="53"/>
  <c r="F16" i="53"/>
  <c r="D17" i="53"/>
  <c r="G17" i="53" s="1"/>
  <c r="F17" i="53"/>
  <c r="D18" i="53"/>
  <c r="F18" i="53"/>
  <c r="D19" i="53"/>
  <c r="F19" i="53"/>
  <c r="D20" i="53"/>
  <c r="F20" i="53" s="1"/>
  <c r="D21" i="53"/>
  <c r="G21" i="53" s="1"/>
  <c r="F21" i="53"/>
  <c r="D22" i="53"/>
  <c r="G22" i="53" s="1"/>
  <c r="D23" i="53"/>
  <c r="F23" i="53"/>
  <c r="D24" i="53"/>
  <c r="G24" i="53" s="1"/>
  <c r="F24" i="53"/>
  <c r="D25" i="53"/>
  <c r="F25" i="53" s="1"/>
  <c r="D26" i="53"/>
  <c r="F26" i="53"/>
  <c r="D27" i="53"/>
  <c r="F27" i="53"/>
  <c r="D28" i="53"/>
  <c r="F28" i="53"/>
  <c r="D29" i="53"/>
  <c r="G29" i="53" s="1"/>
  <c r="F29" i="53"/>
  <c r="D30" i="53"/>
  <c r="F30" i="53"/>
  <c r="D31" i="53"/>
  <c r="F31" i="53" s="1"/>
  <c r="D32" i="53"/>
  <c r="F32" i="53"/>
  <c r="D33" i="53"/>
  <c r="G33" i="53" s="1"/>
  <c r="F33" i="53"/>
  <c r="D34" i="53"/>
  <c r="G34" i="53" s="1"/>
  <c r="F34" i="53"/>
  <c r="D35" i="53"/>
  <c r="G35" i="53" s="1"/>
  <c r="F35" i="53"/>
  <c r="D36" i="53"/>
  <c r="F36" i="53" s="1"/>
  <c r="D37" i="53"/>
  <c r="F37" i="53"/>
  <c r="D38" i="53"/>
  <c r="F38" i="53"/>
  <c r="D39" i="53"/>
  <c r="F39" i="53"/>
  <c r="D40" i="53"/>
  <c r="F40" i="53"/>
  <c r="G8" i="53"/>
  <c r="G9" i="53"/>
  <c r="G10" i="53"/>
  <c r="G14" i="53"/>
  <c r="G15" i="53"/>
  <c r="G16" i="53"/>
  <c r="G18" i="53"/>
  <c r="G19" i="53"/>
  <c r="G20" i="53"/>
  <c r="G23" i="53"/>
  <c r="G25" i="53"/>
  <c r="G26" i="53"/>
  <c r="G27" i="53"/>
  <c r="G28" i="53"/>
  <c r="G30" i="53"/>
  <c r="G32" i="53"/>
  <c r="G36" i="53"/>
  <c r="G37" i="53"/>
  <c r="G38" i="53"/>
  <c r="G39" i="53"/>
  <c r="G40" i="53"/>
  <c r="M5" i="53"/>
  <c r="M6" i="53"/>
  <c r="E3" i="8"/>
  <c r="K4" i="8" s="1"/>
  <c r="F3" i="8"/>
  <c r="E4" i="8"/>
  <c r="E5" i="8"/>
  <c r="J8" i="8" s="1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F4" i="8"/>
  <c r="K8" i="8" s="1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A4" i="8"/>
  <c r="A5" i="8"/>
  <c r="A6" i="8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E2" i="69"/>
  <c r="E3" i="69"/>
  <c r="E4" i="69"/>
  <c r="E63" i="69" s="1"/>
  <c r="B66" i="69" s="1"/>
  <c r="E5" i="69"/>
  <c r="E6" i="69"/>
  <c r="E7" i="69"/>
  <c r="E8" i="69"/>
  <c r="E9" i="69"/>
  <c r="E10" i="69"/>
  <c r="E11" i="69"/>
  <c r="E12" i="69"/>
  <c r="E13" i="69"/>
  <c r="E14" i="69"/>
  <c r="E15" i="69"/>
  <c r="E16" i="69"/>
  <c r="E17" i="69"/>
  <c r="E18" i="69"/>
  <c r="E19" i="69"/>
  <c r="E20" i="69"/>
  <c r="E21" i="69"/>
  <c r="E22" i="69"/>
  <c r="E23" i="69"/>
  <c r="E24" i="69"/>
  <c r="E25" i="69"/>
  <c r="E26" i="69"/>
  <c r="E27" i="69"/>
  <c r="E28" i="69"/>
  <c r="E29" i="69"/>
  <c r="E30" i="69"/>
  <c r="E31" i="69"/>
  <c r="E32" i="69"/>
  <c r="E33" i="69"/>
  <c r="E34" i="69"/>
  <c r="E35" i="69"/>
  <c r="E36" i="69"/>
  <c r="E37" i="69"/>
  <c r="E38" i="69"/>
  <c r="E39" i="69"/>
  <c r="E40" i="69"/>
  <c r="E41" i="69"/>
  <c r="E42" i="69"/>
  <c r="E43" i="69"/>
  <c r="E44" i="69"/>
  <c r="E45" i="69"/>
  <c r="E46" i="69"/>
  <c r="E47" i="69"/>
  <c r="E48" i="69"/>
  <c r="E49" i="69"/>
  <c r="E50" i="69"/>
  <c r="E51" i="69"/>
  <c r="E52" i="69"/>
  <c r="E53" i="69"/>
  <c r="E54" i="69"/>
  <c r="E55" i="69"/>
  <c r="E56" i="69"/>
  <c r="E57" i="69"/>
  <c r="E58" i="69"/>
  <c r="E59" i="69"/>
  <c r="E60" i="69"/>
  <c r="E61" i="69"/>
  <c r="B63" i="69"/>
  <c r="C63" i="69"/>
  <c r="B64" i="69"/>
  <c r="B65" i="69"/>
  <c r="E6" i="54"/>
  <c r="D10" i="54"/>
  <c r="D11" i="54"/>
  <c r="D12" i="54"/>
  <c r="D13" i="54"/>
  <c r="D14" i="54"/>
  <c r="D15" i="54"/>
  <c r="D16" i="54"/>
  <c r="D17" i="54"/>
  <c r="D18" i="54"/>
  <c r="D19" i="54"/>
  <c r="D20" i="54"/>
  <c r="D21" i="54"/>
  <c r="D22" i="54"/>
  <c r="D23" i="54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B64" i="7"/>
  <c r="C64" i="7"/>
  <c r="B65" i="7"/>
  <c r="C65" i="7"/>
  <c r="C67" i="7"/>
  <c r="B17" i="6"/>
  <c r="E5" i="6" s="1"/>
  <c r="H5" i="6" s="1"/>
  <c r="C17" i="6"/>
  <c r="F14" i="6" s="1"/>
  <c r="F5" i="6"/>
  <c r="E6" i="6"/>
  <c r="E9" i="6"/>
  <c r="F9" i="6"/>
  <c r="H9" i="6"/>
  <c r="F10" i="6"/>
  <c r="E12" i="6"/>
  <c r="H12" i="6" s="1"/>
  <c r="F12" i="6"/>
  <c r="F13" i="6"/>
  <c r="F15" i="6"/>
  <c r="H19" i="6"/>
  <c r="H23" i="6"/>
  <c r="H24" i="6"/>
  <c r="H22" i="6"/>
  <c r="G27" i="5"/>
  <c r="G7" i="3"/>
  <c r="G4" i="3" s="1"/>
  <c r="I5" i="68"/>
  <c r="J5" i="68" s="1"/>
  <c r="I6" i="68"/>
  <c r="J6" i="68" s="1"/>
  <c r="I7" i="68"/>
  <c r="J7" i="68" s="1"/>
  <c r="I8" i="68"/>
  <c r="J8" i="68"/>
  <c r="C10" i="68"/>
  <c r="D10" i="68"/>
  <c r="E10" i="68"/>
  <c r="C12" i="68"/>
  <c r="J13" i="68" s="1"/>
  <c r="D12" i="68"/>
  <c r="E12" i="68"/>
  <c r="C12" i="2"/>
  <c r="C13" i="2"/>
  <c r="C14" i="2"/>
  <c r="E32" i="2"/>
  <c r="E33" i="2"/>
  <c r="E34" i="2"/>
  <c r="I10" i="68" l="1"/>
  <c r="J12" i="68"/>
  <c r="C16" i="2"/>
  <c r="D14" i="2" s="1"/>
  <c r="C22" i="2" s="1"/>
  <c r="D22" i="2" s="1"/>
  <c r="C28" i="2" s="1"/>
  <c r="F32" i="2"/>
  <c r="F24" i="80"/>
  <c r="C32" i="80" s="1" a="1"/>
  <c r="C32" i="80" s="1"/>
  <c r="D31" i="80" a="1"/>
  <c r="D31" i="80" s="1"/>
  <c r="D32" i="80" a="1"/>
  <c r="D32" i="80" s="1"/>
  <c r="D15" i="66"/>
  <c r="D18" i="66" s="1"/>
  <c r="D19" i="66" s="1"/>
  <c r="F14" i="66"/>
  <c r="H16" i="42"/>
  <c r="I16" i="42" s="1"/>
  <c r="K11" i="78"/>
  <c r="F13" i="78"/>
  <c r="K6" i="78"/>
  <c r="K5" i="78"/>
  <c r="G35" i="76"/>
  <c r="F38" i="76" s="1"/>
  <c r="P34" i="76"/>
  <c r="Q13" i="76"/>
  <c r="Q14" i="76"/>
  <c r="Q15" i="76"/>
  <c r="Q16" i="76"/>
  <c r="Q17" i="76"/>
  <c r="Q18" i="76"/>
  <c r="Q19" i="76"/>
  <c r="Q20" i="76"/>
  <c r="Q21" i="76"/>
  <c r="Q22" i="76"/>
  <c r="Q23" i="76"/>
  <c r="Q24" i="76"/>
  <c r="Q26" i="76"/>
  <c r="Q27" i="76"/>
  <c r="Q25" i="76"/>
  <c r="Q28" i="76"/>
  <c r="Q29" i="76"/>
  <c r="D10" i="74"/>
  <c r="C10" i="74"/>
  <c r="E4" i="72"/>
  <c r="E7" i="72" s="1"/>
  <c r="I38" i="70"/>
  <c r="I22" i="70"/>
  <c r="I20" i="70"/>
  <c r="I45" i="70"/>
  <c r="I26" i="70"/>
  <c r="I48" i="70"/>
  <c r="I18" i="70"/>
  <c r="I21" i="70"/>
  <c r="I15" i="70"/>
  <c r="I19" i="70"/>
  <c r="I29" i="70"/>
  <c r="I36" i="70"/>
  <c r="I37" i="70"/>
  <c r="I16" i="70"/>
  <c r="I17" i="70"/>
  <c r="I39" i="70"/>
  <c r="I40" i="70"/>
  <c r="I41" i="70"/>
  <c r="I42" i="70"/>
  <c r="I43" i="70"/>
  <c r="I44" i="70"/>
  <c r="I23" i="70"/>
  <c r="I24" i="70"/>
  <c r="I25" i="70"/>
  <c r="I47" i="70"/>
  <c r="I5" i="70"/>
  <c r="I27" i="70"/>
  <c r="I49" i="70"/>
  <c r="I6" i="70"/>
  <c r="I28" i="70"/>
  <c r="I50" i="70"/>
  <c r="I7" i="70"/>
  <c r="I51" i="70"/>
  <c r="I8" i="70"/>
  <c r="I30" i="70"/>
  <c r="I52" i="70"/>
  <c r="I9" i="70"/>
  <c r="I31" i="70"/>
  <c r="I53" i="70"/>
  <c r="I10" i="70"/>
  <c r="I32" i="70"/>
  <c r="I54" i="70"/>
  <c r="I11" i="70"/>
  <c r="I33" i="70"/>
  <c r="I55" i="70"/>
  <c r="I12" i="70"/>
  <c r="E3" i="38"/>
  <c r="D3" i="38" s="1"/>
  <c r="C3" i="38" s="1"/>
  <c r="G3" i="38"/>
  <c r="P3" i="38" s="1"/>
  <c r="P20" i="38" s="1"/>
  <c r="U8" i="25"/>
  <c r="T8" i="25"/>
  <c r="J5" i="53"/>
  <c r="J10" i="68"/>
  <c r="K19" i="63"/>
  <c r="J20" i="63"/>
  <c r="K20" i="63" s="1"/>
  <c r="H4" i="3"/>
  <c r="E18" i="15"/>
  <c r="F18" i="15"/>
  <c r="G5" i="3"/>
  <c r="H5" i="3" s="1"/>
  <c r="E15" i="6"/>
  <c r="H15" i="6" s="1"/>
  <c r="N45" i="17"/>
  <c r="J6" i="53"/>
  <c r="N43" i="17"/>
  <c r="K20" i="18"/>
  <c r="I26" i="36"/>
  <c r="I27" i="36"/>
  <c r="M7" i="36" s="1"/>
  <c r="M18" i="36" s="1"/>
  <c r="M36" i="36" s="1"/>
  <c r="E15" i="40"/>
  <c r="E16" i="40"/>
  <c r="F4" i="6"/>
  <c r="I43" i="17"/>
  <c r="I49" i="17" s="1"/>
  <c r="C20" i="18"/>
  <c r="E20" i="18" s="1"/>
  <c r="G31" i="53"/>
  <c r="E16" i="15"/>
  <c r="D41" i="46"/>
  <c r="J8" i="14"/>
  <c r="J13" i="14" s="1"/>
  <c r="G48" i="17"/>
  <c r="G50" i="17" s="1"/>
  <c r="N48" i="17"/>
  <c r="F34" i="2"/>
  <c r="I12" i="68"/>
  <c r="E14" i="6"/>
  <c r="H14" i="6" s="1"/>
  <c r="E7" i="6"/>
  <c r="E10" i="6"/>
  <c r="H10" i="6" s="1"/>
  <c r="E4" i="6"/>
  <c r="H4" i="6" s="1"/>
  <c r="E11" i="6"/>
  <c r="E13" i="6"/>
  <c r="H13" i="6" s="1"/>
  <c r="E65" i="7"/>
  <c r="J6" i="52"/>
  <c r="F42" i="15"/>
  <c r="G42" i="15" s="1"/>
  <c r="F46" i="15" s="1"/>
  <c r="E22" i="39"/>
  <c r="E23" i="39" s="1"/>
  <c r="N4" i="39" s="1"/>
  <c r="O6" i="41"/>
  <c r="F33" i="2"/>
  <c r="F13" i="53"/>
  <c r="E29" i="15"/>
  <c r="F29" i="15"/>
  <c r="F38" i="15" s="1"/>
  <c r="B18" i="66"/>
  <c r="H18" i="66" s="1"/>
  <c r="F15" i="66"/>
  <c r="I15" i="66"/>
  <c r="K9" i="37"/>
  <c r="L9" i="37"/>
  <c r="N6" i="41"/>
  <c r="J15" i="44"/>
  <c r="I5" i="19"/>
  <c r="K5" i="19" s="1"/>
  <c r="L5" i="19" s="1"/>
  <c r="D27" i="55"/>
  <c r="F27" i="55" s="1"/>
  <c r="J18" i="63"/>
  <c r="J6" i="37"/>
  <c r="M6" i="41"/>
  <c r="J14" i="44"/>
  <c r="B41" i="46"/>
  <c r="N49" i="17"/>
  <c r="N51" i="17" s="1"/>
  <c r="I47" i="17"/>
  <c r="I48" i="17"/>
  <c r="I50" i="17" s="1"/>
  <c r="L8" i="41"/>
  <c r="M8" i="41"/>
  <c r="N8" i="41"/>
  <c r="O8" i="41"/>
  <c r="F11" i="6"/>
  <c r="E64" i="7"/>
  <c r="F36" i="15"/>
  <c r="G43" i="17"/>
  <c r="G49" i="17" s="1"/>
  <c r="G44" i="17"/>
  <c r="G46" i="17" s="1"/>
  <c r="J19" i="18"/>
  <c r="K19" i="18" s="1"/>
  <c r="E19" i="18"/>
  <c r="E32" i="55"/>
  <c r="F32" i="55" s="1"/>
  <c r="H12" i="43"/>
  <c r="E35" i="15"/>
  <c r="N5" i="19"/>
  <c r="D22" i="39"/>
  <c r="D23" i="39" s="1"/>
  <c r="M4" i="39" s="1"/>
  <c r="C22" i="39"/>
  <c r="C23" i="39"/>
  <c r="L4" i="39" s="1"/>
  <c r="C14" i="39"/>
  <c r="G47" i="17"/>
  <c r="K5" i="8"/>
  <c r="J5" i="8" s="1"/>
  <c r="J4" i="8"/>
  <c r="T9" i="25"/>
  <c r="F8" i="6"/>
  <c r="I45" i="17"/>
  <c r="I46" i="17" s="1"/>
  <c r="E19" i="38"/>
  <c r="E14" i="38"/>
  <c r="F22" i="53"/>
  <c r="E22" i="15"/>
  <c r="F22" i="15"/>
  <c r="E8" i="6"/>
  <c r="G45" i="17"/>
  <c r="D10" i="38"/>
  <c r="D13" i="38"/>
  <c r="F7" i="6"/>
  <c r="E32" i="15"/>
  <c r="N44" i="17"/>
  <c r="K21" i="18"/>
  <c r="C20" i="38"/>
  <c r="C21" i="38"/>
  <c r="L4" i="38" s="1"/>
  <c r="H21" i="6"/>
  <c r="F6" i="6"/>
  <c r="H6" i="6" s="1"/>
  <c r="C21" i="18"/>
  <c r="E21" i="18" s="1"/>
  <c r="E14" i="56"/>
  <c r="D19" i="56"/>
  <c r="E31" i="15"/>
  <c r="K24" i="63"/>
  <c r="K26" i="63" s="1"/>
  <c r="J26" i="63"/>
  <c r="B4" i="48"/>
  <c r="C4" i="48"/>
  <c r="D4" i="48"/>
  <c r="A5" i="48"/>
  <c r="G3" i="39"/>
  <c r="C28" i="46"/>
  <c r="E28" i="46" s="1"/>
  <c r="B23" i="39"/>
  <c r="K4" i="39" s="1"/>
  <c r="K7" i="39" s="1"/>
  <c r="K12" i="39" s="1"/>
  <c r="K14" i="39" s="1"/>
  <c r="H19" i="38"/>
  <c r="E3" i="39"/>
  <c r="C27" i="46"/>
  <c r="E27" i="46" s="1"/>
  <c r="H16" i="44"/>
  <c r="J16" i="44" s="1"/>
  <c r="G19" i="38"/>
  <c r="F4" i="39"/>
  <c r="H56" i="14"/>
  <c r="H34" i="14"/>
  <c r="H12" i="14"/>
  <c r="I18" i="36"/>
  <c r="I12" i="43"/>
  <c r="F21" i="38"/>
  <c r="O4" i="38" s="1"/>
  <c r="C36" i="46"/>
  <c r="E36" i="46" s="1"/>
  <c r="F12" i="43"/>
  <c r="C30" i="46"/>
  <c r="E30" i="46" s="1"/>
  <c r="D9" i="37"/>
  <c r="J8" i="37" s="1"/>
  <c r="D8" i="37"/>
  <c r="J7" i="37" s="1"/>
  <c r="D11" i="39"/>
  <c r="D14" i="39" s="1"/>
  <c r="D15" i="47"/>
  <c r="B13" i="38"/>
  <c r="C10" i="39"/>
  <c r="F16" i="40"/>
  <c r="E10" i="38"/>
  <c r="C29" i="46"/>
  <c r="E29" i="46" s="1"/>
  <c r="H46" i="14"/>
  <c r="J4" i="14" s="1"/>
  <c r="XFD1048575" i="16" a="1"/>
  <c r="XFD1048575" i="16"/>
  <c r="XFD1048574" i="16" a="1"/>
  <c r="XFD1048574" i="16" s="1"/>
  <c r="XFD1048573" i="16" a="1"/>
  <c r="XFD1048573" i="16"/>
  <c r="XFD1048572" i="16" a="1"/>
  <c r="XFD1048572" i="16"/>
  <c r="XFD1048571" i="16" a="1"/>
  <c r="XFD1048571" i="16" s="1"/>
  <c r="XFD1048570" i="16" a="1"/>
  <c r="XFD1048570" i="16"/>
  <c r="XFD1048569" i="16" a="1"/>
  <c r="XFD1048569" i="16"/>
  <c r="XFD1048568" i="16" a="1"/>
  <c r="XFD1048568" i="16"/>
  <c r="XFD1048567" i="16" a="1"/>
  <c r="XFD1048567" i="16" s="1"/>
  <c r="XFD1048566" i="16" a="1"/>
  <c r="XFD1048566" i="16" s="1"/>
  <c r="XFD1048565" i="16" a="1"/>
  <c r="XFD1048565" i="16" s="1"/>
  <c r="XFD1048564" i="16" a="1"/>
  <c r="XFD1048564" i="16"/>
  <c r="XFD1048563" i="16" a="1"/>
  <c r="XFD1048563" i="16"/>
  <c r="XFD1048562" i="16" a="1"/>
  <c r="XFD1048562" i="16"/>
  <c r="XFD1048561" i="16" a="1"/>
  <c r="XFD1048561" i="16"/>
  <c r="XFD1048560" i="16" a="1"/>
  <c r="XFD1048560" i="16" s="1"/>
  <c r="XFD1048559" i="16" a="1"/>
  <c r="XFD1048559" i="16"/>
  <c r="XFD1048558" i="16" a="1"/>
  <c r="XFD1048558" i="16"/>
  <c r="XFD1048557" i="16" a="1"/>
  <c r="XFD1048557" i="16"/>
  <c r="XFD1048556" i="16" a="1"/>
  <c r="XFD1048556" i="16" s="1"/>
  <c r="XFD1048555" i="16" a="1"/>
  <c r="XFD1048555" i="16" s="1"/>
  <c r="XFD1048554" i="16" a="1"/>
  <c r="XFD1048554" i="16" s="1"/>
  <c r="XFD1048553" i="16" a="1"/>
  <c r="XFD1048553" i="16"/>
  <c r="XFD1048552" i="16" a="1"/>
  <c r="XFD1048552" i="16"/>
  <c r="XFD1048551" i="16" a="1"/>
  <c r="XFD1048551" i="16"/>
  <c r="XFD1048550" i="16" a="1"/>
  <c r="XFD1048550" i="16"/>
  <c r="G8" i="3" l="1"/>
  <c r="F36" i="2"/>
  <c r="D12" i="2"/>
  <c r="C20" i="2" s="1"/>
  <c r="D20" i="2" s="1"/>
  <c r="D13" i="2"/>
  <c r="C21" i="2" s="1"/>
  <c r="D21" i="2" s="1"/>
  <c r="C27" i="2" s="1"/>
  <c r="I10" i="78"/>
  <c r="K10" i="78"/>
  <c r="N4" i="78" s="1"/>
  <c r="F40" i="76"/>
  <c r="H38" i="76"/>
  <c r="H40" i="76" s="1"/>
  <c r="Q30" i="76"/>
  <c r="Q32" i="76"/>
  <c r="Q31" i="76"/>
  <c r="R36" i="76"/>
  <c r="L5" i="70"/>
  <c r="M3" i="38"/>
  <c r="H3" i="38"/>
  <c r="Q3" i="38" s="1"/>
  <c r="Q20" i="38" s="1"/>
  <c r="N3" i="38"/>
  <c r="H25" i="8"/>
  <c r="H8" i="8"/>
  <c r="H56" i="8"/>
  <c r="H9" i="8"/>
  <c r="H61" i="8"/>
  <c r="H33" i="8"/>
  <c r="H34" i="8"/>
  <c r="H35" i="8"/>
  <c r="H31" i="8"/>
  <c r="H12" i="8"/>
  <c r="H36" i="8"/>
  <c r="H13" i="8"/>
  <c r="H42" i="8"/>
  <c r="H43" i="8"/>
  <c r="H14" i="8"/>
  <c r="H44" i="8"/>
  <c r="H3" i="8"/>
  <c r="H45" i="8"/>
  <c r="H17" i="8"/>
  <c r="H47" i="8"/>
  <c r="H22" i="8"/>
  <c r="H53" i="8"/>
  <c r="H23" i="8"/>
  <c r="H57" i="8"/>
  <c r="H5" i="8"/>
  <c r="H52" i="8"/>
  <c r="H39" i="8"/>
  <c r="H60" i="8"/>
  <c r="H28" i="8"/>
  <c r="H6" i="8"/>
  <c r="H26" i="8"/>
  <c r="H15" i="8"/>
  <c r="H59" i="8"/>
  <c r="H48" i="8"/>
  <c r="H37" i="8"/>
  <c r="H49" i="8"/>
  <c r="H58" i="8"/>
  <c r="H30" i="8"/>
  <c r="H4" i="8"/>
  <c r="H11" i="8"/>
  <c r="H46" i="8"/>
  <c r="H24" i="8"/>
  <c r="H18" i="8"/>
  <c r="H41" i="8"/>
  <c r="H10" i="8"/>
  <c r="H7" i="8"/>
  <c r="H55" i="8"/>
  <c r="H54" i="8"/>
  <c r="H21" i="8"/>
  <c r="H32" i="8"/>
  <c r="H20" i="8"/>
  <c r="H27" i="8"/>
  <c r="H62" i="8"/>
  <c r="H40" i="8"/>
  <c r="H29" i="8"/>
  <c r="H19" i="8"/>
  <c r="H50" i="8"/>
  <c r="H38" i="8"/>
  <c r="H51" i="8"/>
  <c r="H16" i="8"/>
  <c r="M17" i="39"/>
  <c r="M7" i="39"/>
  <c r="E41" i="46" a="1"/>
  <c r="E41" i="46" s="1"/>
  <c r="E39" i="46" a="1"/>
  <c r="E39" i="46" s="1"/>
  <c r="E40" i="46" a="1"/>
  <c r="E40" i="46" s="1"/>
  <c r="B44" i="46" s="1"/>
  <c r="B45" i="46" s="1"/>
  <c r="N17" i="39"/>
  <c r="N7" i="39"/>
  <c r="K6" i="37"/>
  <c r="K15" i="37" s="1"/>
  <c r="L6" i="37"/>
  <c r="N3" i="39"/>
  <c r="D3" i="39"/>
  <c r="L7" i="38"/>
  <c r="F18" i="40"/>
  <c r="F30" i="40"/>
  <c r="F33" i="40" s="1"/>
  <c r="H20" i="38"/>
  <c r="H21" i="38"/>
  <c r="Q4" i="38" s="1"/>
  <c r="H11" i="6"/>
  <c r="F11" i="39"/>
  <c r="F10" i="39"/>
  <c r="G4" i="39"/>
  <c r="F15" i="39"/>
  <c r="F21" i="39" s="1"/>
  <c r="E9" i="37"/>
  <c r="M9" i="37"/>
  <c r="E10" i="37"/>
  <c r="F10" i="37"/>
  <c r="H7" i="6"/>
  <c r="H18" i="6" s="1"/>
  <c r="D10" i="39"/>
  <c r="H3" i="39"/>
  <c r="Q3" i="39" s="1"/>
  <c r="Q20" i="39" s="1"/>
  <c r="P3" i="39"/>
  <c r="P20" i="39" s="1"/>
  <c r="L3" i="38"/>
  <c r="B3" i="38"/>
  <c r="K3" i="38" s="1"/>
  <c r="G9" i="3"/>
  <c r="G10" i="3" s="1"/>
  <c r="B19" i="38"/>
  <c r="B14" i="38"/>
  <c r="K7" i="37"/>
  <c r="L7" i="37"/>
  <c r="K8" i="37"/>
  <c r="L8" i="37" s="1"/>
  <c r="D14" i="38"/>
  <c r="D19" i="38"/>
  <c r="F4" i="48"/>
  <c r="H8" i="6"/>
  <c r="E18" i="40"/>
  <c r="E30" i="40"/>
  <c r="E33" i="40" s="1"/>
  <c r="C5" i="48"/>
  <c r="D5" i="48"/>
  <c r="A6" i="48"/>
  <c r="B5" i="48"/>
  <c r="F18" i="66"/>
  <c r="I18" i="66"/>
  <c r="B19" i="66"/>
  <c r="F19" i="66" s="1"/>
  <c r="L17" i="39"/>
  <c r="L7" i="39"/>
  <c r="O7" i="38"/>
  <c r="N50" i="17"/>
  <c r="E20" i="38"/>
  <c r="E21" i="38"/>
  <c r="N4" i="38" s="1"/>
  <c r="O16" i="38" s="1"/>
  <c r="G20" i="38"/>
  <c r="G21" i="38" s="1"/>
  <c r="P4" i="38" s="1"/>
  <c r="C41" i="46" a="1"/>
  <c r="C41" i="46" s="1"/>
  <c r="C39" i="46" a="1"/>
  <c r="C39" i="46" s="1"/>
  <c r="C40" i="46" a="1"/>
  <c r="C40" i="46" s="1"/>
  <c r="B19" i="47"/>
  <c r="C19" i="47"/>
  <c r="F22" i="47" a="1"/>
  <c r="F22" i="47" s="1"/>
  <c r="N46" i="17"/>
  <c r="O50" i="17"/>
  <c r="K18" i="63"/>
  <c r="K21" i="63" s="1"/>
  <c r="J21" i="63"/>
  <c r="E19" i="56"/>
  <c r="C33" i="2" l="1"/>
  <c r="C34" i="2"/>
  <c r="J18" i="66"/>
  <c r="Q34" i="76"/>
  <c r="Q36" i="76" s="1"/>
  <c r="P7" i="38"/>
  <c r="P16" i="38"/>
  <c r="D20" i="38"/>
  <c r="D21" i="38"/>
  <c r="M4" i="38" s="1"/>
  <c r="J11" i="8"/>
  <c r="O12" i="38"/>
  <c r="F14" i="39"/>
  <c r="L12" i="39"/>
  <c r="L18" i="39"/>
  <c r="F8" i="37"/>
  <c r="G8" i="37" s="1"/>
  <c r="H8" i="37" s="1"/>
  <c r="E7" i="37"/>
  <c r="M7" i="37"/>
  <c r="G11" i="39"/>
  <c r="G10" i="39"/>
  <c r="H4" i="39"/>
  <c r="G15" i="39"/>
  <c r="G21" i="39" s="1"/>
  <c r="Q7" i="38"/>
  <c r="Q16" i="38"/>
  <c r="F22" i="39"/>
  <c r="F23" i="39"/>
  <c r="O4" i="39" s="1"/>
  <c r="F36" i="40"/>
  <c r="F21" i="40"/>
  <c r="F24" i="40" s="1"/>
  <c r="F5" i="48"/>
  <c r="M3" i="39"/>
  <c r="C3" i="39"/>
  <c r="B6" i="48"/>
  <c r="F6" i="48" s="1"/>
  <c r="C6" i="48"/>
  <c r="D6" i="48"/>
  <c r="A7" i="48"/>
  <c r="N7" i="38"/>
  <c r="N16" i="38"/>
  <c r="M12" i="39"/>
  <c r="M18" i="39"/>
  <c r="B20" i="38"/>
  <c r="B21" i="38"/>
  <c r="K4" i="38" s="1"/>
  <c r="L12" i="38"/>
  <c r="M6" i="37"/>
  <c r="F7" i="37"/>
  <c r="G7" i="37" s="1"/>
  <c r="H7" i="37" s="1"/>
  <c r="K13" i="37" s="1"/>
  <c r="E36" i="40"/>
  <c r="E21" i="40"/>
  <c r="E24" i="40" s="1"/>
  <c r="N12" i="39"/>
  <c r="N18" i="39"/>
  <c r="E8" i="37"/>
  <c r="M8" i="37"/>
  <c r="F9" i="37"/>
  <c r="G9" i="37" s="1"/>
  <c r="H9" i="37" s="1"/>
  <c r="G10" i="37"/>
  <c r="H10" i="37" s="1"/>
  <c r="C36" i="2" l="1"/>
  <c r="N12" i="38"/>
  <c r="K7" i="38"/>
  <c r="L16" i="38"/>
  <c r="B7" i="48"/>
  <c r="C7" i="48"/>
  <c r="D7" i="48"/>
  <c r="A8" i="48"/>
  <c r="O17" i="39"/>
  <c r="O7" i="39"/>
  <c r="L13" i="38"/>
  <c r="O17" i="38"/>
  <c r="E27" i="40"/>
  <c r="E25" i="40"/>
  <c r="L13" i="39"/>
  <c r="L14" i="39"/>
  <c r="Q17" i="38"/>
  <c r="Q12" i="38"/>
  <c r="G22" i="39"/>
  <c r="G23" i="39"/>
  <c r="P4" i="39" s="1"/>
  <c r="H15" i="39"/>
  <c r="H11" i="39"/>
  <c r="H10" i="39"/>
  <c r="M13" i="39"/>
  <c r="M14" i="39"/>
  <c r="O13" i="38"/>
  <c r="O18" i="38"/>
  <c r="O22" i="38"/>
  <c r="O23" i="38" s="1"/>
  <c r="L3" i="39"/>
  <c r="B3" i="39"/>
  <c r="K3" i="39" s="1"/>
  <c r="M7" i="38"/>
  <c r="M16" i="38"/>
  <c r="N13" i="39"/>
  <c r="N14" i="39"/>
  <c r="F27" i="40"/>
  <c r="F25" i="40"/>
  <c r="P17" i="38"/>
  <c r="P12" i="38"/>
  <c r="E28" i="40" l="1"/>
  <c r="P17" i="39"/>
  <c r="P7" i="39"/>
  <c r="E38" i="40"/>
  <c r="E26" i="40"/>
  <c r="H21" i="39"/>
  <c r="R22" i="39"/>
  <c r="R23" i="39" s="1"/>
  <c r="Q13" i="38"/>
  <c r="Q18" i="38"/>
  <c r="Q22" i="38"/>
  <c r="Q23" i="38" s="1"/>
  <c r="P13" i="38"/>
  <c r="P18" i="38"/>
  <c r="P22" i="38"/>
  <c r="P23" i="38" s="1"/>
  <c r="K23" i="38" s="1"/>
  <c r="K25" i="38" s="1"/>
  <c r="K27" i="38" s="1"/>
  <c r="F26" i="40"/>
  <c r="F41" i="40"/>
  <c r="F28" i="40" s="1"/>
  <c r="F38" i="40"/>
  <c r="F37" i="40"/>
  <c r="M12" i="38"/>
  <c r="M17" i="38"/>
  <c r="O12" i="39"/>
  <c r="O18" i="39"/>
  <c r="B8" i="48"/>
  <c r="D8" i="48"/>
  <c r="A9" i="48"/>
  <c r="C8" i="48"/>
  <c r="F7" i="48"/>
  <c r="K12" i="38"/>
  <c r="L17" i="38"/>
  <c r="N17" i="38"/>
  <c r="N13" i="38"/>
  <c r="O14" i="39" l="1"/>
  <c r="O13" i="39"/>
  <c r="O22" i="39"/>
  <c r="O23" i="39" s="1"/>
  <c r="K13" i="38"/>
  <c r="L18" i="38"/>
  <c r="E35" i="40"/>
  <c r="E34" i="40"/>
  <c r="M13" i="38"/>
  <c r="M18" i="38"/>
  <c r="F34" i="40"/>
  <c r="F35" i="40"/>
  <c r="N18" i="38"/>
  <c r="H22" i="39"/>
  <c r="H23" i="39"/>
  <c r="Q4" i="39" s="1"/>
  <c r="A10" i="48"/>
  <c r="B9" i="48"/>
  <c r="C9" i="48"/>
  <c r="D9" i="48"/>
  <c r="P12" i="39"/>
  <c r="P18" i="39"/>
  <c r="F8" i="48"/>
  <c r="E37" i="40"/>
  <c r="P14" i="39" l="1"/>
  <c r="P13" i="39"/>
  <c r="P22" i="39"/>
  <c r="P23" i="39" s="1"/>
  <c r="F9" i="48"/>
  <c r="B10" i="48"/>
  <c r="C10" i="48"/>
  <c r="D10" i="48"/>
  <c r="A11" i="48"/>
  <c r="Q17" i="39"/>
  <c r="Q7" i="39"/>
  <c r="Q12" i="39" l="1"/>
  <c r="Q18" i="39"/>
  <c r="B11" i="48"/>
  <c r="C11" i="48"/>
  <c r="D11" i="48"/>
  <c r="A12" i="48"/>
  <c r="F10" i="48"/>
  <c r="B12" i="48" l="1"/>
  <c r="C12" i="48"/>
  <c r="D12" i="48"/>
  <c r="A13" i="48"/>
  <c r="F11" i="48"/>
  <c r="Q14" i="39"/>
  <c r="Q13" i="39"/>
  <c r="Q22" i="39"/>
  <c r="Q23" i="39" s="1"/>
  <c r="K23" i="39" s="1"/>
  <c r="K25" i="39" s="1"/>
  <c r="K27" i="39" s="1"/>
  <c r="K29" i="39" l="1"/>
  <c r="K33" i="39"/>
  <c r="K34" i="39" s="1"/>
  <c r="B13" i="48"/>
  <c r="C13" i="48"/>
  <c r="D13" i="48"/>
  <c r="A14" i="48"/>
  <c r="F12" i="48"/>
  <c r="B14" i="48" l="1"/>
  <c r="C14" i="48"/>
  <c r="D14" i="48"/>
  <c r="A15" i="48"/>
  <c r="F13" i="48"/>
  <c r="B15" i="48" l="1"/>
  <c r="C15" i="48"/>
  <c r="D15" i="48"/>
  <c r="A16" i="48"/>
  <c r="F14" i="48"/>
  <c r="B16" i="48" l="1"/>
  <c r="C16" i="48"/>
  <c r="D16" i="48"/>
  <c r="A17" i="48"/>
  <c r="F15" i="48"/>
  <c r="C17" i="48" l="1"/>
  <c r="D17" i="48"/>
  <c r="A18" i="48"/>
  <c r="B17" i="48"/>
  <c r="F16" i="48"/>
  <c r="F17" i="48" l="1"/>
  <c r="D18" i="48"/>
  <c r="A19" i="48"/>
  <c r="B18" i="48"/>
  <c r="C18" i="48"/>
  <c r="F18" i="48" l="1"/>
  <c r="B19" i="48"/>
  <c r="C19" i="48"/>
  <c r="D19" i="48"/>
  <c r="A20" i="48"/>
  <c r="B20" i="48" l="1"/>
  <c r="C20" i="48"/>
  <c r="D20" i="48"/>
  <c r="A21" i="48"/>
  <c r="F19" i="48"/>
  <c r="B21" i="48" l="1"/>
  <c r="C21" i="48"/>
  <c r="A22" i="48"/>
  <c r="D21" i="48"/>
  <c r="F20" i="48"/>
  <c r="A23" i="48" l="1"/>
  <c r="B22" i="48"/>
  <c r="C22" i="48"/>
  <c r="D22" i="48"/>
  <c r="F21" i="48"/>
  <c r="F22" i="48" l="1"/>
  <c r="B23" i="48"/>
  <c r="C23" i="48"/>
  <c r="D23" i="48"/>
  <c r="A24" i="48"/>
  <c r="B24" i="48" l="1"/>
  <c r="C24" i="48"/>
  <c r="D24" i="48"/>
  <c r="A25" i="48"/>
  <c r="F23" i="48"/>
  <c r="B25" i="48" l="1"/>
  <c r="C25" i="48"/>
  <c r="D25" i="48"/>
  <c r="A26" i="48"/>
  <c r="F24" i="48"/>
  <c r="B26" i="48" l="1"/>
  <c r="C26" i="48"/>
  <c r="D26" i="48"/>
  <c r="A27" i="48"/>
  <c r="F25" i="48"/>
  <c r="C27" i="48" l="1"/>
  <c r="D27" i="48"/>
  <c r="A28" i="48"/>
  <c r="B27" i="48"/>
  <c r="F26" i="48"/>
  <c r="B28" i="48" l="1"/>
  <c r="C28" i="48"/>
  <c r="D28" i="48"/>
  <c r="A29" i="48"/>
  <c r="F27" i="48"/>
  <c r="B29" i="48" l="1"/>
  <c r="C29" i="48"/>
  <c r="D29" i="48"/>
  <c r="A30" i="48"/>
  <c r="F28" i="48"/>
  <c r="B30" i="48" l="1"/>
  <c r="D30" i="48"/>
  <c r="A31" i="48"/>
  <c r="C30" i="48"/>
  <c r="F29" i="48"/>
  <c r="A32" i="48" l="1"/>
  <c r="B31" i="48"/>
  <c r="C31" i="48"/>
  <c r="D31" i="48"/>
  <c r="F30" i="48"/>
  <c r="F31" i="48" l="1"/>
  <c r="B32" i="48"/>
  <c r="C32" i="48"/>
  <c r="D32" i="48"/>
  <c r="A33" i="48"/>
  <c r="B33" i="48" l="1"/>
  <c r="C33" i="48"/>
  <c r="D33" i="48"/>
  <c r="A34" i="48"/>
  <c r="F32" i="48"/>
  <c r="B34" i="48" l="1"/>
  <c r="C34" i="48"/>
  <c r="D34" i="48"/>
  <c r="A35" i="48"/>
  <c r="F33" i="48"/>
  <c r="B35" i="48" l="1"/>
  <c r="C35" i="48"/>
  <c r="D35" i="48"/>
  <c r="A36" i="48"/>
  <c r="F34" i="48"/>
  <c r="B36" i="48" l="1"/>
  <c r="C36" i="48"/>
  <c r="D36" i="48"/>
  <c r="A37" i="48"/>
  <c r="F35" i="48"/>
  <c r="B37" i="48" l="1"/>
  <c r="C37" i="48"/>
  <c r="D37" i="48"/>
  <c r="A38" i="48"/>
  <c r="F36" i="48"/>
  <c r="B38" i="48" l="1"/>
  <c r="C38" i="48"/>
  <c r="D38" i="48"/>
  <c r="A39" i="48"/>
  <c r="F37" i="48"/>
  <c r="C39" i="48" l="1"/>
  <c r="D39" i="48"/>
  <c r="A40" i="48"/>
  <c r="B39" i="48"/>
  <c r="F39" i="48" s="1"/>
  <c r="F38" i="48"/>
  <c r="D40" i="48" l="1"/>
  <c r="A41" i="48"/>
  <c r="B40" i="48"/>
  <c r="C40" i="48"/>
  <c r="F40" i="48" l="1"/>
  <c r="B41" i="48"/>
  <c r="C41" i="48"/>
  <c r="D41" i="48"/>
  <c r="A42" i="48"/>
  <c r="B42" i="48" l="1"/>
  <c r="C42" i="48"/>
  <c r="D42" i="48"/>
  <c r="A43" i="48"/>
  <c r="F41" i="48"/>
  <c r="B43" i="48" l="1"/>
  <c r="C43" i="48"/>
  <c r="A44" i="48"/>
  <c r="D43" i="48"/>
  <c r="F42" i="48"/>
  <c r="A45" i="48" l="1"/>
  <c r="B44" i="48"/>
  <c r="C44" i="48"/>
  <c r="D44" i="48"/>
  <c r="F43" i="48"/>
  <c r="F44" i="48" l="1"/>
  <c r="B45" i="48"/>
  <c r="C45" i="48"/>
  <c r="D45" i="48"/>
  <c r="A46" i="48"/>
  <c r="B46" i="48" l="1"/>
  <c r="C46" i="48"/>
  <c r="D46" i="48"/>
  <c r="A47" i="48"/>
  <c r="F45" i="48"/>
  <c r="B47" i="48" l="1"/>
  <c r="C47" i="48"/>
  <c r="D47" i="48"/>
  <c r="A48" i="48"/>
  <c r="F46" i="48"/>
  <c r="B48" i="48" l="1"/>
  <c r="C48" i="48"/>
  <c r="D48" i="48"/>
  <c r="A49" i="48"/>
  <c r="F47" i="48"/>
  <c r="C49" i="48" l="1"/>
  <c r="D49" i="48"/>
  <c r="A50" i="48"/>
  <c r="B49" i="48"/>
  <c r="F49" i="48" s="1"/>
  <c r="F48" i="48"/>
  <c r="B50" i="48" l="1"/>
  <c r="C50" i="48"/>
  <c r="D50" i="48"/>
  <c r="A51" i="48"/>
  <c r="B51" i="48" l="1"/>
  <c r="C51" i="48"/>
  <c r="D51" i="48"/>
  <c r="A52" i="48"/>
  <c r="F50" i="48"/>
  <c r="B52" i="48" l="1"/>
  <c r="D52" i="48"/>
  <c r="A53" i="48"/>
  <c r="C52" i="48"/>
  <c r="F51" i="48"/>
  <c r="A54" i="48" l="1"/>
  <c r="B53" i="48"/>
  <c r="C53" i="48"/>
  <c r="D53" i="48"/>
  <c r="F52" i="48"/>
  <c r="F53" i="48" l="1"/>
  <c r="B54" i="48"/>
  <c r="C54" i="48"/>
  <c r="D54" i="48"/>
  <c r="A55" i="48"/>
  <c r="B55" i="48" l="1"/>
  <c r="C55" i="48"/>
  <c r="D55" i="48"/>
  <c r="A56" i="48"/>
  <c r="F54" i="48"/>
  <c r="B56" i="48" l="1"/>
  <c r="C56" i="48"/>
  <c r="D56" i="48"/>
  <c r="A57" i="48"/>
  <c r="F55" i="48"/>
  <c r="B57" i="48" l="1"/>
  <c r="C57" i="48"/>
  <c r="D57" i="48"/>
  <c r="A58" i="48"/>
  <c r="F56" i="48"/>
  <c r="B58" i="48" l="1"/>
  <c r="C58" i="48"/>
  <c r="D58" i="48"/>
  <c r="A59" i="48"/>
  <c r="F57" i="48"/>
  <c r="B59" i="48" l="1"/>
  <c r="C59" i="48"/>
  <c r="D59" i="48"/>
  <c r="A60" i="48"/>
  <c r="F58" i="48"/>
  <c r="B60" i="48" l="1"/>
  <c r="C60" i="48"/>
  <c r="D60" i="48"/>
  <c r="A61" i="48"/>
  <c r="F59" i="48"/>
  <c r="C61" i="48" l="1"/>
  <c r="D61" i="48"/>
  <c r="A62" i="48"/>
  <c r="B61" i="48"/>
  <c r="F61" i="48" s="1"/>
  <c r="F60" i="48"/>
  <c r="D62" i="48" l="1"/>
  <c r="A63" i="48"/>
  <c r="B62" i="48"/>
  <c r="C62" i="48"/>
  <c r="F62" i="48" l="1"/>
  <c r="B63" i="48"/>
  <c r="C63" i="48"/>
  <c r="D63" i="48"/>
  <c r="F63" i="48" l="1"/>
  <c r="U62" i="86" l="1"/>
  <c r="U65" i="86" s="1"/>
  <c r="U66" i="86" s="1"/>
  <c r="T62" i="86"/>
  <c r="AD76" i="86" l="1"/>
  <c r="AC76" i="86"/>
  <c r="AB76" i="86"/>
  <c r="AA76" i="86"/>
  <c r="T65" i="86"/>
  <c r="T66" i="86" s="1"/>
  <c r="AE76" i="86"/>
  <c r="Y62" i="86"/>
  <c r="T69" i="86" s="1"/>
  <c r="T70" i="86" s="1"/>
  <c r="X62" i="86"/>
  <c r="AA62" i="86"/>
  <c r="AE62" i="86"/>
  <c r="AC62" i="86"/>
  <c r="AD62" i="86"/>
  <c r="V62" i="86"/>
  <c r="V65" i="86" s="1"/>
  <c r="V66" i="86" s="1"/>
  <c r="AB62" i="86"/>
  <c r="AB66" i="86" l="1"/>
  <c r="AB71" i="86"/>
  <c r="AB72" i="86" s="1"/>
  <c r="AE66" i="86"/>
  <c r="AE71" i="86"/>
  <c r="AE72" i="86" s="1"/>
  <c r="AD66" i="86"/>
  <c r="AD71" i="86"/>
  <c r="AD72" i="86" s="1"/>
  <c r="AC66" i="86"/>
  <c r="AC71" i="86"/>
  <c r="AC72" i="86" s="1"/>
  <c r="AA66" i="86"/>
  <c r="AG62" i="86"/>
  <c r="AA71" i="86"/>
  <c r="AG71" i="86" l="1"/>
  <c r="AG66" i="86"/>
  <c r="AA67" i="86"/>
  <c r="AC67" i="86"/>
  <c r="AD67" i="86"/>
  <c r="AE67" i="86"/>
  <c r="AB67" i="86"/>
  <c r="AA72" i="86"/>
  <c r="AG72" i="86" s="1"/>
  <c r="AG67" i="8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<sst xmlns="http://schemas.openxmlformats.org/spreadsheetml/2006/main" count="1963" uniqueCount="861">
  <si>
    <t>A</t>
  </si>
  <si>
    <t>B</t>
  </si>
  <si>
    <t>C</t>
  </si>
  <si>
    <t>time t</t>
  </si>
  <si>
    <t>time t+1</t>
  </si>
  <si>
    <t>market cap</t>
  </si>
  <si>
    <t>weights</t>
  </si>
  <si>
    <t>Total</t>
  </si>
  <si>
    <t>shares</t>
  </si>
  <si>
    <t>actual weights</t>
  </si>
  <si>
    <t>value-weights</t>
  </si>
  <si>
    <t>Outcome</t>
  </si>
  <si>
    <t>Probability</t>
  </si>
  <si>
    <t>E[r]</t>
  </si>
  <si>
    <t>E[forecast error]</t>
  </si>
  <si>
    <t>(variance)</t>
  </si>
  <si>
    <t>Volatility</t>
  </si>
  <si>
    <t>Portfolio</t>
  </si>
  <si>
    <t>Portfolio:</t>
  </si>
  <si>
    <t>60% HOG</t>
  </si>
  <si>
    <t>80% ZION</t>
  </si>
  <si>
    <t>20% risk-free bonds</t>
  </si>
  <si>
    <t>HOG</t>
  </si>
  <si>
    <t>ZION</t>
  </si>
  <si>
    <t>Var[r]</t>
  </si>
  <si>
    <t>Std[r]</t>
  </si>
  <si>
    <t>Forecast Errors</t>
  </si>
  <si>
    <t>Product</t>
  </si>
  <si>
    <t>Duke Energy</t>
  </si>
  <si>
    <t>First-Solar</t>
  </si>
  <si>
    <t>DUKE</t>
  </si>
  <si>
    <t>First_Solar</t>
  </si>
  <si>
    <t>Covariance without using Excel's "covar" function:</t>
  </si>
  <si>
    <t>Covariance using Excel's "covar" function :</t>
  </si>
  <si>
    <t>Correlation without using Excel's correl function:</t>
  </si>
  <si>
    <t>Correlation  using Excel's "correl" function :</t>
  </si>
  <si>
    <t>Vol(Duke)</t>
  </si>
  <si>
    <t>Vol(First-Solar)</t>
  </si>
  <si>
    <t>Original</t>
  </si>
  <si>
    <t>New</t>
  </si>
  <si>
    <t>stock A</t>
  </si>
  <si>
    <t>Mean</t>
  </si>
  <si>
    <t>Stdev</t>
  </si>
  <si>
    <t>DATE</t>
  </si>
  <si>
    <t>rA</t>
  </si>
  <si>
    <t>rp</t>
  </si>
  <si>
    <t>a</t>
  </si>
  <si>
    <t>b</t>
  </si>
  <si>
    <t>E[rA]</t>
  </si>
  <si>
    <t>E[rp]</t>
  </si>
  <si>
    <t>(using Excel's functions)</t>
  </si>
  <si>
    <t>X</t>
  </si>
  <si>
    <t>Y</t>
  </si>
  <si>
    <t>Google</t>
  </si>
  <si>
    <t>Tech Portfolio</t>
  </si>
  <si>
    <t>b2Var(xt)</t>
  </si>
  <si>
    <t>Variance of Google</t>
  </si>
  <si>
    <t>Fraction of Google's variance unrelated to tech industry</t>
  </si>
  <si>
    <t>Fraction of Google's variance explained by variation in tech industry</t>
  </si>
  <si>
    <t>Regression Using</t>
  </si>
  <si>
    <t>Excess Returns</t>
  </si>
  <si>
    <t>Total Returns</t>
  </si>
  <si>
    <t>IBM</t>
  </si>
  <si>
    <t>Market</t>
  </si>
  <si>
    <t>risk-free</t>
  </si>
  <si>
    <t>2017-01</t>
  </si>
  <si>
    <t>alpha</t>
  </si>
  <si>
    <t>intercept</t>
  </si>
  <si>
    <t>2017-02</t>
  </si>
  <si>
    <t>beta</t>
  </si>
  <si>
    <t>slope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</si>
  <si>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</si>
  <si>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</si>
  <si>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</si>
  <si>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</si>
  <si>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</si>
  <si>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</si>
  <si>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</si>
  <si>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</si>
  <si>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</si>
  <si>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</si>
  <si>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</si>
  <si>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</si>
  <si>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</si>
  <si>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</si>
  <si>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</si>
  <si>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</si>
  <si>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</si>
  <si>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</si>
  <si>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</si>
  <si>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</si>
  <si>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</si>
  <si>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</si>
  <si>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</si>
  <si>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</si>
  <si>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</si>
  <si>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</si>
  <si>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</si>
  <si>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</si>
  <si>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</si>
  <si>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</si>
  <si>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</si>
  <si>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</si>
  <si>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</si>
  <si>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</si>
  <si>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</si>
  <si>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</si>
  <si>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</si>
  <si>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</si>
  <si>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</si>
  <si>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</si>
  <si>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</si>
  <si>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</si>
  <si>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</si>
  <si>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</si>
  <si>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</si>
  <si>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</si>
  <si>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</si>
  <si>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</si>
  <si>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</si>
  <si>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</si>
  <si>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</si>
  <si>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</si>
  <si>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</si>
  <si>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</si>
  <si>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</si>
  <si>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</si>
  <si>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</si>
  <si>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Oil Portfolio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</si>
  <si>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</si>
  <si>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</si>
  <si>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</si>
  <si>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</si>
  <si>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</si>
  <si>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</si>
  <si>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</si>
  <si>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</si>
  <si>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</si>
  <si>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</si>
  <si>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</si>
  <si>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</si>
  <si>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</si>
  <si>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</si>
  <si>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</si>
  <si>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Coefficients</t>
  </si>
  <si>
    <t>t Stat</t>
  </si>
  <si>
    <t>P-value</t>
  </si>
  <si>
    <t>Lower 95%</t>
  </si>
  <si>
    <t>Upper 95%</t>
  </si>
  <si>
    <t>Intercept</t>
  </si>
  <si>
    <t>X Variable 1</t>
  </si>
  <si>
    <t>AAPL</t>
  </si>
  <si>
    <t>COST</t>
  </si>
  <si>
    <t>DIS</t>
  </si>
  <si>
    <t>GE</t>
  </si>
  <si>
    <t>returns</t>
  </si>
  <si>
    <t>Variance from Historical Returns</t>
  </si>
  <si>
    <t>Covariance Matrix</t>
  </si>
  <si>
    <t>Variance from covariance matrix</t>
  </si>
  <si>
    <t>rf</t>
  </si>
  <si>
    <t>Arbitrary Portfolios</t>
  </si>
  <si>
    <t>w(IBM)</t>
  </si>
  <si>
    <t>w(COG)</t>
  </si>
  <si>
    <t>w(AAPL)</t>
  </si>
  <si>
    <t>vol</t>
  </si>
  <si>
    <t>Mean-Variance Efficient Portfolios</t>
  </si>
  <si>
    <t>Target E[r]</t>
  </si>
  <si>
    <t>Max Sharpe</t>
  </si>
  <si>
    <t>stdev</t>
  </si>
  <si>
    <t>Sharpe</t>
  </si>
  <si>
    <t>Point 1:</t>
  </si>
  <si>
    <t>Point 2:</t>
  </si>
  <si>
    <t>Benchmark</t>
  </si>
  <si>
    <t>US market-rf</t>
  </si>
  <si>
    <t>small-large</t>
  </si>
  <si>
    <t>value-growth</t>
  </si>
  <si>
    <t>Covariance matrix</t>
  </si>
  <si>
    <t>Stdev[r]</t>
  </si>
  <si>
    <t>Scale All Risky Weights</t>
  </si>
  <si>
    <t>US Market</t>
  </si>
  <si>
    <t>Small-Large</t>
  </si>
  <si>
    <t>Value-Growth</t>
  </si>
  <si>
    <t>Stock 1</t>
  </si>
  <si>
    <t>Stock 2</t>
  </si>
  <si>
    <t xml:space="preserve">Stock1 </t>
  </si>
  <si>
    <t>rT1</t>
  </si>
  <si>
    <t>rT2</t>
  </si>
  <si>
    <t>Tilt</t>
  </si>
  <si>
    <t>E[r]-rf</t>
  </si>
  <si>
    <t>s</t>
  </si>
  <si>
    <t>Alpha</t>
  </si>
  <si>
    <t>Beta</t>
  </si>
  <si>
    <t>Expected Returns</t>
  </si>
  <si>
    <t>stock 1</t>
  </si>
  <si>
    <t>stock 2</t>
  </si>
  <si>
    <t>stock 3</t>
  </si>
  <si>
    <t>current portfolio</t>
  </si>
  <si>
    <t>Optimal portfolio</t>
  </si>
  <si>
    <t>portfolio weights</t>
  </si>
  <si>
    <t>Cov(r,rp)</t>
  </si>
  <si>
    <t>Betas</t>
  </si>
  <si>
    <t>alphas</t>
  </si>
  <si>
    <t>Var(rp)</t>
  </si>
  <si>
    <t>tilt</t>
  </si>
  <si>
    <t>Tilted</t>
  </si>
  <si>
    <t xml:space="preserve">Rate of </t>
  </si>
  <si>
    <t xml:space="preserve">Tilted </t>
  </si>
  <si>
    <t>Security</t>
  </si>
  <si>
    <t>Change</t>
  </si>
  <si>
    <t>Math Fact #8</t>
  </si>
  <si>
    <t>Date</t>
  </si>
  <si>
    <t>Return</t>
  </si>
  <si>
    <t>Returns</t>
  </si>
  <si>
    <t>Stock A</t>
  </si>
  <si>
    <t>Tangent</t>
  </si>
  <si>
    <t>Var(IBM)</t>
  </si>
  <si>
    <t>Var(T)</t>
  </si>
  <si>
    <t>Fraction Sys</t>
  </si>
  <si>
    <t>Fraction Unsys</t>
  </si>
  <si>
    <t>Growth</t>
  </si>
  <si>
    <t>Tangent Portfolio</t>
  </si>
  <si>
    <t>MVE Portfolio</t>
  </si>
  <si>
    <t>Alphas</t>
  </si>
  <si>
    <t>2018-2019</t>
  </si>
  <si>
    <t>MVE</t>
  </si>
  <si>
    <t>w1</t>
  </si>
  <si>
    <t>w2</t>
  </si>
  <si>
    <t>Vol[r]</t>
  </si>
  <si>
    <t>Active</t>
  </si>
  <si>
    <t>Annualized</t>
  </si>
  <si>
    <t>rp-rf</t>
  </si>
  <si>
    <t>Summit Strides Trail Running</t>
  </si>
  <si>
    <t>Balance Sheet</t>
  </si>
  <si>
    <t>Income Statemement</t>
  </si>
  <si>
    <t>Cash-Flow Statemement</t>
  </si>
  <si>
    <t>Assets</t>
  </si>
  <si>
    <t>$M</t>
  </si>
  <si>
    <t>Current Assets</t>
  </si>
  <si>
    <t xml:space="preserve">Revenue </t>
  </si>
  <si>
    <t>Cash from Operating Activities</t>
  </si>
  <si>
    <t xml:space="preserve">  Cash</t>
  </si>
  <si>
    <t xml:space="preserve">   Net Income</t>
  </si>
  <si>
    <t xml:space="preserve">  Marketable Securities</t>
  </si>
  <si>
    <t>Expenses</t>
  </si>
  <si>
    <t xml:space="preserve">     + Depreciation</t>
  </si>
  <si>
    <t xml:space="preserve">  Inventory</t>
  </si>
  <si>
    <t>Cost of Goods Sold</t>
  </si>
  <si>
    <t xml:space="preserve">   Subtract Change in Net Operating Working Capital</t>
  </si>
  <si>
    <t xml:space="preserve">  Accounts Receivable</t>
  </si>
  <si>
    <t>Gross Profit</t>
  </si>
  <si>
    <t xml:space="preserve">    Subtract Change in Current Operating Assets</t>
  </si>
  <si>
    <t>Total Current Assets</t>
  </si>
  <si>
    <t xml:space="preserve">     - Change in Inventory</t>
  </si>
  <si>
    <t xml:space="preserve">  Property Plant and Equipment</t>
  </si>
  <si>
    <t>Operating Expenses (SG&amp;A)</t>
  </si>
  <si>
    <t xml:space="preserve">     - Change in Accounts Receivable</t>
  </si>
  <si>
    <t xml:space="preserve">  Less: Accumulated Depreciation</t>
  </si>
  <si>
    <t xml:space="preserve">  Salaries and Wages</t>
  </si>
  <si>
    <t xml:space="preserve">    Add Change in Current Operating Liabilities</t>
  </si>
  <si>
    <t>Net Property, Plant, and Equipment</t>
  </si>
  <si>
    <t xml:space="preserve">  Utilities Expense</t>
  </si>
  <si>
    <t xml:space="preserve">     + Change in Accounts Payable</t>
  </si>
  <si>
    <t>Goodwill</t>
  </si>
  <si>
    <t xml:space="preserve">  Rent</t>
  </si>
  <si>
    <t xml:space="preserve">     + Change in Accrued Expenses</t>
  </si>
  <si>
    <t>Total Assets</t>
  </si>
  <si>
    <t xml:space="preserve">  Depreciation Expense</t>
  </si>
  <si>
    <t xml:space="preserve">     + Change in Unearned Revenue</t>
  </si>
  <si>
    <t>Liabilities and Stockholders Equity</t>
  </si>
  <si>
    <t>Total Operating Expenses</t>
  </si>
  <si>
    <t xml:space="preserve">   - Total Change in Operating NWC</t>
  </si>
  <si>
    <t>Current Liabilities</t>
  </si>
  <si>
    <t>EBIT</t>
  </si>
  <si>
    <t>Net Cash flow from Operations</t>
  </si>
  <si>
    <t xml:space="preserve">  Accounts Payable</t>
  </si>
  <si>
    <t>Cash from Investing Activities</t>
  </si>
  <si>
    <t xml:space="preserve">  Accrued Expense</t>
  </si>
  <si>
    <t>Other Income and Expenses</t>
  </si>
  <si>
    <t xml:space="preserve">   - Change in Fixed Assets</t>
  </si>
  <si>
    <t xml:space="preserve">  Unearned Revenue</t>
  </si>
  <si>
    <t>Interest Income</t>
  </si>
  <si>
    <t xml:space="preserve">     - Purchase of Fixed Assets</t>
  </si>
  <si>
    <t>Total Current Liabilities</t>
  </si>
  <si>
    <t>Interest Expense</t>
  </si>
  <si>
    <t xml:space="preserve">     + Sale of Fixed Assets</t>
  </si>
  <si>
    <t>Long Term Debt</t>
  </si>
  <si>
    <t>Total Other Income and Expenses</t>
  </si>
  <si>
    <t xml:space="preserve">   - Total Change in Fixed Assets</t>
  </si>
  <si>
    <t>Total Liabilities</t>
  </si>
  <si>
    <t xml:space="preserve">   - Change in Other Investments</t>
  </si>
  <si>
    <t>Stockholders Equity</t>
  </si>
  <si>
    <t>Income Before Taxes</t>
  </si>
  <si>
    <t xml:space="preserve">     - Purchase of Marketable Securities </t>
  </si>
  <si>
    <t>Total Liabilities and Stockholders Equity</t>
  </si>
  <si>
    <t>Income Tax Expense</t>
  </si>
  <si>
    <t xml:space="preserve">     + Sale of Marketable Securities</t>
  </si>
  <si>
    <t>Net Income</t>
  </si>
  <si>
    <t xml:space="preserve">   - Total Change in Other Investments</t>
  </si>
  <si>
    <t>Net Cash Flow from Investing Activities</t>
  </si>
  <si>
    <t>Cash From Financing Activities</t>
  </si>
  <si>
    <t xml:space="preserve">   + Net Issuance of Stock</t>
  </si>
  <si>
    <t xml:space="preserve">   + Net Issuance of Debt</t>
  </si>
  <si>
    <t xml:space="preserve">   - Dividends Paid</t>
  </si>
  <si>
    <t xml:space="preserve">   - Interest expense</t>
  </si>
  <si>
    <t>Net Cash flow from Financing Activities</t>
  </si>
  <si>
    <t>Total Net Change in Cash</t>
  </si>
  <si>
    <t>Powder Provisions</t>
  </si>
  <si>
    <t>Cash flows</t>
  </si>
  <si>
    <t>Values</t>
  </si>
  <si>
    <t>Period</t>
  </si>
  <si>
    <t>FCFF</t>
  </si>
  <si>
    <t>Discounted</t>
  </si>
  <si>
    <t>Net Borrowing</t>
  </si>
  <si>
    <t>Int Expense</t>
  </si>
  <si>
    <t>FCFE</t>
  </si>
  <si>
    <t>EV</t>
  </si>
  <si>
    <t>Debt</t>
  </si>
  <si>
    <t>E-C</t>
  </si>
  <si>
    <t>Debt/EV</t>
  </si>
  <si>
    <t>D/EV</t>
  </si>
  <si>
    <t>(E-C)/EV</t>
  </si>
  <si>
    <t>Cash</t>
  </si>
  <si>
    <t>Equity Value</t>
  </si>
  <si>
    <t>D(1-t)</t>
  </si>
  <si>
    <t>cost</t>
  </si>
  <si>
    <t>WACC</t>
  </si>
  <si>
    <t>Model for Summit Strides</t>
  </si>
  <si>
    <t>Revenue Growth</t>
  </si>
  <si>
    <t xml:space="preserve">     Depreciation</t>
  </si>
  <si>
    <t xml:space="preserve">    Change in NOWC</t>
  </si>
  <si>
    <t>Operating Cash Flow</t>
  </si>
  <si>
    <t>Capital Expenditures</t>
  </si>
  <si>
    <t>Net Interest Expense</t>
  </si>
  <si>
    <t>Gross Profit Margin</t>
  </si>
  <si>
    <t>Effective Tax Rate</t>
  </si>
  <si>
    <t>After-Tax Interest Expense</t>
  </si>
  <si>
    <t>FCF Margin</t>
  </si>
  <si>
    <t>EBIT Margin</t>
  </si>
  <si>
    <t>Terminal Value</t>
  </si>
  <si>
    <t>EV/EBITDA</t>
  </si>
  <si>
    <t>DCF1</t>
  </si>
  <si>
    <t>Net Debt</t>
  </si>
  <si>
    <t>Mcap</t>
  </si>
  <si>
    <t>Shares (MM)</t>
  </si>
  <si>
    <t>Implied Price</t>
  </si>
  <si>
    <t>Actual Price</t>
  </si>
  <si>
    <t>Forecasted Revenue Growth</t>
  </si>
  <si>
    <t>Original Revenue Growth</t>
  </si>
  <si>
    <t>Differentiated View</t>
  </si>
  <si>
    <t>PV1</t>
  </si>
  <si>
    <t>Firm</t>
  </si>
  <si>
    <t>Row</t>
  </si>
  <si>
    <t>Panel A.</t>
  </si>
  <si>
    <t xml:space="preserve"> Cash </t>
  </si>
  <si>
    <t>Stock Holders Equity</t>
  </si>
  <si>
    <t>Panel B.</t>
  </si>
  <si>
    <t>Revenue</t>
  </si>
  <si>
    <t>Income Statement</t>
  </si>
  <si>
    <t>COGS + Operating Expense</t>
  </si>
  <si>
    <t>Tax Expense</t>
  </si>
  <si>
    <t>Panel C.</t>
  </si>
  <si>
    <t>Cash Flow Statement</t>
  </si>
  <si>
    <t xml:space="preserve"> Depreciation</t>
  </si>
  <si>
    <t>CFO</t>
  </si>
  <si>
    <t>Panel D.</t>
  </si>
  <si>
    <t>Market Values</t>
  </si>
  <si>
    <t>Enterprise Value</t>
  </si>
  <si>
    <t>Equity (from FCFF)</t>
  </si>
  <si>
    <t>Equity (from FCFE)</t>
  </si>
  <si>
    <t>Panel E.</t>
  </si>
  <si>
    <t>Net Profit Margin</t>
  </si>
  <si>
    <t>Ratios</t>
  </si>
  <si>
    <t>Asset Turnover</t>
  </si>
  <si>
    <t>Leverage</t>
  </si>
  <si>
    <t>ROE</t>
  </si>
  <si>
    <t>PE</t>
  </si>
  <si>
    <t>PB</t>
  </si>
  <si>
    <t>ROA</t>
  </si>
  <si>
    <t>Free Cash Flow Yield</t>
  </si>
  <si>
    <t>Panel F.</t>
  </si>
  <si>
    <t xml:space="preserve">WACC </t>
  </si>
  <si>
    <t>Discount Rates</t>
  </si>
  <si>
    <t>Cost of Equity (Non-Cash Assets)</t>
  </si>
  <si>
    <t xml:space="preserve">Cost of Debt </t>
  </si>
  <si>
    <t>Return on Cash</t>
  </si>
  <si>
    <t>Client's Portfolio</t>
  </si>
  <si>
    <t>Strategy</t>
  </si>
  <si>
    <t>(no leverage)</t>
  </si>
  <si>
    <t>20% leverage</t>
  </si>
  <si>
    <t>60% leverage</t>
  </si>
  <si>
    <t>100% leverage</t>
  </si>
  <si>
    <t>2022-1</t>
  </si>
  <si>
    <t>no leverage</t>
  </si>
  <si>
    <t>1.2 leverage</t>
  </si>
  <si>
    <t>1.6 leverage</t>
  </si>
  <si>
    <t>2.0 leverage</t>
  </si>
  <si>
    <t>2022-2</t>
  </si>
  <si>
    <t>2022-3</t>
  </si>
  <si>
    <t>weight in strategy</t>
  </si>
  <si>
    <t>2022-4</t>
  </si>
  <si>
    <t>(1+L)*alpha(no leverage)</t>
  </si>
  <si>
    <t>2022-5</t>
  </si>
  <si>
    <t>2022-6</t>
  </si>
  <si>
    <t>2022-7</t>
  </si>
  <si>
    <t>2022-8</t>
  </si>
  <si>
    <t>2022-9</t>
  </si>
  <si>
    <t>2022-10</t>
  </si>
  <si>
    <t>2022-11</t>
  </si>
  <si>
    <t>2022-12</t>
  </si>
  <si>
    <t>2023-1</t>
  </si>
  <si>
    <t>2023-2</t>
  </si>
  <si>
    <t>2023-3</t>
  </si>
  <si>
    <t>2023-4</t>
  </si>
  <si>
    <t>2023-5</t>
  </si>
  <si>
    <t>2023-6</t>
  </si>
  <si>
    <t>2023-7</t>
  </si>
  <si>
    <t>2023-8</t>
  </si>
  <si>
    <t>2023-9</t>
  </si>
  <si>
    <t>2023-10</t>
  </si>
  <si>
    <t>2023-11</t>
  </si>
  <si>
    <t>2023-12</t>
  </si>
  <si>
    <t>2024-1</t>
  </si>
  <si>
    <t>2024-2</t>
  </si>
  <si>
    <t>2024-3</t>
  </si>
  <si>
    <t>2024-4</t>
  </si>
  <si>
    <t>2024-5</t>
  </si>
  <si>
    <t>2024-6</t>
  </si>
  <si>
    <t>2024-7</t>
  </si>
  <si>
    <t>2024-8</t>
  </si>
  <si>
    <t>2024-9</t>
  </si>
  <si>
    <t>2024-10</t>
  </si>
  <si>
    <t>2024-11</t>
  </si>
  <si>
    <t>2024-12</t>
  </si>
  <si>
    <t>D</t>
  </si>
  <si>
    <t>E</t>
  </si>
  <si>
    <t>Portfolio1</t>
  </si>
  <si>
    <t>Active Weights, h</t>
  </si>
  <si>
    <t>Active Risk</t>
  </si>
  <si>
    <t>check</t>
  </si>
  <si>
    <t>Active Portfolios</t>
  </si>
  <si>
    <t>scale by</t>
  </si>
  <si>
    <t>active risk</t>
  </si>
  <si>
    <t>E[rp]-E[rb]</t>
  </si>
  <si>
    <t>IR</t>
  </si>
  <si>
    <t>Weights</t>
  </si>
  <si>
    <t>Oprimal Portoflio</t>
  </si>
  <si>
    <t>stock 4</t>
  </si>
  <si>
    <t>stock 5</t>
  </si>
  <si>
    <t>stock 6</t>
  </si>
  <si>
    <t>stock 7</t>
  </si>
  <si>
    <t>stock 8</t>
  </si>
  <si>
    <t>stock 9</t>
  </si>
  <si>
    <t>stock 10</t>
  </si>
  <si>
    <t>benchmark</t>
  </si>
  <si>
    <t>active weights (h)</t>
  </si>
  <si>
    <t>optimal total</t>
  </si>
  <si>
    <t>Cov(stock_i,B)</t>
  </si>
  <si>
    <t>Variance</t>
  </si>
  <si>
    <t>Zero-Cost (h)</t>
  </si>
  <si>
    <t>Active risk</t>
  </si>
  <si>
    <t>I-ratio</t>
  </si>
  <si>
    <t>ETF</t>
  </si>
  <si>
    <t>active weights</t>
  </si>
  <si>
    <t>ETF (individual)</t>
  </si>
  <si>
    <t>Total weights</t>
  </si>
  <si>
    <t>betas</t>
  </si>
  <si>
    <t>Portfolio Beta relative to Benchmark</t>
  </si>
  <si>
    <t>Asset Value</t>
  </si>
  <si>
    <t>Call(X=80)</t>
  </si>
  <si>
    <t>Call(X=100)</t>
  </si>
  <si>
    <t>Call(X=120)</t>
  </si>
  <si>
    <t>Butterfly</t>
  </si>
  <si>
    <t>Market Cap Of Equity</t>
  </si>
  <si>
    <t>Voaltility of Assets</t>
  </si>
  <si>
    <t>Face value of Debt</t>
  </si>
  <si>
    <t>T</t>
  </si>
  <si>
    <t>Maturity (in years)</t>
  </si>
  <si>
    <t>risk-free rate</t>
  </si>
  <si>
    <t>S</t>
  </si>
  <si>
    <t>Firm Value</t>
  </si>
  <si>
    <t>Call Value</t>
  </si>
  <si>
    <t>Black-Scholes</t>
  </si>
  <si>
    <t>Market Value of Firm's Debt</t>
  </si>
  <si>
    <t>Evergreen Growth ETF</t>
  </si>
  <si>
    <t>geometric mean</t>
  </si>
  <si>
    <t>Gross Returns</t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</si>
  <si>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Times New Roman"/>
        <family val="1"/>
        <charset val="2"/>
      </rPr>
      <t>NOWC</t>
    </r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</si>
  <si>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Times New Roman"/>
        <family val="1"/>
        <charset val="2"/>
      </rPr>
      <t>FA</t>
    </r>
  </si>
  <si>
    <t>residual, z</t>
  </si>
  <si>
    <t>Cov(x,z)</t>
  </si>
  <si>
    <t>rA-rf</t>
  </si>
  <si>
    <t>Corr(A,B)</t>
  </si>
  <si>
    <t>Fund</t>
  </si>
  <si>
    <t>beta(A,F)</t>
  </si>
  <si>
    <t>Covariance</t>
  </si>
  <si>
    <t>DRLL</t>
  </si>
  <si>
    <t>BYTE</t>
  </si>
  <si>
    <t>SNAX</t>
  </si>
  <si>
    <t>E[x]</t>
  </si>
  <si>
    <t>Var</t>
  </si>
  <si>
    <t>Excess A</t>
  </si>
  <si>
    <t>Excess B</t>
  </si>
  <si>
    <t>State Variable X</t>
  </si>
  <si>
    <t>Regressions of Excess Returns on X</t>
  </si>
  <si>
    <t>Portfolio with Max Correlation with X</t>
  </si>
  <si>
    <t>Cov[r,x]</t>
  </si>
  <si>
    <t>Cov(r,X)</t>
  </si>
  <si>
    <t>Corr(r,X)</t>
  </si>
  <si>
    <t>Vol</t>
  </si>
  <si>
    <t>Beta_X</t>
  </si>
  <si>
    <t>Using data 2018-2019</t>
  </si>
  <si>
    <t>Active weights</t>
  </si>
  <si>
    <t>Small-Big</t>
  </si>
  <si>
    <t>MCAP</t>
  </si>
  <si>
    <t>PE Ratio</t>
  </si>
  <si>
    <t>VW Market</t>
  </si>
  <si>
    <t>Stock</t>
  </si>
  <si>
    <t>Return 1</t>
  </si>
  <si>
    <t>Return 2</t>
  </si>
  <si>
    <t>Return Direct</t>
  </si>
  <si>
    <t>sum check</t>
  </si>
  <si>
    <t>Return Indirect 1</t>
  </si>
  <si>
    <t>Return Indirect 2</t>
  </si>
  <si>
    <t>rz1</t>
  </si>
  <si>
    <t>rz2</t>
  </si>
  <si>
    <t>Portfolio_A</t>
  </si>
  <si>
    <t>w_Market</t>
  </si>
  <si>
    <t>w_z1</t>
  </si>
  <si>
    <t>w_z2</t>
  </si>
  <si>
    <t>z1</t>
  </si>
  <si>
    <t>z2</t>
  </si>
  <si>
    <t>Tangent_Proposed</t>
  </si>
  <si>
    <t>Lo PRIOR</t>
  </si>
  <si>
    <t>date</t>
  </si>
  <si>
    <t>Low Beta</t>
  </si>
  <si>
    <t>Mkt-rf</t>
  </si>
  <si>
    <t>2020-2022</t>
  </si>
  <si>
    <t>SMB</t>
  </si>
  <si>
    <t>HML</t>
  </si>
  <si>
    <t>RMW</t>
  </si>
  <si>
    <t>CMA</t>
  </si>
  <si>
    <t>MKT</t>
  </si>
  <si>
    <t>Average Returns</t>
  </si>
  <si>
    <t>Tangent Portfolio Weights</t>
  </si>
  <si>
    <t>Monthly</t>
  </si>
  <si>
    <t>Stedv[r]</t>
  </si>
  <si>
    <t>MKT-RF</t>
  </si>
  <si>
    <t>RF</t>
  </si>
  <si>
    <t>Cash flows (millions)</t>
  </si>
  <si>
    <t>Total Called</t>
  </si>
  <si>
    <t>Market Index</t>
  </si>
  <si>
    <t>C/R</t>
  </si>
  <si>
    <t>D/R</t>
  </si>
  <si>
    <t>PME</t>
  </si>
  <si>
    <t>IRR</t>
  </si>
  <si>
    <t>NAV</t>
  </si>
  <si>
    <t>call</t>
  </si>
  <si>
    <t>dist</t>
  </si>
  <si>
    <t>type</t>
  </si>
  <si>
    <t>TVPI</t>
  </si>
  <si>
    <t>PV(IRR)</t>
  </si>
  <si>
    <t>Scaler</t>
  </si>
  <si>
    <t>Scaled Active</t>
  </si>
  <si>
    <t>Approximation</t>
  </si>
  <si>
    <r>
      <t xml:space="preserve">k </t>
    </r>
    <r>
      <rPr>
        <sz val="11"/>
        <color theme="1"/>
        <rFont val="Times New Roman"/>
        <family val="1"/>
      </rPr>
      <t>(Equity E[r] based on CAPM)</t>
    </r>
  </si>
  <si>
    <t>1-year Target Price</t>
  </si>
  <si>
    <t>Assume 1 year horizon</t>
  </si>
  <si>
    <t>Expected Return</t>
  </si>
  <si>
    <t>Asset</t>
  </si>
  <si>
    <t>Small/Value</t>
  </si>
  <si>
    <t>Small/Growth</t>
  </si>
  <si>
    <t>Large/Growth</t>
  </si>
  <si>
    <t>Active 1</t>
  </si>
  <si>
    <t>Active 2</t>
  </si>
  <si>
    <t>Total Active</t>
  </si>
  <si>
    <t>Large/Value</t>
  </si>
  <si>
    <t>Style</t>
  </si>
  <si>
    <t>Tilted Portfolio</t>
  </si>
  <si>
    <t>beta_AP</t>
  </si>
  <si>
    <t>beta_AP-1</t>
  </si>
  <si>
    <t>%change</t>
  </si>
  <si>
    <t>Asset A</t>
  </si>
  <si>
    <t>%Chg Num</t>
  </si>
  <si>
    <t>%Chg Denom</t>
  </si>
  <si>
    <t>Tilted towards</t>
  </si>
  <si>
    <t>Tilting Towards Both</t>
  </si>
  <si>
    <t>Tilted Towards</t>
  </si>
  <si>
    <t>rT</t>
  </si>
  <si>
    <t>Both</t>
  </si>
  <si>
    <t>Excess Return</t>
  </si>
  <si>
    <t>Stock 3</t>
  </si>
  <si>
    <t>PPG</t>
  </si>
  <si>
    <t>Win Percentage</t>
  </si>
  <si>
    <t>Season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</si>
  <si>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</si>
  <si>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</si>
  <si>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</si>
  <si>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</si>
  <si>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</si>
  <si>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</si>
  <si>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</si>
  <si>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</si>
  <si>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</si>
  <si>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</si>
  <si>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</si>
  <si>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</si>
  <si>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</si>
  <si>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</si>
  <si>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</si>
  <si>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</si>
  <si>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</si>
  <si>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</si>
  <si>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</si>
  <si>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</si>
  <si>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</si>
  <si>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</si>
  <si>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</si>
  <si>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</si>
  <si>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</si>
  <si>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</si>
  <si>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</si>
  <si>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</si>
  <si>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</si>
  <si>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</si>
  <si>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</si>
  <si>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</si>
  <si>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</si>
  <si>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</si>
  <si>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</si>
  <si>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</si>
  <si>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</si>
  <si>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</si>
  <si>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</si>
  <si>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</si>
  <si>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</si>
  <si>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</si>
  <si>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</si>
  <si>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</si>
  <si>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</si>
  <si>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</si>
  <si>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</si>
  <si>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</si>
  <si>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</si>
  <si>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</si>
  <si>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</si>
  <si>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 xml:space="preserve">Leading Scorer </t>
  </si>
  <si>
    <t xml:space="preserve">Kareem Abdul-Jabbar </t>
  </si>
  <si>
    <t xml:space="preserve">Magic Johnson </t>
  </si>
  <si>
    <t xml:space="preserve">James Worthy </t>
  </si>
  <si>
    <t xml:space="preserve">Sedale Threatt </t>
  </si>
  <si>
    <t xml:space="preserve">Vlade Divac </t>
  </si>
  <si>
    <t xml:space="preserve">Cedric Ceballos </t>
  </si>
  <si>
    <t xml:space="preserve">Shaquille O'Neal </t>
  </si>
  <si>
    <t xml:space="preserve">Kobe Bryant </t>
  </si>
  <si>
    <t xml:space="preserve">Pau Gasol </t>
  </si>
  <si>
    <t xml:space="preserve">Jordan Hill </t>
  </si>
  <si>
    <t xml:space="preserve">D'Angelo Russell </t>
  </si>
  <si>
    <t xml:space="preserve">Brandon Ingram </t>
  </si>
  <si>
    <t xml:space="preserve">LeBron James </t>
  </si>
  <si>
    <t xml:space="preserve">Anthony Davis </t>
  </si>
  <si>
    <t>Los Angeles Lakers</t>
  </si>
  <si>
    <t>Regular Season</t>
  </si>
  <si>
    <t>Excel Functions</t>
  </si>
  <si>
    <t>Base Equations</t>
  </si>
  <si>
    <t xml:space="preserve">Average residual: </t>
  </si>
  <si>
    <t>residual (z)</t>
  </si>
  <si>
    <t>y</t>
  </si>
  <si>
    <t>x</t>
  </si>
  <si>
    <t>Covar(z,x)</t>
  </si>
  <si>
    <t>(using base equations)</t>
  </si>
  <si>
    <t>Pace</t>
  </si>
  <si>
    <t>x1</t>
  </si>
  <si>
    <t>x2</t>
  </si>
  <si>
    <t>year</t>
  </si>
  <si>
    <t>price check</t>
  </si>
  <si>
    <t>EAY</t>
  </si>
  <si>
    <t>(price)</t>
  </si>
  <si>
    <t>YTM</t>
  </si>
  <si>
    <t>BEY</t>
  </si>
  <si>
    <t>Future Value</t>
  </si>
  <si>
    <t>Price</t>
  </si>
  <si>
    <t>Coupon</t>
  </si>
  <si>
    <t>Bond Priced at Par</t>
  </si>
  <si>
    <t>Bond Priced Below Par</t>
  </si>
  <si>
    <t>Coupon Rate</t>
  </si>
  <si>
    <t>Bond Priced Above Par</t>
  </si>
  <si>
    <t>Coupon Rate &lt; BEY</t>
  </si>
  <si>
    <t>Coupon Rate &gt; BEY</t>
  </si>
  <si>
    <t>Coupon Rate = BEY</t>
  </si>
  <si>
    <t>N</t>
  </si>
  <si>
    <t>Time</t>
  </si>
  <si>
    <t>PV</t>
  </si>
  <si>
    <t>Mcauley Duration</t>
  </si>
  <si>
    <t>Modified Duration</t>
  </si>
  <si>
    <t>Duration Weights</t>
  </si>
  <si>
    <t>Convexity Terms</t>
  </si>
  <si>
    <t>Convexity</t>
  </si>
  <si>
    <t>Bond 1</t>
  </si>
  <si>
    <t>Bond 2</t>
  </si>
  <si>
    <t>Face Value</t>
  </si>
  <si>
    <t>Maturity (years)</t>
  </si>
  <si>
    <t>duration</t>
  </si>
  <si>
    <t>convexity</t>
  </si>
  <si>
    <t>6-mo</t>
  </si>
  <si>
    <t>periods</t>
  </si>
  <si>
    <t>nominal</t>
  </si>
  <si>
    <t>coupon</t>
  </si>
  <si>
    <t>inflation</t>
  </si>
  <si>
    <t>real CF</t>
  </si>
  <si>
    <t>(time 0)</t>
  </si>
  <si>
    <t>price (0)</t>
  </si>
  <si>
    <t>gross realized</t>
  </si>
  <si>
    <t>real YTM</t>
  </si>
  <si>
    <t>future</t>
  </si>
  <si>
    <t>real return</t>
  </si>
  <si>
    <t>real 6-mo return</t>
  </si>
  <si>
    <t>CF</t>
  </si>
  <si>
    <t>Spot Rates</t>
  </si>
  <si>
    <t>PV (spot rates)</t>
  </si>
  <si>
    <t>PV (YTM)</t>
  </si>
  <si>
    <t>(manually)</t>
  </si>
  <si>
    <t>(using Excel's PV Function)</t>
  </si>
  <si>
    <t>(using Excel's FV Function)</t>
  </si>
  <si>
    <t>Two-Year</t>
  </si>
  <si>
    <t>Years</t>
  </si>
  <si>
    <t>YTM (6mo)</t>
  </si>
  <si>
    <t xml:space="preserve">Six-Month </t>
  </si>
  <si>
    <t>Periods</t>
  </si>
  <si>
    <t>Effective Six-Momth Return</t>
  </si>
  <si>
    <t>alpha(F,B)</t>
  </si>
  <si>
    <t>Tracking Error</t>
  </si>
  <si>
    <t>Information Ratio</t>
  </si>
  <si>
    <t>Covariance Matrix (monthly)</t>
  </si>
  <si>
    <t>Cov(i,b)</t>
  </si>
  <si>
    <t>E[rb]</t>
  </si>
  <si>
    <t>Var[b]</t>
  </si>
  <si>
    <t>total</t>
  </si>
  <si>
    <t>active</t>
  </si>
  <si>
    <t>alpha_i,b</t>
  </si>
  <si>
    <t>TE</t>
  </si>
  <si>
    <t>alpha (to benchmark)</t>
  </si>
  <si>
    <t>Total Scaled Fund</t>
  </si>
  <si>
    <t>G</t>
  </si>
  <si>
    <t>H</t>
  </si>
  <si>
    <t>I</t>
  </si>
  <si>
    <t>J</t>
  </si>
  <si>
    <t>beta (bench)</t>
  </si>
  <si>
    <t>Var (bench)</t>
  </si>
  <si>
    <t>E[r] (bench)</t>
  </si>
  <si>
    <t>cov (bench)</t>
  </si>
  <si>
    <t>beta(active,bench)</t>
  </si>
  <si>
    <t>Optimal Active Portfolio</t>
  </si>
  <si>
    <t>beta_i,b</t>
  </si>
  <si>
    <t>Russell 3000</t>
  </si>
  <si>
    <t>Security Weights</t>
  </si>
  <si>
    <t>Check</t>
  </si>
  <si>
    <t>Allocation Effects</t>
  </si>
  <si>
    <t>Performance Spread</t>
  </si>
  <si>
    <t>Security Selection Effects</t>
  </si>
  <si>
    <t>Interaction Effects</t>
  </si>
  <si>
    <t>Aggregate Total</t>
  </si>
  <si>
    <t>Contribution of Every Security to Performance Spread</t>
  </si>
  <si>
    <t>Security Segment Weights</t>
  </si>
  <si>
    <t>Segment Returns</t>
  </si>
  <si>
    <t>Segment Weights</t>
  </si>
  <si>
    <t>Spread</t>
  </si>
  <si>
    <t>Benchmark Weights</t>
  </si>
  <si>
    <t>Segment</t>
  </si>
  <si>
    <t>Portfolio Weights</t>
  </si>
  <si>
    <t>Annual</t>
  </si>
  <si>
    <t>Contribution to Spread</t>
  </si>
  <si>
    <t>Average Contribution to Spread</t>
  </si>
  <si>
    <t>Contribution to Alpha</t>
  </si>
  <si>
    <t>Averages</t>
  </si>
  <si>
    <t>Portfolio Alpha</t>
  </si>
  <si>
    <t>Stock Returns</t>
  </si>
  <si>
    <t>Annualized Seg Ret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</si>
  <si>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</si>
  <si>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</si>
  <si>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</si>
  <si>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</si>
  <si>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</si>
  <si>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</si>
  <si>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</si>
  <si>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</si>
  <si>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</si>
  <si>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</si>
  <si>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</si>
  <si>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</si>
  <si>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</si>
  <si>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</si>
  <si>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</si>
  <si>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</si>
  <si>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</si>
  <si>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</si>
  <si>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</si>
  <si>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</si>
  <si>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</si>
  <si>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</si>
  <si>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</si>
  <si>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</si>
  <si>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</si>
  <si>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</si>
  <si>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</si>
  <si>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</si>
  <si>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</si>
  <si>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</si>
  <si>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</si>
  <si>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</si>
  <si>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</si>
  <si>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</si>
  <si>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</si>
  <si>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</si>
  <si>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</si>
  <si>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</si>
  <si>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</si>
  <si>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</si>
  <si>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</si>
  <si>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</si>
  <si>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</si>
  <si>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</si>
  <si>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</si>
  <si>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</si>
  <si>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</si>
  <si>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</si>
  <si>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</si>
  <si>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</si>
  <si>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</si>
  <si>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</si>
  <si>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P</t>
  </si>
  <si>
    <t>Q</t>
  </si>
  <si>
    <t>(mm)</t>
  </si>
  <si>
    <t>Example 5.1.2 Value-Weighted Indices Require No Rebalancing</t>
  </si>
  <si>
    <t>Position values</t>
  </si>
  <si>
    <t>Position Values</t>
  </si>
  <si>
    <r>
      <rPr>
        <b/>
        <sz val="11"/>
        <color theme="1"/>
        <rFont val="Calibri"/>
        <family val="2"/>
        <scheme val="minor"/>
      </rPr>
      <t>Time</t>
    </r>
    <r>
      <rPr>
        <b/>
        <i/>
        <sz val="11"/>
        <color theme="1"/>
        <rFont val="Calibri"/>
        <family val="2"/>
        <scheme val="minor"/>
      </rPr>
      <t xml:space="preserve"> t</t>
    </r>
  </si>
  <si>
    <r>
      <rPr>
        <b/>
        <sz val="11"/>
        <color theme="1"/>
        <rFont val="Calibri"/>
        <family val="2"/>
        <scheme val="minor"/>
      </rPr>
      <t>Time</t>
    </r>
    <r>
      <rPr>
        <b/>
        <i/>
        <sz val="11"/>
        <color theme="1"/>
        <rFont val="Calibri"/>
        <family val="2"/>
        <scheme val="minor"/>
      </rPr>
      <t xml:space="preserve"> t+1</t>
    </r>
  </si>
  <si>
    <t xml:space="preserve">One Step </t>
  </si>
  <si>
    <t>Two-Step</t>
  </si>
  <si>
    <t>Example 5.4.1 Multiple Active Portfolios</t>
  </si>
  <si>
    <t>beta(Fund,bench)</t>
  </si>
  <si>
    <t>forecast error</t>
  </si>
  <si>
    <r>
      <t>(forecast error)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</si>
  <si>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E[(forecast error)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]</t>
    </r>
  </si>
  <si>
    <t>Example 7.1.3 Using Excel Functions to Estimate Variance and Standard Deviation</t>
  </si>
  <si>
    <t>Population</t>
  </si>
  <si>
    <t>Varance</t>
  </si>
  <si>
    <t>Sample</t>
  </si>
  <si>
    <t>Example 7.1.1 Calculating True Variance and Volatility</t>
  </si>
  <si>
    <t>Example 7.1.1 Estimating Variance and Volatility from a Sample</t>
  </si>
  <si>
    <t>Stdevp</t>
  </si>
  <si>
    <t>Varp</t>
  </si>
  <si>
    <t>Example 7.2.1 The Variance and Volatility of a Portfolio with a Single Risky Position</t>
  </si>
  <si>
    <t>40% ZION</t>
  </si>
  <si>
    <t>part (1)</t>
  </si>
  <si>
    <t>part (2)</t>
  </si>
  <si>
    <t>part (3)</t>
  </si>
  <si>
    <t>part (5)</t>
  </si>
  <si>
    <t>part (6)</t>
  </si>
  <si>
    <t>Example 7.4.1 The eometric Mean and Approximate Relation to the Arithmetic Mean</t>
  </si>
  <si>
    <t>airthmetic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</si>
</sst>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0.0000"/>
    <numFmt numFmtId="166" formatCode="0.000000"/>
    <numFmt numFmtId="167" formatCode="0.0000000"/>
    <numFmt numFmtId="168" formatCode="0.00000"/>
    <numFmt numFmtId="169" formatCode="0.0%"/>
    <numFmt numFmtId="170" formatCode="0.00000000"/>
    <numFmt numFmtId="171" formatCode="0.0"/>
    <numFmt numFmtId="172" formatCode="0.0_);\(0.0\)"/>
    <numFmt numFmtId="173" formatCode="\(0.0\)"/>
    <numFmt numFmtId="174" formatCode="mmmm\ yyyy"/>
    <numFmt numFmtId="175" formatCode="\(0\)"/>
    <numFmt numFmtId="176" formatCode="yyyymm"/>
    <numFmt numFmtId="177" formatCode="yyyy\-mm"/>
    <numFmt numFmtId="178" formatCode="yyyy\-mm\-dd"/>
    <numFmt numFmtId="179" formatCode="0.000%"/>
    <numFmt numFmtId="180" formatCode="mmm\-yyyy"/>
    <numFmt numFmtId="181" formatCode="0.0000%"/>
  </numFmts>
  <fonts count="40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6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sz val="16"/>
      <name val="Times New Roman"/>
      <family val="1"/>
    </font>
    <font>
      <sz val="12"/>
      <color theme="1"/>
      <name val="Calibri"/>
      <family val="2"/>
      <scheme val="minor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  <charset val="2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 Unicode MS"/>
    </font>
    <font>
      <b/>
      <sz val="11"/>
      <color theme="8" tint="-0.249977111117893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7"/>
      <color rgb="FF273540"/>
      <name val="Arial"/>
      <family val="2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9" fontId="3" fillId="0" borderId="0"/>
    <xf numFmtId="0" fontId="7" fillId="0" borderId="0"/>
    <xf numFmtId="43" fontId="3" fillId="0" borderId="0"/>
    <xf numFmtId="44" fontId="3" fillId="0" borderId="0" applyFont="0" applyFill="0" applyBorder="0" applyAlignment="0" applyProtection="0"/>
  </cellStyleXfs>
  <cellXfs count="298">
    <xf numFmtId="0" fontId="0" fillId="0" borderId="0" xfId="0"/>
    <xf numFmtId="0" fontId="2" fillId="0" borderId="0" xfId="0" applyFont="1"/>
    <xf numFmtId="2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4" fillId="0" borderId="0" xfId="0" applyFont="1"/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167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8" fontId="0" fillId="0" borderId="0" xfId="0" applyNumberFormat="1" applyAlignment="1">
      <alignment horizontal="left"/>
    </xf>
    <xf numFmtId="164" fontId="0" fillId="0" borderId="0" xfId="0" applyNumberFormat="1"/>
    <xf numFmtId="9" fontId="0" fillId="0" borderId="0" xfId="1" applyFont="1"/>
    <xf numFmtId="169" fontId="0" fillId="0" borderId="0" xfId="1" applyNumberFormat="1" applyFont="1"/>
    <xf numFmtId="166" fontId="0" fillId="0" borderId="0" xfId="0" applyNumberFormat="1"/>
    <xf numFmtId="10" fontId="0" fillId="0" borderId="0" xfId="1" applyNumberFormat="1" applyFont="1" applyAlignment="1">
      <alignment horizontal="center"/>
    </xf>
    <xf numFmtId="168" fontId="0" fillId="0" borderId="0" xfId="0" applyNumberFormat="1"/>
    <xf numFmtId="0" fontId="7" fillId="0" borderId="0" xfId="2"/>
    <xf numFmtId="0" fontId="0" fillId="0" borderId="1" xfId="0" applyBorder="1"/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Continuous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Continuous"/>
    </xf>
    <xf numFmtId="168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10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8" fontId="2" fillId="0" borderId="0" xfId="0" applyNumberFormat="1" applyFont="1"/>
    <xf numFmtId="0" fontId="8" fillId="0" borderId="0" xfId="2" applyFont="1"/>
    <xf numFmtId="165" fontId="7" fillId="0" borderId="0" xfId="2" applyNumberFormat="1"/>
    <xf numFmtId="14" fontId="7" fillId="0" borderId="0" xfId="2" applyNumberFormat="1"/>
    <xf numFmtId="0" fontId="4" fillId="0" borderId="0" xfId="2" applyFont="1" applyAlignment="1">
      <alignment horizontal="center"/>
    </xf>
    <xf numFmtId="168" fontId="7" fillId="0" borderId="0" xfId="2" applyNumberFormat="1" applyAlignment="1">
      <alignment horizontal="center"/>
    </xf>
    <xf numFmtId="0" fontId="11" fillId="0" borderId="0" xfId="2" applyFont="1"/>
    <xf numFmtId="0" fontId="12" fillId="0" borderId="0" xfId="2" applyFont="1"/>
    <xf numFmtId="0" fontId="13" fillId="0" borderId="0" xfId="2" applyFont="1"/>
    <xf numFmtId="168" fontId="7" fillId="0" borderId="0" xfId="2" applyNumberFormat="1"/>
    <xf numFmtId="165" fontId="0" fillId="0" borderId="0" xfId="0" applyNumberFormat="1"/>
    <xf numFmtId="0" fontId="2" fillId="0" borderId="7" xfId="0" applyFont="1" applyBorder="1" applyAlignment="1">
      <alignment horizontal="center"/>
    </xf>
    <xf numFmtId="0" fontId="2" fillId="0" borderId="7" xfId="0" applyFont="1" applyBorder="1"/>
    <xf numFmtId="14" fontId="0" fillId="0" borderId="0" xfId="0" applyNumberFormat="1"/>
    <xf numFmtId="0" fontId="0" fillId="0" borderId="7" xfId="0" applyBorder="1"/>
    <xf numFmtId="0" fontId="0" fillId="0" borderId="7" xfId="0" applyBorder="1" applyAlignment="1">
      <alignment horizontal="center"/>
    </xf>
    <xf numFmtId="8" fontId="0" fillId="0" borderId="0" xfId="0" applyNumberFormat="1"/>
    <xf numFmtId="0" fontId="1" fillId="0" borderId="0" xfId="0" applyFont="1"/>
    <xf numFmtId="168" fontId="9" fillId="0" borderId="0" xfId="0" applyNumberFormat="1" applyFont="1" applyAlignment="1">
      <alignment horizontal="center"/>
    </xf>
    <xf numFmtId="0" fontId="8" fillId="0" borderId="0" xfId="0" applyFont="1"/>
    <xf numFmtId="11" fontId="0" fillId="0" borderId="0" xfId="0" applyNumberFormat="1"/>
    <xf numFmtId="165" fontId="7" fillId="0" borderId="0" xfId="2" applyNumberFormat="1" applyAlignment="1">
      <alignment horizontal="center"/>
    </xf>
    <xf numFmtId="2" fontId="7" fillId="0" borderId="0" xfId="2" applyNumberFormat="1" applyAlignment="1">
      <alignment horizontal="center"/>
    </xf>
    <xf numFmtId="0" fontId="14" fillId="2" borderId="0" xfId="0" applyFont="1" applyFill="1"/>
    <xf numFmtId="0" fontId="14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2" fontId="6" fillId="0" borderId="0" xfId="0" applyNumberFormat="1" applyFont="1" applyAlignment="1">
      <alignment horizontal="center"/>
    </xf>
    <xf numFmtId="168" fontId="6" fillId="0" borderId="0" xfId="0" applyNumberFormat="1" applyFont="1" applyAlignment="1">
      <alignment horizontal="center"/>
    </xf>
    <xf numFmtId="43" fontId="0" fillId="0" borderId="0" xfId="3" applyFont="1"/>
    <xf numFmtId="43" fontId="0" fillId="0" borderId="0" xfId="0" applyNumberFormat="1"/>
    <xf numFmtId="0" fontId="0" fillId="0" borderId="0" xfId="0" applyAlignment="1">
      <alignment horizontal="right"/>
    </xf>
    <xf numFmtId="170" fontId="0" fillId="0" borderId="0" xfId="0" applyNumberFormat="1"/>
    <xf numFmtId="0" fontId="15" fillId="0" borderId="0" xfId="0" applyFont="1" applyAlignment="1">
      <alignment horizontal="right"/>
    </xf>
    <xf numFmtId="0" fontId="15" fillId="0" borderId="0" xfId="0" applyFont="1"/>
    <xf numFmtId="0" fontId="16" fillId="0" borderId="0" xfId="0" applyFont="1"/>
    <xf numFmtId="171" fontId="15" fillId="0" borderId="0" xfId="0" applyNumberFormat="1" applyFont="1"/>
    <xf numFmtId="171" fontId="15" fillId="0" borderId="0" xfId="0" applyNumberFormat="1" applyFont="1" applyAlignment="1">
      <alignment horizontal="right"/>
    </xf>
    <xf numFmtId="0" fontId="17" fillId="0" borderId="0" xfId="0" applyFont="1"/>
    <xf numFmtId="9" fontId="17" fillId="0" borderId="0" xfId="1" applyFont="1"/>
    <xf numFmtId="0" fontId="18" fillId="0" borderId="0" xfId="0" applyFont="1"/>
    <xf numFmtId="2" fontId="15" fillId="0" borderId="0" xfId="0" applyNumberFormat="1" applyFont="1"/>
    <xf numFmtId="172" fontId="15" fillId="0" borderId="0" xfId="0" applyNumberFormat="1" applyFont="1"/>
    <xf numFmtId="1" fontId="15" fillId="0" borderId="0" xfId="0" applyNumberFormat="1" applyFont="1"/>
    <xf numFmtId="9" fontId="15" fillId="0" borderId="0" xfId="1" applyFont="1"/>
    <xf numFmtId="0" fontId="16" fillId="0" borderId="8" xfId="0" applyFont="1" applyBorder="1"/>
    <xf numFmtId="0" fontId="15" fillId="0" borderId="9" xfId="0" applyFont="1" applyBorder="1" applyAlignment="1">
      <alignment horizontal="right"/>
    </xf>
    <xf numFmtId="0" fontId="15" fillId="0" borderId="8" xfId="0" applyFont="1" applyBorder="1"/>
    <xf numFmtId="0" fontId="18" fillId="3" borderId="12" xfId="0" applyFont="1" applyFill="1" applyBorder="1"/>
    <xf numFmtId="0" fontId="15" fillId="3" borderId="10" xfId="0" applyFont="1" applyFill="1" applyBorder="1"/>
    <xf numFmtId="0" fontId="15" fillId="3" borderId="13" xfId="0" applyFont="1" applyFill="1" applyBorder="1" applyAlignment="1">
      <alignment horizontal="right"/>
    </xf>
    <xf numFmtId="0" fontId="15" fillId="0" borderId="9" xfId="0" applyFont="1" applyBorder="1"/>
    <xf numFmtId="0" fontId="16" fillId="3" borderId="10" xfId="0" applyFont="1" applyFill="1" applyBorder="1"/>
    <xf numFmtId="0" fontId="16" fillId="3" borderId="13" xfId="0" applyFont="1" applyFill="1" applyBorder="1"/>
    <xf numFmtId="0" fontId="15" fillId="0" borderId="13" xfId="0" applyFont="1" applyBorder="1"/>
    <xf numFmtId="0" fontId="15" fillId="0" borderId="6" xfId="0" applyFont="1" applyBorder="1"/>
    <xf numFmtId="0" fontId="16" fillId="0" borderId="9" xfId="0" applyFont="1" applyBorder="1"/>
    <xf numFmtId="0" fontId="15" fillId="0" borderId="6" xfId="0" applyFont="1" applyBorder="1" applyAlignment="1">
      <alignment horizontal="right"/>
    </xf>
    <xf numFmtId="0" fontId="15" fillId="0" borderId="5" xfId="0" applyFont="1" applyBorder="1"/>
    <xf numFmtId="0" fontId="15" fillId="0" borderId="7" xfId="0" applyFont="1" applyBorder="1"/>
    <xf numFmtId="0" fontId="18" fillId="3" borderId="5" xfId="0" applyFont="1" applyFill="1" applyBorder="1"/>
    <xf numFmtId="0" fontId="18" fillId="3" borderId="7" xfId="0" applyFont="1" applyFill="1" applyBorder="1"/>
    <xf numFmtId="0" fontId="18" fillId="3" borderId="6" xfId="0" applyFont="1" applyFill="1" applyBorder="1"/>
    <xf numFmtId="0" fontId="15" fillId="0" borderId="3" xfId="0" applyFont="1" applyBorder="1"/>
    <xf numFmtId="0" fontId="15" fillId="0" borderId="11" xfId="0" applyFont="1" applyBorder="1"/>
    <xf numFmtId="0" fontId="15" fillId="0" borderId="4" xfId="0" applyFont="1" applyBorder="1"/>
    <xf numFmtId="171" fontId="15" fillId="0" borderId="9" xfId="0" applyNumberFormat="1" applyFont="1" applyBorder="1"/>
    <xf numFmtId="173" fontId="15" fillId="0" borderId="6" xfId="0" applyNumberFormat="1" applyFont="1" applyBorder="1"/>
    <xf numFmtId="172" fontId="15" fillId="0" borderId="9" xfId="0" applyNumberFormat="1" applyFont="1" applyBorder="1"/>
    <xf numFmtId="1" fontId="15" fillId="0" borderId="9" xfId="0" applyNumberFormat="1" applyFont="1" applyBorder="1"/>
    <xf numFmtId="0" fontId="16" fillId="3" borderId="7" xfId="0" applyFont="1" applyFill="1" applyBorder="1"/>
    <xf numFmtId="0" fontId="16" fillId="3" borderId="6" xfId="0" applyFont="1" applyFill="1" applyBorder="1"/>
    <xf numFmtId="1" fontId="16" fillId="3" borderId="13" xfId="0" applyNumberFormat="1" applyFont="1" applyFill="1" applyBorder="1"/>
    <xf numFmtId="0" fontId="18" fillId="3" borderId="13" xfId="0" applyFont="1" applyFill="1" applyBorder="1"/>
    <xf numFmtId="1" fontId="15" fillId="0" borderId="4" xfId="0" applyNumberFormat="1" applyFont="1" applyBorder="1"/>
    <xf numFmtId="0" fontId="15" fillId="3" borderId="7" xfId="0" applyFont="1" applyFill="1" applyBorder="1"/>
    <xf numFmtId="0" fontId="15" fillId="0" borderId="12" xfId="0" applyFont="1" applyBorder="1"/>
    <xf numFmtId="0" fontId="15" fillId="0" borderId="10" xfId="0" applyFont="1" applyBorder="1"/>
    <xf numFmtId="174" fontId="16" fillId="0" borderId="0" xfId="0" applyNumberFormat="1" applyFont="1" applyAlignment="1">
      <alignment horizontal="center"/>
    </xf>
    <xf numFmtId="169" fontId="15" fillId="0" borderId="0" xfId="1" applyNumberFormat="1" applyFont="1"/>
    <xf numFmtId="1" fontId="16" fillId="0" borderId="0" xfId="0" applyNumberFormat="1" applyFont="1"/>
    <xf numFmtId="164" fontId="15" fillId="0" borderId="0" xfId="0" applyNumberFormat="1" applyFont="1"/>
    <xf numFmtId="0" fontId="19" fillId="0" borderId="0" xfId="0" applyFont="1"/>
    <xf numFmtId="171" fontId="16" fillId="0" borderId="0" xfId="0" applyNumberFormat="1" applyFont="1"/>
    <xf numFmtId="169" fontId="19" fillId="0" borderId="0" xfId="1" applyNumberFormat="1" applyFont="1"/>
    <xf numFmtId="0" fontId="20" fillId="0" borderId="0" xfId="0" applyFont="1"/>
    <xf numFmtId="0" fontId="21" fillId="0" borderId="0" xfId="0" applyFont="1"/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2" fontId="21" fillId="0" borderId="0" xfId="0" applyNumberFormat="1" applyFont="1" applyAlignment="1">
      <alignment horizontal="right"/>
    </xf>
    <xf numFmtId="2" fontId="21" fillId="0" borderId="0" xfId="0" applyNumberFormat="1" applyFont="1" applyAlignment="1">
      <alignment horizontal="center"/>
    </xf>
    <xf numFmtId="0" fontId="21" fillId="0" borderId="7" xfId="0" applyFont="1" applyBorder="1"/>
    <xf numFmtId="0" fontId="21" fillId="0" borderId="7" xfId="0" applyFont="1" applyBorder="1" applyAlignment="1">
      <alignment horizontal="center"/>
    </xf>
    <xf numFmtId="2" fontId="21" fillId="0" borderId="7" xfId="0" applyNumberFormat="1" applyFont="1" applyBorder="1" applyAlignment="1">
      <alignment horizontal="right"/>
    </xf>
    <xf numFmtId="2" fontId="21" fillId="0" borderId="7" xfId="0" applyNumberFormat="1" applyFont="1" applyBorder="1" applyAlignment="1">
      <alignment horizontal="center"/>
    </xf>
    <xf numFmtId="164" fontId="21" fillId="0" borderId="7" xfId="0" applyNumberFormat="1" applyFont="1" applyBorder="1" applyAlignment="1">
      <alignment horizontal="center"/>
    </xf>
    <xf numFmtId="0" fontId="20" fillId="0" borderId="7" xfId="0" applyFont="1" applyBorder="1"/>
    <xf numFmtId="165" fontId="21" fillId="0" borderId="7" xfId="0" applyNumberFormat="1" applyFont="1" applyBorder="1"/>
    <xf numFmtId="0" fontId="20" fillId="0" borderId="11" xfId="0" applyFont="1" applyBorder="1" applyAlignment="1">
      <alignment horizontal="center"/>
    </xf>
    <xf numFmtId="0" fontId="23" fillId="0" borderId="0" xfId="0" applyFont="1"/>
    <xf numFmtId="0" fontId="23" fillId="0" borderId="0" xfId="0" applyFont="1" applyAlignment="1">
      <alignment horizontal="center"/>
    </xf>
    <xf numFmtId="165" fontId="23" fillId="0" borderId="0" xfId="0" applyNumberFormat="1" applyFont="1"/>
    <xf numFmtId="175" fontId="21" fillId="0" borderId="10" xfId="0" applyNumberFormat="1" applyFont="1" applyBorder="1" applyAlignment="1">
      <alignment horizontal="center"/>
    </xf>
    <xf numFmtId="175" fontId="21" fillId="0" borderId="0" xfId="0" applyNumberFormat="1" applyFont="1" applyAlignment="1">
      <alignment horizontal="center"/>
    </xf>
    <xf numFmtId="164" fontId="21" fillId="0" borderId="0" xfId="0" applyNumberFormat="1" applyFont="1" applyAlignment="1">
      <alignment horizontal="center"/>
    </xf>
    <xf numFmtId="0" fontId="22" fillId="0" borderId="0" xfId="0" applyFont="1" applyAlignment="1">
      <alignment horizontal="center"/>
    </xf>
    <xf numFmtId="2" fontId="22" fillId="0" borderId="0" xfId="0" applyNumberFormat="1" applyFont="1" applyAlignment="1">
      <alignment horizontal="center"/>
    </xf>
    <xf numFmtId="2" fontId="21" fillId="0" borderId="7" xfId="0" applyNumberFormat="1" applyFont="1" applyBorder="1"/>
    <xf numFmtId="0" fontId="16" fillId="0" borderId="7" xfId="0" applyFont="1" applyBorder="1"/>
    <xf numFmtId="0" fontId="16" fillId="0" borderId="7" xfId="0" applyFont="1" applyBorder="1" applyAlignment="1">
      <alignment horizontal="center"/>
    </xf>
    <xf numFmtId="0" fontId="24" fillId="0" borderId="0" xfId="0" applyFont="1"/>
    <xf numFmtId="2" fontId="15" fillId="0" borderId="7" xfId="0" applyNumberFormat="1" applyFont="1" applyBorder="1"/>
    <xf numFmtId="0" fontId="15" fillId="0" borderId="0" xfId="0" applyFont="1" applyAlignment="1">
      <alignment horizontal="center"/>
    </xf>
    <xf numFmtId="0" fontId="15" fillId="0" borderId="7" xfId="0" applyFont="1" applyBorder="1" applyAlignment="1">
      <alignment horizontal="center"/>
    </xf>
    <xf numFmtId="175" fontId="15" fillId="0" borderId="0" xfId="0" applyNumberFormat="1" applyFont="1" applyAlignment="1">
      <alignment horizontal="center"/>
    </xf>
    <xf numFmtId="0" fontId="25" fillId="0" borderId="7" xfId="0" applyFont="1" applyBorder="1"/>
    <xf numFmtId="0" fontId="25" fillId="0" borderId="0" xfId="0" applyFont="1"/>
    <xf numFmtId="0" fontId="0" fillId="0" borderId="0" xfId="0" applyAlignment="1">
      <alignment horizontal="centerContinuous"/>
    </xf>
    <xf numFmtId="0" fontId="26" fillId="0" borderId="0" xfId="0" applyFont="1"/>
    <xf numFmtId="168" fontId="6" fillId="0" borderId="0" xfId="0" applyNumberFormat="1" applyFont="1"/>
    <xf numFmtId="176" fontId="0" fillId="0" borderId="0" xfId="0" applyNumberFormat="1"/>
    <xf numFmtId="165" fontId="0" fillId="0" borderId="7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171" fontId="15" fillId="0" borderId="7" xfId="0" applyNumberFormat="1" applyFont="1" applyBorder="1"/>
    <xf numFmtId="164" fontId="23" fillId="0" borderId="0" xfId="0" applyNumberFormat="1" applyFont="1" applyAlignment="1">
      <alignment horizontal="center"/>
    </xf>
    <xf numFmtId="2" fontId="20" fillId="0" borderId="0" xfId="0" applyNumberFormat="1" applyFont="1" applyAlignment="1">
      <alignment horizontal="center"/>
    </xf>
    <xf numFmtId="171" fontId="0" fillId="0" borderId="0" xfId="0" applyNumberFormat="1"/>
    <xf numFmtId="10" fontId="0" fillId="0" borderId="0" xfId="1" applyNumberFormat="1" applyFont="1"/>
    <xf numFmtId="0" fontId="28" fillId="0" borderId="0" xfId="0" applyFont="1" applyAlignment="1">
      <alignment vertical="center"/>
    </xf>
    <xf numFmtId="2" fontId="0" fillId="5" borderId="0" xfId="0" applyNumberFormat="1" applyFill="1" applyAlignment="1">
      <alignment horizontal="center"/>
    </xf>
    <xf numFmtId="167" fontId="0" fillId="0" borderId="0" xfId="0" applyNumberFormat="1"/>
    <xf numFmtId="177" fontId="0" fillId="0" borderId="0" xfId="0" applyNumberFormat="1"/>
    <xf numFmtId="0" fontId="2" fillId="0" borderId="0" xfId="0" applyFont="1" applyAlignment="1">
      <alignment horizontal="right"/>
    </xf>
    <xf numFmtId="179" fontId="3" fillId="0" borderId="0" xfId="1" applyNumberFormat="1" applyAlignment="1">
      <alignment horizontal="center"/>
    </xf>
    <xf numFmtId="0" fontId="8" fillId="0" borderId="0" xfId="2" applyFont="1" applyAlignment="1">
      <alignment horizontal="center"/>
    </xf>
    <xf numFmtId="164" fontId="7" fillId="0" borderId="0" xfId="2" applyNumberFormat="1" applyAlignment="1">
      <alignment horizontal="center"/>
    </xf>
    <xf numFmtId="0" fontId="29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43" fontId="3" fillId="0" borderId="0" xfId="3"/>
    <xf numFmtId="180" fontId="0" fillId="0" borderId="0" xfId="0" applyNumberFormat="1" applyAlignment="1">
      <alignment horizontal="left"/>
    </xf>
    <xf numFmtId="1" fontId="0" fillId="0" borderId="0" xfId="0" applyNumberFormat="1"/>
    <xf numFmtId="1" fontId="0" fillId="0" borderId="0" xfId="0" applyNumberFormat="1" applyAlignment="1">
      <alignment horizontal="right"/>
    </xf>
    <xf numFmtId="180" fontId="9" fillId="0" borderId="0" xfId="0" applyNumberFormat="1" applyFont="1" applyAlignment="1">
      <alignment horizontal="left"/>
    </xf>
    <xf numFmtId="1" fontId="6" fillId="0" borderId="0" xfId="0" applyNumberFormat="1" applyFont="1" applyAlignment="1">
      <alignment horizontal="right"/>
    </xf>
    <xf numFmtId="1" fontId="6" fillId="0" borderId="1" xfId="0" applyNumberFormat="1" applyFont="1" applyBorder="1" applyAlignment="1">
      <alignment horizontal="right"/>
    </xf>
    <xf numFmtId="164" fontId="0" fillId="0" borderId="1" xfId="0" applyNumberFormat="1" applyBorder="1"/>
    <xf numFmtId="2" fontId="0" fillId="0" borderId="1" xfId="0" applyNumberForma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2" fontId="2" fillId="0" borderId="0" xfId="0" applyNumberFormat="1" applyFont="1"/>
    <xf numFmtId="0" fontId="9" fillId="0" borderId="1" xfId="0" applyFont="1" applyBorder="1" applyAlignment="1">
      <alignment horizontal="center"/>
    </xf>
    <xf numFmtId="180" fontId="9" fillId="0" borderId="1" xfId="0" applyNumberFormat="1" applyFont="1" applyBorder="1" applyAlignment="1">
      <alignment horizontal="left"/>
    </xf>
    <xf numFmtId="180" fontId="0" fillId="0" borderId="0" xfId="0" applyNumberFormat="1" applyAlignment="1">
      <alignment horizontal="center"/>
    </xf>
    <xf numFmtId="180" fontId="9" fillId="0" borderId="0" xfId="0" applyNumberFormat="1" applyFont="1" applyAlignment="1">
      <alignment horizontal="center"/>
    </xf>
    <xf numFmtId="0" fontId="30" fillId="0" borderId="0" xfId="2" applyFont="1"/>
    <xf numFmtId="0" fontId="15" fillId="0" borderId="0" xfId="0" applyFont="1" applyAlignment="1">
      <alignment horizontal="center" wrapText="1"/>
    </xf>
    <xf numFmtId="9" fontId="0" fillId="0" borderId="0" xfId="0" applyNumberFormat="1"/>
    <xf numFmtId="9" fontId="3" fillId="0" borderId="0" xfId="1"/>
    <xf numFmtId="0" fontId="9" fillId="0" borderId="0" xfId="0" applyFont="1"/>
    <xf numFmtId="165" fontId="9" fillId="0" borderId="0" xfId="0" applyNumberFormat="1" applyFont="1"/>
    <xf numFmtId="0" fontId="6" fillId="0" borderId="0" xfId="0" applyFont="1" applyAlignment="1">
      <alignment horizontal="center"/>
    </xf>
    <xf numFmtId="0" fontId="6" fillId="0" borderId="0" xfId="0" applyFont="1"/>
    <xf numFmtId="168" fontId="26" fillId="0" borderId="0" xfId="0" applyNumberFormat="1" applyFont="1" applyAlignment="1">
      <alignment horizontal="center"/>
    </xf>
    <xf numFmtId="166" fontId="26" fillId="0" borderId="0" xfId="0" applyNumberFormat="1" applyFont="1" applyAlignment="1">
      <alignment horizontal="center"/>
    </xf>
    <xf numFmtId="10" fontId="0" fillId="0" borderId="0" xfId="0" applyNumberFormat="1"/>
    <xf numFmtId="10" fontId="3" fillId="0" borderId="0" xfId="1" applyNumberFormat="1"/>
    <xf numFmtId="181" fontId="0" fillId="0" borderId="0" xfId="0" applyNumberFormat="1"/>
    <xf numFmtId="166" fontId="2" fillId="0" borderId="0" xfId="0" applyNumberFormat="1" applyFont="1"/>
    <xf numFmtId="0" fontId="14" fillId="2" borderId="7" xfId="0" applyFont="1" applyFill="1" applyBorder="1" applyAlignment="1">
      <alignment horizontal="center"/>
    </xf>
    <xf numFmtId="0" fontId="31" fillId="2" borderId="0" xfId="0" applyFont="1" applyFill="1" applyAlignment="1">
      <alignment horizontal="center"/>
    </xf>
    <xf numFmtId="168" fontId="0" fillId="0" borderId="7" xfId="0" applyNumberFormat="1" applyBorder="1"/>
    <xf numFmtId="179" fontId="0" fillId="0" borderId="7" xfId="0" applyNumberFormat="1" applyBorder="1"/>
    <xf numFmtId="0" fontId="2" fillId="0" borderId="10" xfId="0" applyFont="1" applyBorder="1" applyAlignment="1">
      <alignment horizontal="center"/>
    </xf>
    <xf numFmtId="0" fontId="6" fillId="0" borderId="7" xfId="0" applyFont="1" applyBorder="1"/>
    <xf numFmtId="166" fontId="0" fillId="0" borderId="7" xfId="0" applyNumberFormat="1" applyBorder="1" applyAlignment="1">
      <alignment horizontal="center"/>
    </xf>
    <xf numFmtId="10" fontId="0" fillId="0" borderId="7" xfId="0" applyNumberFormat="1" applyBorder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indent="2"/>
    </xf>
    <xf numFmtId="0" fontId="2" fillId="0" borderId="0" xfId="0" applyFont="1" applyAlignment="1">
      <alignment horizontal="left" indent="2"/>
    </xf>
    <xf numFmtId="171" fontId="0" fillId="0" borderId="0" xfId="0" applyNumberFormat="1" applyAlignment="1">
      <alignment horizontal="left" indent="2"/>
    </xf>
    <xf numFmtId="171" fontId="2" fillId="0" borderId="0" xfId="0" applyNumberFormat="1" applyFont="1" applyAlignment="1">
      <alignment horizontal="center" vertical="center" wrapText="1"/>
    </xf>
    <xf numFmtId="171" fontId="0" fillId="0" borderId="0" xfId="0" applyNumberFormat="1" applyAlignment="1">
      <alignment vertical="center" wrapText="1"/>
    </xf>
    <xf numFmtId="171" fontId="2" fillId="0" borderId="0" xfId="0" applyNumberFormat="1" applyFont="1"/>
    <xf numFmtId="171" fontId="2" fillId="0" borderId="0" xfId="0" applyNumberFormat="1" applyFont="1" applyAlignment="1">
      <alignment horizontal="center"/>
    </xf>
    <xf numFmtId="179" fontId="0" fillId="0" borderId="0" xfId="0" applyNumberFormat="1"/>
    <xf numFmtId="169" fontId="3" fillId="0" borderId="0" xfId="1" applyNumberFormat="1"/>
    <xf numFmtId="0" fontId="32" fillId="0" borderId="0" xfId="0" applyFont="1"/>
    <xf numFmtId="3" fontId="0" fillId="0" borderId="0" xfId="0" applyNumberFormat="1"/>
    <xf numFmtId="179" fontId="3" fillId="0" borderId="0" xfId="1" applyNumberFormat="1"/>
    <xf numFmtId="179" fontId="9" fillId="0" borderId="0" xfId="0" applyNumberFormat="1" applyFont="1"/>
    <xf numFmtId="179" fontId="9" fillId="0" borderId="0" xfId="1" applyNumberFormat="1" applyFont="1"/>
    <xf numFmtId="179" fontId="26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165" fontId="0" fillId="0" borderId="0" xfId="0" applyNumberFormat="1" applyAlignment="1">
      <alignment horizontal="right"/>
    </xf>
    <xf numFmtId="164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164" fontId="33" fillId="0" borderId="0" xfId="0" applyNumberFormat="1" applyFont="1" applyAlignment="1">
      <alignment horizontal="center"/>
    </xf>
    <xf numFmtId="164" fontId="9" fillId="0" borderId="0" xfId="0" applyNumberFormat="1" applyFont="1" applyAlignment="1">
      <alignment horizontal="center"/>
    </xf>
    <xf numFmtId="176" fontId="2" fillId="0" borderId="0" xfId="0" applyNumberFormat="1" applyFont="1"/>
    <xf numFmtId="176" fontId="0" fillId="6" borderId="0" xfId="0" applyNumberFormat="1" applyFill="1"/>
    <xf numFmtId="0" fontId="0" fillId="6" borderId="0" xfId="0" applyFill="1"/>
    <xf numFmtId="0" fontId="2" fillId="6" borderId="0" xfId="0" applyFont="1" applyFill="1" applyAlignment="1">
      <alignment horizontal="center"/>
    </xf>
    <xf numFmtId="176" fontId="2" fillId="6" borderId="0" xfId="0" applyNumberFormat="1" applyFont="1" applyFill="1"/>
    <xf numFmtId="0" fontId="2" fillId="6" borderId="0" xfId="0" applyFont="1" applyFill="1"/>
    <xf numFmtId="0" fontId="2" fillId="6" borderId="0" xfId="0" applyFont="1" applyFill="1" applyAlignment="1">
      <alignment horizontal="center" vertical="top"/>
    </xf>
    <xf numFmtId="2" fontId="0" fillId="6" borderId="0" xfId="0" applyNumberFormat="1" applyFill="1"/>
    <xf numFmtId="10" fontId="9" fillId="0" borderId="0" xfId="0" applyNumberFormat="1" applyFont="1"/>
    <xf numFmtId="10" fontId="9" fillId="0" borderId="0" xfId="1" applyNumberFormat="1" applyFont="1"/>
    <xf numFmtId="10" fontId="3" fillId="6" borderId="0" xfId="1" applyNumberFormat="1" applyFill="1"/>
    <xf numFmtId="0" fontId="2" fillId="0" borderId="0" xfId="0" applyFont="1" applyAlignment="1">
      <alignment horizontal="center" vertical="top"/>
    </xf>
    <xf numFmtId="164" fontId="33" fillId="0" borderId="0" xfId="0" applyNumberFormat="1" applyFont="1"/>
    <xf numFmtId="164" fontId="2" fillId="0" borderId="0" xfId="0" applyNumberFormat="1" applyFont="1"/>
    <xf numFmtId="10" fontId="34" fillId="0" borderId="0" xfId="1" applyNumberFormat="1" applyFont="1"/>
    <xf numFmtId="176" fontId="2" fillId="6" borderId="0" xfId="0" applyNumberFormat="1" applyFont="1" applyFill="1" applyAlignment="1">
      <alignment horizontal="center" vertical="top"/>
    </xf>
    <xf numFmtId="164" fontId="0" fillId="6" borderId="0" xfId="0" applyNumberFormat="1" applyFill="1"/>
    <xf numFmtId="164" fontId="2" fillId="6" borderId="0" xfId="0" applyNumberFormat="1" applyFont="1" applyFill="1"/>
    <xf numFmtId="44" fontId="0" fillId="0" borderId="0" xfId="4" applyFont="1"/>
    <xf numFmtId="175" fontId="36" fillId="0" borderId="0" xfId="0" applyNumberFormat="1" applyFont="1"/>
    <xf numFmtId="0" fontId="37" fillId="0" borderId="0" xfId="0" applyFont="1" applyAlignment="1">
      <alignment horizontal="center"/>
    </xf>
    <xf numFmtId="0" fontId="36" fillId="6" borderId="0" xfId="0" applyFont="1" applyFill="1"/>
    <xf numFmtId="0" fontId="0" fillId="6" borderId="7" xfId="0" applyFill="1" applyBorder="1"/>
    <xf numFmtId="0" fontId="0" fillId="6" borderId="0" xfId="0" applyFill="1" applyAlignment="1">
      <alignment horizontal="center"/>
    </xf>
    <xf numFmtId="0" fontId="5" fillId="6" borderId="0" xfId="0" applyFont="1" applyFill="1" applyAlignment="1">
      <alignment horizontal="center"/>
    </xf>
    <xf numFmtId="0" fontId="0" fillId="6" borderId="7" xfId="0" applyFill="1" applyBorder="1" applyAlignment="1">
      <alignment horizontal="center"/>
    </xf>
    <xf numFmtId="9" fontId="0" fillId="6" borderId="0" xfId="0" applyNumberFormat="1" applyFill="1"/>
    <xf numFmtId="9" fontId="3" fillId="6" borderId="0" xfId="1" applyFill="1"/>
    <xf numFmtId="0" fontId="26" fillId="6" borderId="0" xfId="0" applyFont="1" applyFill="1"/>
    <xf numFmtId="0" fontId="14" fillId="6" borderId="0" xfId="0" applyFont="1" applyFill="1"/>
    <xf numFmtId="0" fontId="36" fillId="0" borderId="0" xfId="0" applyFont="1"/>
    <xf numFmtId="178" fontId="0" fillId="6" borderId="0" xfId="0" applyNumberFormat="1" applyFill="1"/>
    <xf numFmtId="178" fontId="39" fillId="6" borderId="0" xfId="0" applyNumberFormat="1" applyFont="1" applyFill="1" applyAlignment="1">
      <alignment horizontal="center" vertical="top"/>
    </xf>
    <xf numFmtId="0" fontId="39" fillId="6" borderId="0" xfId="0" applyFont="1" applyFill="1" applyAlignment="1">
      <alignment horizontal="center" vertical="top"/>
    </xf>
    <xf numFmtId="0" fontId="37" fillId="0" borderId="0" xfId="0" applyFont="1"/>
    <xf numFmtId="176" fontId="36" fillId="6" borderId="0" xfId="0" applyNumberFormat="1" applyFont="1" applyFill="1"/>
    <xf numFmtId="0" fontId="0" fillId="6" borderId="0" xfId="0" applyFill="1" applyAlignment="1">
      <alignment horizontal="center"/>
    </xf>
    <xf numFmtId="0" fontId="0" fillId="6" borderId="0" xfId="0" applyFill="1"/>
    <xf numFmtId="0" fontId="37" fillId="0" borderId="0" xfId="0" applyFont="1" applyAlignment="1">
      <alignment horizontal="center"/>
    </xf>
    <xf numFmtId="0" fontId="2" fillId="6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2" fillId="0" borderId="7" xfId="0" applyFont="1" applyBorder="1" applyAlignment="1">
      <alignment horizontal="center"/>
    </xf>
    <xf numFmtId="0" fontId="0" fillId="0" borderId="7" xfId="0" applyBorder="1"/>
    <xf numFmtId="0" fontId="14" fillId="2" borderId="7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27" fillId="4" borderId="0" xfId="0" applyFont="1" applyFill="1" applyAlignment="1">
      <alignment horizontal="center"/>
    </xf>
    <xf numFmtId="0" fontId="35" fillId="6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16" fillId="3" borderId="15" xfId="0" applyFont="1" applyFill="1" applyBorder="1" applyAlignment="1">
      <alignment horizontal="center"/>
    </xf>
    <xf numFmtId="0" fontId="0" fillId="0" borderId="11" xfId="0" applyBorder="1"/>
    <xf numFmtId="0" fontId="0" fillId="0" borderId="4" xfId="0" applyBorder="1"/>
    <xf numFmtId="0" fontId="16" fillId="3" borderId="16" xfId="0" applyFont="1" applyFill="1" applyBorder="1" applyAlignment="1">
      <alignment horizontal="center"/>
    </xf>
    <xf numFmtId="0" fontId="15" fillId="0" borderId="0" xfId="0" applyFont="1"/>
    <xf numFmtId="0" fontId="0" fillId="0" borderId="9" xfId="0" applyBorder="1"/>
    <xf numFmtId="174" fontId="16" fillId="3" borderId="14" xfId="0" applyNumberFormat="1" applyFont="1" applyFill="1" applyBorder="1" applyAlignment="1">
      <alignment horizontal="center"/>
    </xf>
    <xf numFmtId="0" fontId="0" fillId="0" borderId="6" xfId="0" applyBorder="1"/>
    <xf numFmtId="0" fontId="20" fillId="0" borderId="10" xfId="0" applyFont="1" applyBorder="1" applyAlignment="1">
      <alignment horizontal="center"/>
    </xf>
    <xf numFmtId="0" fontId="0" fillId="0" borderId="10" xfId="0" applyBorder="1"/>
    <xf numFmtId="174" fontId="16" fillId="0" borderId="0" xfId="0" applyNumberFormat="1" applyFont="1" applyAlignment="1">
      <alignment horizontal="left"/>
    </xf>
    <xf numFmtId="174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0" fontId="16" fillId="0" borderId="11" xfId="0" applyFont="1" applyBorder="1" applyAlignment="1">
      <alignment horizontal="center"/>
    </xf>
  </cellXfs>
  <cellStyles count="5">
    <cellStyle name="Comma" xfId="3" builtinId="3"/>
    <cellStyle name="Currency" xfId="4" builtinId="4"/>
    <cellStyle name="Normal" xfId="0" builtinId="0"/>
    <cellStyle name="Normal 2" xfId="2" xr:uid="{00000000-0005-0000-0000-000002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eetMetadata" Target="metadata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calcChain" Target="calcChain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xVal>
            <c:numRef>
              <c:f>'7-Var'!$B$3:$B$62</c:f>
              <c:numCache>
                <c:formatCode>General</c:formatCode>
                <c:ptCount val="60"/>
                <c:pt idx="0">
                  <c:v>0.11758648471300109</c:v>
                </c:pt>
                <c:pt idx="1">
                  <c:v>6.8241816344299377E-3</c:v>
                </c:pt>
                <c:pt idx="2">
                  <c:v>-0.14639169843419991</c:v>
                </c:pt>
                <c:pt idx="3">
                  <c:v>0.29974835713094361</c:v>
                </c:pt>
                <c:pt idx="4">
                  <c:v>0.31348680105153792</c:v>
                </c:pt>
                <c:pt idx="5">
                  <c:v>0.2775629711303349</c:v>
                </c:pt>
                <c:pt idx="6">
                  <c:v>-2.0673420852884108E-2</c:v>
                </c:pt>
                <c:pt idx="7">
                  <c:v>0.31934223187677591</c:v>
                </c:pt>
                <c:pt idx="8">
                  <c:v>0.1166058097556299</c:v>
                </c:pt>
                <c:pt idx="9">
                  <c:v>-2.2183409530993251E-2</c:v>
                </c:pt>
                <c:pt idx="10">
                  <c:v>-0.29067029894412971</c:v>
                </c:pt>
                <c:pt idx="11">
                  <c:v>0.15697865505459019</c:v>
                </c:pt>
                <c:pt idx="12">
                  <c:v>0.39658987289078812</c:v>
                </c:pt>
                <c:pt idx="13">
                  <c:v>0.43457290217356398</c:v>
                </c:pt>
                <c:pt idx="14">
                  <c:v>-0.2543411706178097</c:v>
                </c:pt>
                <c:pt idx="15">
                  <c:v>-0.1616987316765483</c:v>
                </c:pt>
                <c:pt idx="16">
                  <c:v>0.36522408280063551</c:v>
                </c:pt>
                <c:pt idx="17">
                  <c:v>-0.2245131704413561</c:v>
                </c:pt>
                <c:pt idx="18">
                  <c:v>0.19295345390770771</c:v>
                </c:pt>
                <c:pt idx="19">
                  <c:v>0.13466734581042791</c:v>
                </c:pt>
                <c:pt idx="20">
                  <c:v>0.101019401351718</c:v>
                </c:pt>
                <c:pt idx="21">
                  <c:v>-8.435296865457248E-2</c:v>
                </c:pt>
                <c:pt idx="22">
                  <c:v>-0.20268647489208161</c:v>
                </c:pt>
                <c:pt idx="23">
                  <c:v>0.36757846586949949</c:v>
                </c:pt>
                <c:pt idx="24">
                  <c:v>-0.29671025365656623</c:v>
                </c:pt>
                <c:pt idx="25">
                  <c:v>0.59021893730609654</c:v>
                </c:pt>
                <c:pt idx="26">
                  <c:v>-0.13263935389581091</c:v>
                </c:pt>
                <c:pt idx="27">
                  <c:v>-1.3244494605493691E-2</c:v>
                </c:pt>
                <c:pt idx="28">
                  <c:v>-6.0763892817815301E-2</c:v>
                </c:pt>
                <c:pt idx="29">
                  <c:v>0.20468884606017471</c:v>
                </c:pt>
                <c:pt idx="30">
                  <c:v>0.19045624880502959</c:v>
                </c:pt>
                <c:pt idx="31">
                  <c:v>-0.31248391155900912</c:v>
                </c:pt>
                <c:pt idx="32">
                  <c:v>-5.3498503250364482E-2</c:v>
                </c:pt>
                <c:pt idx="33">
                  <c:v>9.1400446398802834E-2</c:v>
                </c:pt>
                <c:pt idx="34">
                  <c:v>-0.30026227034485492</c:v>
                </c:pt>
                <c:pt idx="35">
                  <c:v>0.26835422068293502</c:v>
                </c:pt>
                <c:pt idx="36">
                  <c:v>0.35662314368034442</c:v>
                </c:pt>
                <c:pt idx="37">
                  <c:v>0.18043472105832981</c:v>
                </c:pt>
                <c:pt idx="38">
                  <c:v>7.3504082390743866E-2</c:v>
                </c:pt>
                <c:pt idx="39">
                  <c:v>-5.5073361478183043E-2</c:v>
                </c:pt>
                <c:pt idx="40">
                  <c:v>0.49659418804066469</c:v>
                </c:pt>
                <c:pt idx="41">
                  <c:v>0.1187882067494241</c:v>
                </c:pt>
                <c:pt idx="42">
                  <c:v>8.3840690807460705E-2</c:v>
                </c:pt>
                <c:pt idx="43">
                  <c:v>0.19940633873699179</c:v>
                </c:pt>
                <c:pt idx="44">
                  <c:v>0.32458085685750843</c:v>
                </c:pt>
                <c:pt idx="45">
                  <c:v>-0.46380985272980352</c:v>
                </c:pt>
                <c:pt idx="46">
                  <c:v>-1.513906704259417E-2</c:v>
                </c:pt>
                <c:pt idx="47">
                  <c:v>-6.4932987911742679E-2</c:v>
                </c:pt>
                <c:pt idx="48">
                  <c:v>2.6926110332607962E-2</c:v>
                </c:pt>
                <c:pt idx="49">
                  <c:v>0.39013889598943652</c:v>
                </c:pt>
                <c:pt idx="50">
                  <c:v>0.18171194252865819</c:v>
                </c:pt>
                <c:pt idx="51">
                  <c:v>-5.8170201073972937E-2</c:v>
                </c:pt>
                <c:pt idx="52">
                  <c:v>-0.19283775090385119</c:v>
                </c:pt>
                <c:pt idx="53">
                  <c:v>0.44183393076288308</c:v>
                </c:pt>
                <c:pt idx="54">
                  <c:v>0.61777813860952113</c:v>
                </c:pt>
                <c:pt idx="55">
                  <c:v>0.51247905088546619</c:v>
                </c:pt>
                <c:pt idx="56">
                  <c:v>0.18111939462501031</c:v>
                </c:pt>
                <c:pt idx="57">
                  <c:v>-1.8631392842704739E-2</c:v>
                </c:pt>
                <c:pt idx="58">
                  <c:v>0.47176059806956699</c:v>
                </c:pt>
                <c:pt idx="59">
                  <c:v>-0.15767136837190199</c:v>
                </c:pt>
              </c:numCache>
            </c:numRef>
          </c:xVal>
          <c:yVal>
            <c:numRef>
              <c:f>'7-Var'!$C$3:$C$62</c:f>
              <c:numCache>
                <c:formatCode>General</c:formatCode>
                <c:ptCount val="60"/>
                <c:pt idx="0">
                  <c:v>0.1036960858422119</c:v>
                </c:pt>
                <c:pt idx="1">
                  <c:v>0.40329940185140589</c:v>
                </c:pt>
                <c:pt idx="2">
                  <c:v>0.62387681816597362</c:v>
                </c:pt>
                <c:pt idx="3">
                  <c:v>3.0552741369460411E-2</c:v>
                </c:pt>
                <c:pt idx="4">
                  <c:v>0.22143952949067411</c:v>
                </c:pt>
                <c:pt idx="5">
                  <c:v>-0.13290754979713371</c:v>
                </c:pt>
                <c:pt idx="6">
                  <c:v>-0.21035423341081491</c:v>
                </c:pt>
                <c:pt idx="7">
                  <c:v>9.3193077140584973E-2</c:v>
                </c:pt>
                <c:pt idx="8">
                  <c:v>9.1658451840975708E-2</c:v>
                </c:pt>
                <c:pt idx="9">
                  <c:v>0.46275893187755202</c:v>
                </c:pt>
                <c:pt idx="10">
                  <c:v>0.61356153740048047</c:v>
                </c:pt>
                <c:pt idx="11">
                  <c:v>-3.9048932662471669E-2</c:v>
                </c:pt>
                <c:pt idx="12">
                  <c:v>-0.2186387507560065</c:v>
                </c:pt>
                <c:pt idx="13">
                  <c:v>-0.41991041674049029</c:v>
                </c:pt>
                <c:pt idx="14">
                  <c:v>0.76978298966804792</c:v>
                </c:pt>
                <c:pt idx="15">
                  <c:v>0.63322589577846167</c:v>
                </c:pt>
                <c:pt idx="16">
                  <c:v>-0.18041431075198991</c:v>
                </c:pt>
                <c:pt idx="17">
                  <c:v>0.47018422380794539</c:v>
                </c:pt>
                <c:pt idx="18">
                  <c:v>-6.8234648012402088E-2</c:v>
                </c:pt>
                <c:pt idx="19">
                  <c:v>1.8155262221617341E-2</c:v>
                </c:pt>
                <c:pt idx="20">
                  <c:v>-5.3513907768619501E-2</c:v>
                </c:pt>
                <c:pt idx="21">
                  <c:v>0.33278632415581461</c:v>
                </c:pt>
                <c:pt idx="22">
                  <c:v>0.43628544662321128</c:v>
                </c:pt>
                <c:pt idx="23">
                  <c:v>-0.4037437708535796</c:v>
                </c:pt>
                <c:pt idx="24">
                  <c:v>0.52933676299465537</c:v>
                </c:pt>
                <c:pt idx="25">
                  <c:v>9.324387373428393E-2</c:v>
                </c:pt>
                <c:pt idx="26">
                  <c:v>0.17079849726900831</c:v>
                </c:pt>
                <c:pt idx="27">
                  <c:v>0.57829022048059697</c:v>
                </c:pt>
                <c:pt idx="28">
                  <c:v>0.25525890322982242</c:v>
                </c:pt>
                <c:pt idx="29">
                  <c:v>1.5718797424863651E-2</c:v>
                </c:pt>
                <c:pt idx="30">
                  <c:v>-0.14595819472329771</c:v>
                </c:pt>
                <c:pt idx="31">
                  <c:v>0.50294087066847637</c:v>
                </c:pt>
                <c:pt idx="32">
                  <c:v>0.61929207655390506</c:v>
                </c:pt>
                <c:pt idx="33">
                  <c:v>-5.421172476846009E-3</c:v>
                </c:pt>
                <c:pt idx="34">
                  <c:v>0.1751096164464109</c:v>
                </c:pt>
                <c:pt idx="35">
                  <c:v>-0.1447036954752022</c:v>
                </c:pt>
                <c:pt idx="36">
                  <c:v>-0.20498553642793149</c:v>
                </c:pt>
                <c:pt idx="37">
                  <c:v>0.2330821747440103</c:v>
                </c:pt>
                <c:pt idx="38">
                  <c:v>3.4168244541842099E-2</c:v>
                </c:pt>
                <c:pt idx="39">
                  <c:v>0.23506360817624361</c:v>
                </c:pt>
                <c:pt idx="40">
                  <c:v>0.1487120288125629</c:v>
                </c:pt>
                <c:pt idx="41">
                  <c:v>0.18020557737379611</c:v>
                </c:pt>
                <c:pt idx="42">
                  <c:v>0.34484469510901372</c:v>
                </c:pt>
                <c:pt idx="43">
                  <c:v>1.352431097637866E-2</c:v>
                </c:pt>
                <c:pt idx="44">
                  <c:v>-2.281410997511207E-2</c:v>
                </c:pt>
                <c:pt idx="45">
                  <c:v>0.79171014402306505</c:v>
                </c:pt>
                <c:pt idx="46">
                  <c:v>0.16857072953669569</c:v>
                </c:pt>
                <c:pt idx="47">
                  <c:v>0.45373996182065712</c:v>
                </c:pt>
                <c:pt idx="48">
                  <c:v>0.2140824576395432</c:v>
                </c:pt>
                <c:pt idx="49">
                  <c:v>-0.1382532834737005</c:v>
                </c:pt>
                <c:pt idx="50">
                  <c:v>0.31058307000384933</c:v>
                </c:pt>
                <c:pt idx="51">
                  <c:v>8.1931592653289656E-2</c:v>
                </c:pt>
                <c:pt idx="52">
                  <c:v>0.5288236147343629</c:v>
                </c:pt>
                <c:pt idx="53">
                  <c:v>-0.2139309483998969</c:v>
                </c:pt>
                <c:pt idx="54">
                  <c:v>-0.33543939010509732</c:v>
                </c:pt>
                <c:pt idx="55">
                  <c:v>-0.2589898703205572</c:v>
                </c:pt>
                <c:pt idx="56">
                  <c:v>-4.9110373142876217E-2</c:v>
                </c:pt>
                <c:pt idx="57">
                  <c:v>0.30488451259502081</c:v>
                </c:pt>
                <c:pt idx="58">
                  <c:v>-0.28394094226941857</c:v>
                </c:pt>
                <c:pt idx="59">
                  <c:v>0.2419409787666438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65-4901-BC36-C949C003F3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4323343"/>
        <c:axId val="2124325007"/>
      </c:scatterChart>
      <c:valAx>
        <c:axId val="21243233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Original Portfolio</a:t>
                </a:r>
              </a:p>
            </c:rich>
          </c:tx>
          <c:layout>
            <c:manualLayout>
              <c:xMode val="edge"/>
              <c:yMode val="edge"/>
              <c:x val="0.28598972003499562"/>
              <c:y val="0.87974518810148727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4325007"/>
        <c:crosses val="autoZero"/>
        <c:crossBetween val="midCat"/>
      </c:valAx>
      <c:valAx>
        <c:axId val="212432500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Stock A</a:t>
                </a:r>
              </a:p>
            </c:rich>
          </c:tx>
          <c:layout>
            <c:manualLayout>
              <c:xMode val="edge"/>
              <c:yMode val="edge"/>
              <c:x val="1.9444444444444441E-2"/>
              <c:y val="0.35914333624963551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4323343"/>
        <c:crosses val="autoZero"/>
        <c:crossBetween val="midCat"/>
      </c:valAx>
    </c:plotArea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'7-Var and Corr'!$B$10:$B$23</c:f>
              <c:numCache>
                <c:formatCode>General</c:formatCode>
                <c:ptCount val="14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0.30000000000000004</c:v>
                </c:pt>
                <c:pt idx="8">
                  <c:v>0.20000000000000007</c:v>
                </c:pt>
                <c:pt idx="9">
                  <c:v>0.10000000000000009</c:v>
                </c:pt>
                <c:pt idx="10">
                  <c:v>0</c:v>
                </c:pt>
                <c:pt idx="11">
                  <c:v>-9.9999999999999867E-2</c:v>
                </c:pt>
                <c:pt idx="12">
                  <c:v>-0.19999999999999996</c:v>
                </c:pt>
                <c:pt idx="13">
                  <c:v>-0.30000000000000004</c:v>
                </c:pt>
              </c:numCache>
            </c:numRef>
          </c:xVal>
          <c:yVal>
            <c:numRef>
              <c:f>'7-Var and Corr'!$D$10:$D$23</c:f>
              <c:numCache>
                <c:formatCode>General</c:formatCode>
                <c:ptCount val="14"/>
                <c:pt idx="0">
                  <c:v>0.2</c:v>
                </c:pt>
                <c:pt idx="1">
                  <c:v>0.18308467986153293</c:v>
                </c:pt>
                <c:pt idx="2">
                  <c:v>0.16876018487783193</c:v>
                </c:pt>
                <c:pt idx="3">
                  <c:v>0.15773395322504283</c:v>
                </c:pt>
                <c:pt idx="4">
                  <c:v>0.15073154945133418</c:v>
                </c:pt>
                <c:pt idx="5">
                  <c:v>0.14832396974191328</c:v>
                </c:pt>
                <c:pt idx="6">
                  <c:v>0.15073154945133418</c:v>
                </c:pt>
                <c:pt idx="7">
                  <c:v>0.15773395322504283</c:v>
                </c:pt>
                <c:pt idx="8">
                  <c:v>0.1687601848778319</c:v>
                </c:pt>
                <c:pt idx="9">
                  <c:v>0.1830846798615329</c:v>
                </c:pt>
                <c:pt idx="10">
                  <c:v>0.19999999999999998</c:v>
                </c:pt>
                <c:pt idx="11">
                  <c:v>0.218906372680194</c:v>
                </c:pt>
                <c:pt idx="12">
                  <c:v>0.23933240482642545</c:v>
                </c:pt>
                <c:pt idx="13">
                  <c:v>0.26092144411680696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BF-42B0-975B-BE81A0D88ADE}"/>
            </c:ext>
          </c:extLst>
        </c:ser>
        <c:ser>
          <c:idx val="1"/>
          <c:order val="1"/>
          <c:tx>
            <c:v>100% in Fund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1.388888888888894E-2"/>
                  <c:y val="5.170387779083431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97E-4E13-8BB0-B8E5B88F8C0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'7-Var and Corr'!$B$20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'7-Var and Corr'!$D$20</c:f>
              <c:numCache>
                <c:formatCode>General</c:formatCode>
                <c:ptCount val="1"/>
                <c:pt idx="0">
                  <c:v>0.19999999999999998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BF-42B0-975B-BE81A0D88ADE}"/>
            </c:ext>
          </c:extLst>
        </c:ser>
        <c:ser>
          <c:idx val="2"/>
          <c:order val="2"/>
          <c:tx>
            <c:v>100% in A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0070C0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'7-Var and Corr'!$B$10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'7-Var and Corr'!$D$10</c:f>
              <c:numCache>
                <c:formatCode>General</c:formatCode>
                <c:ptCount val="1"/>
                <c:pt idx="0">
                  <c:v>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9BF-42B0-975B-BE81A0D88AD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63232143"/>
        <c:axId val="163234063"/>
      </c:scatterChart>
      <c:valAx>
        <c:axId val="1632321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400" b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Weight in Stock 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34063"/>
        <c:crosses val="autoZero"/>
        <c:crossBetween val="midCat"/>
      </c:valAx>
      <c:valAx>
        <c:axId val="163234063"/>
        <c:scaling>
          <c:orientation val="minMax"/>
          <c:max val="0.65000000000000013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Volatility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321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2225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'9-Lakers'!$C$5:$C$55</c:f>
              <c:numCache>
                <c:formatCode>General</c:formatCode>
                <c:ptCount val="51"/>
                <c:pt idx="0" formatCode="0.0">
                  <c:v>30</c:v>
                </c:pt>
                <c:pt idx="1">
                  <c:v>27.7</c:v>
                </c:pt>
                <c:pt idx="2">
                  <c:v>26.2</c:v>
                </c:pt>
                <c:pt idx="3">
                  <c:v>25.8</c:v>
                </c:pt>
                <c:pt idx="4">
                  <c:v>23.8</c:v>
                </c:pt>
                <c:pt idx="5">
                  <c:v>24.8</c:v>
                </c:pt>
                <c:pt idx="6">
                  <c:v>26.2</c:v>
                </c:pt>
                <c:pt idx="7">
                  <c:v>23.9</c:v>
                </c:pt>
                <c:pt idx="8">
                  <c:v>21.8</c:v>
                </c:pt>
                <c:pt idx="9">
                  <c:v>21.5</c:v>
                </c:pt>
                <c:pt idx="10" formatCode="0.0">
                  <c:v>22</c:v>
                </c:pt>
                <c:pt idx="11">
                  <c:v>23.4</c:v>
                </c:pt>
                <c:pt idx="12">
                  <c:v>23.9</c:v>
                </c:pt>
                <c:pt idx="13">
                  <c:v>19.600000000000001</c:v>
                </c:pt>
                <c:pt idx="14">
                  <c:v>22.5</c:v>
                </c:pt>
                <c:pt idx="15">
                  <c:v>22.3</c:v>
                </c:pt>
                <c:pt idx="16">
                  <c:v>19.399999999999999</c:v>
                </c:pt>
                <c:pt idx="17">
                  <c:v>19.899999999999999</c:v>
                </c:pt>
                <c:pt idx="18">
                  <c:v>15.1</c:v>
                </c:pt>
                <c:pt idx="19">
                  <c:v>14.2</c:v>
                </c:pt>
                <c:pt idx="20">
                  <c:v>21.7</c:v>
                </c:pt>
                <c:pt idx="21">
                  <c:v>21.2</c:v>
                </c:pt>
                <c:pt idx="22">
                  <c:v>26.2</c:v>
                </c:pt>
                <c:pt idx="23">
                  <c:v>28.3</c:v>
                </c:pt>
                <c:pt idx="24">
                  <c:v>26.3</c:v>
                </c:pt>
                <c:pt idx="25">
                  <c:v>29.7</c:v>
                </c:pt>
                <c:pt idx="26">
                  <c:v>28.7</c:v>
                </c:pt>
                <c:pt idx="27">
                  <c:v>27.2</c:v>
                </c:pt>
                <c:pt idx="28" formatCode="0.0">
                  <c:v>30</c:v>
                </c:pt>
                <c:pt idx="29" formatCode="0.0">
                  <c:v>24</c:v>
                </c:pt>
                <c:pt idx="30">
                  <c:v>27.6</c:v>
                </c:pt>
                <c:pt idx="31">
                  <c:v>35.4</c:v>
                </c:pt>
                <c:pt idx="32">
                  <c:v>31.6</c:v>
                </c:pt>
                <c:pt idx="33">
                  <c:v>28.3</c:v>
                </c:pt>
                <c:pt idx="34">
                  <c:v>26.8</c:v>
                </c:pt>
                <c:pt idx="35" formatCode="0.0">
                  <c:v>27</c:v>
                </c:pt>
                <c:pt idx="36">
                  <c:v>25.3</c:v>
                </c:pt>
                <c:pt idx="37">
                  <c:v>27.9</c:v>
                </c:pt>
                <c:pt idx="38">
                  <c:v>27.3</c:v>
                </c:pt>
                <c:pt idx="39">
                  <c:v>17.399999999999999</c:v>
                </c:pt>
                <c:pt idx="40" formatCode="0.0">
                  <c:v>12</c:v>
                </c:pt>
                <c:pt idx="41">
                  <c:v>17.600000000000001</c:v>
                </c:pt>
                <c:pt idx="42">
                  <c:v>15.6</c:v>
                </c:pt>
                <c:pt idx="43">
                  <c:v>16.100000000000001</c:v>
                </c:pt>
                <c:pt idx="44">
                  <c:v>27.4</c:v>
                </c:pt>
                <c:pt idx="45">
                  <c:v>26.1</c:v>
                </c:pt>
                <c:pt idx="46" formatCode="0.0">
                  <c:v>25</c:v>
                </c:pt>
                <c:pt idx="47">
                  <c:v>30.3</c:v>
                </c:pt>
                <c:pt idx="48">
                  <c:v>28.9</c:v>
                </c:pt>
                <c:pt idx="49">
                  <c:v>25.7</c:v>
                </c:pt>
                <c:pt idx="50">
                  <c:v>24.4</c:v>
                </c:pt>
              </c:numCache>
            </c:numRef>
          </c:xVal>
          <c:yVal>
            <c:numRef>
              <c:f>'9-Lakers'!$D$5:$D$55</c:f>
              <c:numCache>
                <c:formatCode>0.0</c:formatCode>
                <c:ptCount val="51"/>
                <c:pt idx="0">
                  <c:v>36.6</c:v>
                </c:pt>
                <c:pt idx="1">
                  <c:v>48.8</c:v>
                </c:pt>
                <c:pt idx="2">
                  <c:v>64.600000000000009</c:v>
                </c:pt>
                <c:pt idx="3">
                  <c:v>54.900000000000006</c:v>
                </c:pt>
                <c:pt idx="4">
                  <c:v>57.3</c:v>
                </c:pt>
                <c:pt idx="5">
                  <c:v>73.2</c:v>
                </c:pt>
                <c:pt idx="6">
                  <c:v>65.900000000000006</c:v>
                </c:pt>
                <c:pt idx="7">
                  <c:v>69.5</c:v>
                </c:pt>
                <c:pt idx="8">
                  <c:v>70.7</c:v>
                </c:pt>
                <c:pt idx="9">
                  <c:v>65.900000000000006</c:v>
                </c:pt>
                <c:pt idx="10">
                  <c:v>75.599999999999994</c:v>
                </c:pt>
                <c:pt idx="11">
                  <c:v>75.599999999999994</c:v>
                </c:pt>
                <c:pt idx="12">
                  <c:v>79.3</c:v>
                </c:pt>
                <c:pt idx="13">
                  <c:v>75.599999999999994</c:v>
                </c:pt>
                <c:pt idx="14">
                  <c:v>69.5</c:v>
                </c:pt>
                <c:pt idx="15">
                  <c:v>76.8</c:v>
                </c:pt>
                <c:pt idx="16">
                  <c:v>70.7</c:v>
                </c:pt>
                <c:pt idx="17">
                  <c:v>52.400000000000006</c:v>
                </c:pt>
                <c:pt idx="18">
                  <c:v>47.599999999999994</c:v>
                </c:pt>
                <c:pt idx="19">
                  <c:v>40.200000000000003</c:v>
                </c:pt>
                <c:pt idx="20">
                  <c:v>58.5</c:v>
                </c:pt>
                <c:pt idx="21">
                  <c:v>64.600000000000009</c:v>
                </c:pt>
                <c:pt idx="22">
                  <c:v>68.300000000000011</c:v>
                </c:pt>
                <c:pt idx="23">
                  <c:v>74.400000000000006</c:v>
                </c:pt>
                <c:pt idx="24">
                  <c:v>62</c:v>
                </c:pt>
                <c:pt idx="25">
                  <c:v>81.699999999999989</c:v>
                </c:pt>
                <c:pt idx="26">
                  <c:v>68.300000000000011</c:v>
                </c:pt>
                <c:pt idx="27">
                  <c:v>70.7</c:v>
                </c:pt>
                <c:pt idx="28">
                  <c:v>61</c:v>
                </c:pt>
                <c:pt idx="29">
                  <c:v>68.300000000000011</c:v>
                </c:pt>
                <c:pt idx="30">
                  <c:v>41.5</c:v>
                </c:pt>
                <c:pt idx="31">
                  <c:v>54.900000000000006</c:v>
                </c:pt>
                <c:pt idx="32">
                  <c:v>51.2</c:v>
                </c:pt>
                <c:pt idx="33">
                  <c:v>69.5</c:v>
                </c:pt>
                <c:pt idx="34">
                  <c:v>79.3</c:v>
                </c:pt>
                <c:pt idx="35">
                  <c:v>69.5</c:v>
                </c:pt>
                <c:pt idx="36">
                  <c:v>69.5</c:v>
                </c:pt>
                <c:pt idx="37">
                  <c:v>62.1</c:v>
                </c:pt>
                <c:pt idx="38">
                  <c:v>54.900000000000006</c:v>
                </c:pt>
                <c:pt idx="39">
                  <c:v>32.9</c:v>
                </c:pt>
                <c:pt idx="40">
                  <c:v>25.6</c:v>
                </c:pt>
                <c:pt idx="41">
                  <c:v>20.7</c:v>
                </c:pt>
                <c:pt idx="42">
                  <c:v>31.7</c:v>
                </c:pt>
                <c:pt idx="43">
                  <c:v>42.699999999999996</c:v>
                </c:pt>
                <c:pt idx="44">
                  <c:v>45.1</c:v>
                </c:pt>
                <c:pt idx="45">
                  <c:v>73.2</c:v>
                </c:pt>
                <c:pt idx="46">
                  <c:v>58.3</c:v>
                </c:pt>
                <c:pt idx="47">
                  <c:v>40.200000000000003</c:v>
                </c:pt>
                <c:pt idx="48">
                  <c:v>52.400000000000006</c:v>
                </c:pt>
                <c:pt idx="49">
                  <c:v>57.3</c:v>
                </c:pt>
                <c:pt idx="50">
                  <c:v>61.5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0A-459B-9CB4-236491181E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3905104"/>
        <c:axId val="2033936304"/>
      </c:scatterChart>
      <c:valAx>
        <c:axId val="2033905104"/>
        <c:scaling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3936304"/>
        <c:crosses val="autoZero"/>
        <c:crossBetween val="midCat"/>
      </c:valAx>
      <c:valAx>
        <c:axId val="203393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3905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  <a:prstDash val="solid"/>
            </a:ln>
          </c:spPr>
          <c:marker>
            <c:symbol val="circle"/>
            <c:size val="6"/>
            <c:spPr>
              <a:ln>
                <a:prstDash val="solid"/>
              </a:ln>
            </c:spPr>
          </c:marker>
          <c:xVal>
            <c:numRef>
              <c:f>'8-Efficient Frontier'!$F$13:$F$23</c:f>
              <c:numCache>
                <c:formatCode>0.00</c:formatCode>
                <c:ptCount val="11"/>
                <c:pt idx="0">
                  <c:v>0.739141568073721</c:v>
                </c:pt>
                <c:pt idx="1">
                  <c:v>0.35009757009139819</c:v>
                </c:pt>
                <c:pt idx="2">
                  <c:v>0.66264448765538042</c:v>
                </c:pt>
                <c:pt idx="3">
                  <c:v>1.5427364145472933</c:v>
                </c:pt>
                <c:pt idx="4">
                  <c:v>0.67596268200772736</c:v>
                </c:pt>
                <c:pt idx="5">
                  <c:v>0.66406865229031209</c:v>
                </c:pt>
                <c:pt idx="6">
                  <c:v>0.41644357848256097</c:v>
                </c:pt>
                <c:pt idx="7">
                  <c:v>0.56718731129149758</c:v>
                </c:pt>
                <c:pt idx="8">
                  <c:v>0.59981194687589567</c:v>
                </c:pt>
                <c:pt idx="9">
                  <c:v>0.90607486863193609</c:v>
                </c:pt>
              </c:numCache>
            </c:numRef>
          </c:xVal>
          <c:yVal>
            <c:numRef>
              <c:f>'8-Efficient Frontier'!$E$13:$E$23</c:f>
              <c:numCache>
                <c:formatCode>0.00</c:formatCode>
                <c:ptCount val="11"/>
                <c:pt idx="0">
                  <c:v>0.19134198199999997</c:v>
                </c:pt>
                <c:pt idx="1">
                  <c:v>0.14755872839999998</c:v>
                </c:pt>
                <c:pt idx="2">
                  <c:v>8.9413270163349809E-2</c:v>
                </c:pt>
                <c:pt idx="3">
                  <c:v>2.3947725113248053E-3</c:v>
                </c:pt>
                <c:pt idx="4">
                  <c:v>0.10454626155667938</c:v>
                </c:pt>
                <c:pt idx="5">
                  <c:v>0.11861405275529251</c:v>
                </c:pt>
                <c:pt idx="6">
                  <c:v>9.193141088151606E-2</c:v>
                </c:pt>
                <c:pt idx="7">
                  <c:v>0.17049344953382387</c:v>
                </c:pt>
                <c:pt idx="8">
                  <c:v>6.6906732374336558E-2</c:v>
                </c:pt>
                <c:pt idx="9">
                  <c:v>3.6673718770616703E-2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5B-4B59-9EC5-792863B3A80F}"/>
            </c:ext>
          </c:extLst>
        </c:ser>
        <c:ser>
          <c:idx val="1"/>
          <c:order val="1"/>
          <c:spPr>
            <a:ln w="15875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'8-Efficient Frontier'!$F$27:$F$37</c:f>
              <c:numCache>
                <c:formatCode>0.00</c:formatCode>
                <c:ptCount val="11"/>
                <c:pt idx="0">
                  <c:v>0.45518826778249344</c:v>
                </c:pt>
                <c:pt idx="1">
                  <c:v>0.3290085375425929</c:v>
                </c:pt>
                <c:pt idx="2">
                  <c:v>0.21344696286312323</c:v>
                </c:pt>
                <c:pt idx="3">
                  <c:v>0.13833218187719806</c:v>
                </c:pt>
                <c:pt idx="4">
                  <c:v>0.13489209144555622</c:v>
                </c:pt>
                <c:pt idx="5">
                  <c:v>0.15203728178199077</c:v>
                </c:pt>
                <c:pt idx="6">
                  <c:v>0.30375654930211271</c:v>
                </c:pt>
                <c:pt idx="7">
                  <c:v>0.42860057583758548</c:v>
                </c:pt>
                <c:pt idx="8">
                  <c:v>0.55802486771327764</c:v>
                </c:pt>
                <c:pt idx="9">
                  <c:v>1.155320223828924</c:v>
                </c:pt>
              </c:numCache>
            </c:numRef>
          </c:xVal>
          <c:yVal>
            <c:numRef>
              <c:f>'8-Efficient Frontier'!$E$27:$E$37</c:f>
              <c:numCache>
                <c:formatCode>0.00</c:formatCode>
                <c:ptCount val="11"/>
                <c:pt idx="0">
                  <c:v>3.5000000070248047E-2</c:v>
                </c:pt>
                <c:pt idx="1">
                  <c:v>5.4999999874493603E-2</c:v>
                </c:pt>
                <c:pt idx="2">
                  <c:v>7.5000069865044136E-2</c:v>
                </c:pt>
                <c:pt idx="3">
                  <c:v>9.4999999980863614E-2</c:v>
                </c:pt>
                <c:pt idx="4">
                  <c:v>0.10000000000001921</c:v>
                </c:pt>
                <c:pt idx="5">
                  <c:v>0.10999999999999759</c:v>
                </c:pt>
                <c:pt idx="6">
                  <c:v>0.13999999999999527</c:v>
                </c:pt>
                <c:pt idx="7">
                  <c:v>0.16000000000001013</c:v>
                </c:pt>
                <c:pt idx="8">
                  <c:v>0.17999999999998698</c:v>
                </c:pt>
                <c:pt idx="9">
                  <c:v>0.27000000000001223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75B-4B59-9EC5-792863B3A80F}"/>
            </c:ext>
          </c:extLst>
        </c:ser>
        <c:ser>
          <c:idx val="2"/>
          <c:order val="2"/>
          <c:spPr>
            <a:ln w="25400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'8-Efficient Frontier'!$E$45:$E$46</c:f>
              <c:numCache>
                <c:formatCode>General</c:formatCode>
                <c:ptCount val="2"/>
                <c:pt idx="0">
                  <c:v>0</c:v>
                </c:pt>
                <c:pt idx="1">
                  <c:v>0.65</c:v>
                </c:pt>
              </c:numCache>
            </c:numRef>
          </c:xVal>
          <c:yVal>
            <c:numRef>
              <c:f>'8-Efficient Frontier'!$F$45:$F$46</c:f>
              <c:numCache>
                <c:formatCode>General</c:formatCode>
                <c:ptCount val="2"/>
                <c:pt idx="0" formatCode="0.00000">
                  <c:v>0.05</c:v>
                </c:pt>
                <c:pt idx="1">
                  <c:v>0.30770060799382892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75B-4B59-9EC5-792863B3A80F}"/>
            </c:ext>
          </c:extLst>
        </c:ser>
        <c:ser>
          <c:idx val="3"/>
          <c:order val="3"/>
          <c:spPr>
            <a:ln w="28575">
              <a:noFill/>
              <a:prstDash val="solid"/>
            </a:ln>
          </c:spPr>
          <c:marker>
            <c:symbol val="circle"/>
            <c:size val="11"/>
            <c:spPr>
              <a:solidFill>
                <a:schemeClr val="tx1"/>
              </a:solidFill>
              <a:ln w="15875">
                <a:prstDash val="solid"/>
              </a:ln>
            </c:spPr>
          </c:marker>
          <c:xVal>
            <c:numRef>
              <c:f>'8-Efficient Frontier'!$F$42</c:f>
              <c:numCache>
                <c:formatCode>General</c:formatCode>
                <c:ptCount val="1"/>
                <c:pt idx="0">
                  <c:v>0.14545482006573032</c:v>
                </c:pt>
              </c:numCache>
            </c:numRef>
          </c:xVal>
          <c:yVal>
            <c:numRef>
              <c:f>'8-Efficient Frontier'!$E$42</c:f>
              <c:numCache>
                <c:formatCode>General</c:formatCode>
                <c:ptCount val="1"/>
                <c:pt idx="0">
                  <c:v>0.10766737779472568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75B-4B59-9EC5-792863B3A8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264160"/>
        <c:axId val="632304384"/>
      </c:scatterChart>
      <c:valAx>
        <c:axId val="484264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Volatility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632304384"/>
        <c:crosses val="autoZero"/>
        <c:crossBetween val="midCat"/>
      </c:valAx>
      <c:valAx>
        <c:axId val="63230438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Expected Return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484264160"/>
        <c:crosses val="autoZero"/>
        <c:crossBetween val="midCat"/>
      </c:valAx>
    </c:plotArea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n-US"/>
              <a:t>Random Portfolios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  <a:prstDash val="solid"/>
            </a:ln>
          </c:spPr>
          <c:marker>
            <c:symbol val="circle"/>
            <c:size val="6"/>
            <c:spPr>
              <a:ln>
                <a:prstDash val="solid"/>
              </a:ln>
            </c:spPr>
          </c:marker>
          <c:xVal>
            <c:numRef>
              <c:f>'8-Efficient Frontier'!$F$13:$F$23</c:f>
              <c:numCache>
                <c:formatCode>0.00</c:formatCode>
                <c:ptCount val="11"/>
                <c:pt idx="0">
                  <c:v>0.739141568073721</c:v>
                </c:pt>
                <c:pt idx="1">
                  <c:v>0.35009757009139819</c:v>
                </c:pt>
                <c:pt idx="2">
                  <c:v>0.66264448765538042</c:v>
                </c:pt>
                <c:pt idx="3">
                  <c:v>1.5427364145472933</c:v>
                </c:pt>
                <c:pt idx="4">
                  <c:v>0.67596268200772736</c:v>
                </c:pt>
                <c:pt idx="5">
                  <c:v>0.66406865229031209</c:v>
                </c:pt>
                <c:pt idx="6">
                  <c:v>0.41644357848256097</c:v>
                </c:pt>
                <c:pt idx="7">
                  <c:v>0.56718731129149758</c:v>
                </c:pt>
                <c:pt idx="8">
                  <c:v>0.59981194687589567</c:v>
                </c:pt>
                <c:pt idx="9">
                  <c:v>0.90607486863193609</c:v>
                </c:pt>
              </c:numCache>
            </c:numRef>
          </c:xVal>
          <c:yVal>
            <c:numRef>
              <c:f>'8-Efficient Frontier'!$E$13:$E$23</c:f>
              <c:numCache>
                <c:formatCode>0.00</c:formatCode>
                <c:ptCount val="11"/>
                <c:pt idx="0">
                  <c:v>0.19134198199999997</c:v>
                </c:pt>
                <c:pt idx="1">
                  <c:v>0.14755872839999998</c:v>
                </c:pt>
                <c:pt idx="2">
                  <c:v>8.9413270163349809E-2</c:v>
                </c:pt>
                <c:pt idx="3">
                  <c:v>2.3947725113248053E-3</c:v>
                </c:pt>
                <c:pt idx="4">
                  <c:v>0.10454626155667938</c:v>
                </c:pt>
                <c:pt idx="5">
                  <c:v>0.11861405275529251</c:v>
                </c:pt>
                <c:pt idx="6">
                  <c:v>9.193141088151606E-2</c:v>
                </c:pt>
                <c:pt idx="7">
                  <c:v>0.17049344953382387</c:v>
                </c:pt>
                <c:pt idx="8">
                  <c:v>6.6906732374336558E-2</c:v>
                </c:pt>
                <c:pt idx="9">
                  <c:v>3.6673718770616703E-2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55-4598-888E-8A75C952B5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264160"/>
        <c:axId val="632304384"/>
      </c:scatterChart>
      <c:valAx>
        <c:axId val="484264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Volatility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632304384"/>
        <c:crosses val="autoZero"/>
        <c:crossBetween val="midCat"/>
      </c:valAx>
      <c:valAx>
        <c:axId val="63230438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Expected Return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484264160"/>
        <c:crosses val="autoZero"/>
        <c:crossBetween val="midCat"/>
      </c:valAx>
    </c:plotArea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xVal>
            <c:numRef>
              <c:f>'13-butterfly'!$A$3:$A$63</c:f>
              <c:numCache>
                <c:formatCode>General</c:formatCode>
                <c:ptCount val="61"/>
                <c:pt idx="0">
                  <c:v>70</c:v>
                </c:pt>
                <c:pt idx="1">
                  <c:v>71</c:v>
                </c:pt>
                <c:pt idx="2">
                  <c:v>72</c:v>
                </c:pt>
                <c:pt idx="3">
                  <c:v>73</c:v>
                </c:pt>
                <c:pt idx="4">
                  <c:v>74</c:v>
                </c:pt>
                <c:pt idx="5">
                  <c:v>75</c:v>
                </c:pt>
                <c:pt idx="6">
                  <c:v>76</c:v>
                </c:pt>
                <c:pt idx="7">
                  <c:v>77</c:v>
                </c:pt>
                <c:pt idx="8">
                  <c:v>78</c:v>
                </c:pt>
                <c:pt idx="9">
                  <c:v>79</c:v>
                </c:pt>
                <c:pt idx="10">
                  <c:v>80</c:v>
                </c:pt>
                <c:pt idx="11">
                  <c:v>81</c:v>
                </c:pt>
                <c:pt idx="12">
                  <c:v>82</c:v>
                </c:pt>
                <c:pt idx="13">
                  <c:v>83</c:v>
                </c:pt>
                <c:pt idx="14">
                  <c:v>84</c:v>
                </c:pt>
                <c:pt idx="15">
                  <c:v>85</c:v>
                </c:pt>
                <c:pt idx="16">
                  <c:v>86</c:v>
                </c:pt>
                <c:pt idx="17">
                  <c:v>87</c:v>
                </c:pt>
                <c:pt idx="18">
                  <c:v>88</c:v>
                </c:pt>
                <c:pt idx="19">
                  <c:v>89</c:v>
                </c:pt>
                <c:pt idx="20">
                  <c:v>90</c:v>
                </c:pt>
                <c:pt idx="21">
                  <c:v>91</c:v>
                </c:pt>
                <c:pt idx="22">
                  <c:v>92</c:v>
                </c:pt>
                <c:pt idx="23">
                  <c:v>93</c:v>
                </c:pt>
                <c:pt idx="24">
                  <c:v>94</c:v>
                </c:pt>
                <c:pt idx="25">
                  <c:v>95</c:v>
                </c:pt>
                <c:pt idx="26">
                  <c:v>96</c:v>
                </c:pt>
                <c:pt idx="27">
                  <c:v>97</c:v>
                </c:pt>
                <c:pt idx="28">
                  <c:v>98</c:v>
                </c:pt>
                <c:pt idx="29">
                  <c:v>99</c:v>
                </c:pt>
                <c:pt idx="30">
                  <c:v>100</c:v>
                </c:pt>
                <c:pt idx="31">
                  <c:v>101</c:v>
                </c:pt>
                <c:pt idx="32">
                  <c:v>102</c:v>
                </c:pt>
                <c:pt idx="33">
                  <c:v>103</c:v>
                </c:pt>
                <c:pt idx="34">
                  <c:v>104</c:v>
                </c:pt>
                <c:pt idx="35">
                  <c:v>105</c:v>
                </c:pt>
                <c:pt idx="36">
                  <c:v>106</c:v>
                </c:pt>
                <c:pt idx="37">
                  <c:v>107</c:v>
                </c:pt>
                <c:pt idx="38">
                  <c:v>108</c:v>
                </c:pt>
                <c:pt idx="39">
                  <c:v>109</c:v>
                </c:pt>
                <c:pt idx="40">
                  <c:v>110</c:v>
                </c:pt>
                <c:pt idx="41">
                  <c:v>111</c:v>
                </c:pt>
                <c:pt idx="42">
                  <c:v>112</c:v>
                </c:pt>
                <c:pt idx="43">
                  <c:v>113</c:v>
                </c:pt>
                <c:pt idx="44">
                  <c:v>114</c:v>
                </c:pt>
                <c:pt idx="45">
                  <c:v>115</c:v>
                </c:pt>
                <c:pt idx="46">
                  <c:v>116</c:v>
                </c:pt>
                <c:pt idx="47">
                  <c:v>117</c:v>
                </c:pt>
                <c:pt idx="48">
                  <c:v>118</c:v>
                </c:pt>
                <c:pt idx="49">
                  <c:v>119</c:v>
                </c:pt>
                <c:pt idx="50">
                  <c:v>120</c:v>
                </c:pt>
                <c:pt idx="51">
                  <c:v>121</c:v>
                </c:pt>
                <c:pt idx="52">
                  <c:v>122</c:v>
                </c:pt>
                <c:pt idx="53">
                  <c:v>123</c:v>
                </c:pt>
                <c:pt idx="54">
                  <c:v>124</c:v>
                </c:pt>
                <c:pt idx="55">
                  <c:v>125</c:v>
                </c:pt>
                <c:pt idx="56">
                  <c:v>126</c:v>
                </c:pt>
                <c:pt idx="57">
                  <c:v>127</c:v>
                </c:pt>
                <c:pt idx="58">
                  <c:v>128</c:v>
                </c:pt>
                <c:pt idx="59">
                  <c:v>129</c:v>
                </c:pt>
                <c:pt idx="60">
                  <c:v>130</c:v>
                </c:pt>
              </c:numCache>
            </c:numRef>
          </c:xVal>
          <c:yVal>
            <c:numRef>
              <c:f>'13-butterfly'!$F$3:$F$63</c:f>
              <c:numCache>
                <c:formatCode>General</c:formatCode>
                <c:ptCount val="61"/>
                <c:pt idx="0">
                  <c:v>-7.9649999999999999</c:v>
                </c:pt>
                <c:pt idx="1">
                  <c:v>-7.9649999999999999</c:v>
                </c:pt>
                <c:pt idx="2">
                  <c:v>-7.9649999999999999</c:v>
                </c:pt>
                <c:pt idx="3">
                  <c:v>-7.9649999999999999</c:v>
                </c:pt>
                <c:pt idx="4">
                  <c:v>-7.9649999999999999</c:v>
                </c:pt>
                <c:pt idx="5">
                  <c:v>-7.9649999999999999</c:v>
                </c:pt>
                <c:pt idx="6">
                  <c:v>-7.9649999999999999</c:v>
                </c:pt>
                <c:pt idx="7">
                  <c:v>-7.9649999999999999</c:v>
                </c:pt>
                <c:pt idx="8">
                  <c:v>-7.9649999999999999</c:v>
                </c:pt>
                <c:pt idx="9">
                  <c:v>-7.9649999999999999</c:v>
                </c:pt>
                <c:pt idx="10">
                  <c:v>-7.9649999999999999</c:v>
                </c:pt>
                <c:pt idx="11">
                  <c:v>-6.9649999999999999</c:v>
                </c:pt>
                <c:pt idx="12">
                  <c:v>-5.9649999999999999</c:v>
                </c:pt>
                <c:pt idx="13">
                  <c:v>-4.9649999999999999</c:v>
                </c:pt>
                <c:pt idx="14">
                  <c:v>-3.9649999999999999</c:v>
                </c:pt>
                <c:pt idx="15">
                  <c:v>-2.9649999999999999</c:v>
                </c:pt>
                <c:pt idx="16">
                  <c:v>-1.9649999999999999</c:v>
                </c:pt>
                <c:pt idx="17">
                  <c:v>-0.96499999999999986</c:v>
                </c:pt>
                <c:pt idx="18">
                  <c:v>3.5000000000000142E-2</c:v>
                </c:pt>
                <c:pt idx="19">
                  <c:v>1.0350000000000001</c:v>
                </c:pt>
                <c:pt idx="20">
                  <c:v>2.0350000000000001</c:v>
                </c:pt>
                <c:pt idx="21">
                  <c:v>3.0350000000000001</c:v>
                </c:pt>
                <c:pt idx="22">
                  <c:v>4.0350000000000001</c:v>
                </c:pt>
                <c:pt idx="23">
                  <c:v>5.0350000000000001</c:v>
                </c:pt>
                <c:pt idx="24">
                  <c:v>6.0350000000000001</c:v>
                </c:pt>
                <c:pt idx="25">
                  <c:v>7.0350000000000001</c:v>
                </c:pt>
                <c:pt idx="26">
                  <c:v>8.0350000000000001</c:v>
                </c:pt>
                <c:pt idx="27">
                  <c:v>9.0350000000000001</c:v>
                </c:pt>
                <c:pt idx="28">
                  <c:v>10.035</c:v>
                </c:pt>
                <c:pt idx="29">
                  <c:v>11.035</c:v>
                </c:pt>
                <c:pt idx="30">
                  <c:v>12.035</c:v>
                </c:pt>
                <c:pt idx="31">
                  <c:v>11.035</c:v>
                </c:pt>
                <c:pt idx="32">
                  <c:v>10.035</c:v>
                </c:pt>
                <c:pt idx="33">
                  <c:v>9.0350000000000001</c:v>
                </c:pt>
                <c:pt idx="34">
                  <c:v>8.0350000000000001</c:v>
                </c:pt>
                <c:pt idx="35">
                  <c:v>7.0350000000000001</c:v>
                </c:pt>
                <c:pt idx="36">
                  <c:v>6.0350000000000001</c:v>
                </c:pt>
                <c:pt idx="37">
                  <c:v>5.0350000000000001</c:v>
                </c:pt>
                <c:pt idx="38">
                  <c:v>4.0349999999999984</c:v>
                </c:pt>
                <c:pt idx="39">
                  <c:v>3.0349999999999984</c:v>
                </c:pt>
                <c:pt idx="40">
                  <c:v>2.0349999999999966</c:v>
                </c:pt>
                <c:pt idx="41">
                  <c:v>1.0349999999999966</c:v>
                </c:pt>
                <c:pt idx="42">
                  <c:v>3.4999999999996589E-2</c:v>
                </c:pt>
                <c:pt idx="43">
                  <c:v>-0.96500000000000341</c:v>
                </c:pt>
                <c:pt idx="44">
                  <c:v>-1.9650000000000034</c:v>
                </c:pt>
                <c:pt idx="45">
                  <c:v>-2.9650000000000034</c:v>
                </c:pt>
                <c:pt idx="46">
                  <c:v>-3.9650000000000034</c:v>
                </c:pt>
                <c:pt idx="47">
                  <c:v>-4.9650000000000034</c:v>
                </c:pt>
                <c:pt idx="48">
                  <c:v>-5.9650000000000034</c:v>
                </c:pt>
                <c:pt idx="49">
                  <c:v>-6.9650000000000034</c:v>
                </c:pt>
                <c:pt idx="50">
                  <c:v>-7.9650000000000034</c:v>
                </c:pt>
                <c:pt idx="51">
                  <c:v>-7.9650000000000034</c:v>
                </c:pt>
                <c:pt idx="52">
                  <c:v>-7.9650000000000034</c:v>
                </c:pt>
                <c:pt idx="53">
                  <c:v>-7.9650000000000034</c:v>
                </c:pt>
                <c:pt idx="54">
                  <c:v>-7.9650000000000034</c:v>
                </c:pt>
                <c:pt idx="55">
                  <c:v>-7.9650000000000034</c:v>
                </c:pt>
                <c:pt idx="56">
                  <c:v>-7.9650000000000034</c:v>
                </c:pt>
                <c:pt idx="57">
                  <c:v>-7.9650000000000034</c:v>
                </c:pt>
                <c:pt idx="58">
                  <c:v>-7.9650000000000034</c:v>
                </c:pt>
                <c:pt idx="59">
                  <c:v>-7.9650000000000034</c:v>
                </c:pt>
                <c:pt idx="60">
                  <c:v>-7.9650000000000034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F7-4D36-863B-91D15356D5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0533976"/>
        <c:axId val="397401720"/>
      </c:scatterChart>
      <c:valAx>
        <c:axId val="540533976"/>
        <c:scaling>
          <c:orientation val="minMax"/>
          <c:min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401720"/>
        <c:crosses val="autoZero"/>
        <c:crossBetween val="midCat"/>
      </c:valAx>
      <c:valAx>
        <c:axId val="397401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533976"/>
        <c:crosses val="autoZero"/>
        <c:crossBetween val="midCat"/>
      </c:valAx>
    </c:plotArea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228600</xdr:colOff>
      <xdr:row>6</xdr:row>
      <xdr:rowOff>19050</xdr:rowOff>
    </xdr:from>
    <xdr:to>
      <xdr:col>14</xdr:col>
      <xdr:colOff>533400</xdr:colOff>
      <xdr:row>20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301625</xdr:colOff>
      <xdr:row>6</xdr:row>
      <xdr:rowOff>19050</xdr:rowOff>
    </xdr:from>
    <xdr:to>
      <xdr:col>13</xdr:col>
      <xdr:colOff>606425</xdr:colOff>
      <xdr:row>21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7C0813-1B71-47BC-82A8-310D6EE232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600075</xdr:colOff>
      <xdr:row>7</xdr:row>
      <xdr:rowOff>157162</xdr:rowOff>
    </xdr:from>
    <xdr:to>
      <xdr:col>16</xdr:col>
      <xdr:colOff>142875</xdr:colOff>
      <xdr:row>22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5C8CC6-CE49-0321-3A66-F3AA0A0C48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438150</xdr:colOff>
      <xdr:row>15</xdr:row>
      <xdr:rowOff>90487</xdr:rowOff>
    </xdr:from>
    <xdr:to>
      <xdr:col>23</xdr:col>
      <xdr:colOff>238125</xdr:colOff>
      <xdr:row>30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457200</xdr:colOff>
      <xdr:row>15</xdr:row>
      <xdr:rowOff>76200</xdr:rowOff>
    </xdr:from>
    <xdr:to>
      <xdr:col>15</xdr:col>
      <xdr:colOff>152400</xdr:colOff>
      <xdr:row>30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361950</xdr:colOff>
      <xdr:row>3</xdr:row>
      <xdr:rowOff>9525</xdr:rowOff>
    </xdr:from>
    <xdr:to>
      <xdr:col>15</xdr:col>
      <xdr:colOff>57150</xdr:colOff>
      <xdr:row>17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F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L36"/>
  <sheetViews>
    <sheetView workbookViewId="0">
      <selection activeCell="C16" sqref="C16"/>
    </sheetView>
  </sheetViews>
  <sheetFormatPr defaultRowHeight="14.5"/>
  <cols>
    <col min="3" max="3" width="14.81640625" bestFit="1" customWidth="1"/>
    <col min="4" max="4" width="8" bestFit="1" customWidth="1"/>
    <col min="5" max="5" width="11.54296875" bestFit="1" customWidth="1"/>
    <col min="6" max="6" width="13.54296875" bestFit="1" customWidth="1"/>
    <col min="12" max="12" width="11.54296875" bestFit="1" customWidth="1"/>
  </cols>
  <sheetData>
    <row r="1" spans="1:8" ht="21">
      <c r="A1" s="254" t="s">
        <v>832</v>
      </c>
      <c r="B1" s="235"/>
      <c r="C1" s="235"/>
      <c r="D1" s="235"/>
      <c r="E1" s="235"/>
      <c r="F1" s="235"/>
      <c r="G1" s="235"/>
      <c r="H1" s="235"/>
    </row>
    <row r="2" spans="1:8">
      <c r="B2" s="44"/>
      <c r="C2" s="44"/>
      <c r="D2" s="44"/>
      <c r="E2" s="44"/>
      <c r="F2" s="44"/>
    </row>
    <row r="3" spans="1:8">
      <c r="A3" s="235"/>
      <c r="B3" s="235"/>
      <c r="C3" s="269" t="s">
        <v>3</v>
      </c>
      <c r="D3" s="270"/>
      <c r="E3" s="269" t="s">
        <v>4</v>
      </c>
      <c r="F3" s="270"/>
      <c r="G3" s="235"/>
      <c r="H3" s="235"/>
    </row>
    <row r="4" spans="1:8">
      <c r="A4" s="235"/>
      <c r="B4" s="235"/>
      <c r="C4" s="257" t="s">
        <v>829</v>
      </c>
      <c r="D4" s="257" t="s">
        <v>830</v>
      </c>
      <c r="E4" s="257" t="s">
        <v>829</v>
      </c>
      <c r="F4" s="257" t="s">
        <v>830</v>
      </c>
      <c r="G4" s="235"/>
      <c r="H4" s="235"/>
    </row>
    <row r="5" spans="1:8">
      <c r="A5" s="235"/>
      <c r="B5" s="255"/>
      <c r="C5" s="258"/>
      <c r="D5" s="258" t="s">
        <v>831</v>
      </c>
      <c r="E5" s="258"/>
      <c r="F5" s="258" t="s">
        <v>831</v>
      </c>
      <c r="G5" s="235"/>
      <c r="H5" s="235"/>
    </row>
    <row r="6" spans="1:8">
      <c r="A6" s="235"/>
      <c r="B6" s="256" t="s">
        <v>0</v>
      </c>
      <c r="C6" s="256">
        <v>50</v>
      </c>
      <c r="D6" s="256">
        <v>600</v>
      </c>
      <c r="E6" s="256">
        <v>51</v>
      </c>
      <c r="F6" s="256">
        <v>600</v>
      </c>
      <c r="G6" s="235"/>
      <c r="H6" s="235"/>
    </row>
    <row r="7" spans="1:8">
      <c r="A7" s="235"/>
      <c r="B7" s="256" t="s">
        <v>1</v>
      </c>
      <c r="C7" s="256">
        <v>13</v>
      </c>
      <c r="D7" s="256">
        <v>800</v>
      </c>
      <c r="E7" s="256">
        <v>11</v>
      </c>
      <c r="F7" s="256">
        <v>800</v>
      </c>
      <c r="G7" s="235"/>
      <c r="H7" s="235"/>
    </row>
    <row r="8" spans="1:8">
      <c r="A8" s="235"/>
      <c r="B8" s="258" t="s">
        <v>2</v>
      </c>
      <c r="C8" s="258">
        <v>33</v>
      </c>
      <c r="D8" s="258">
        <v>200</v>
      </c>
      <c r="E8" s="258">
        <v>35</v>
      </c>
      <c r="F8" s="258">
        <v>200</v>
      </c>
      <c r="G8" s="235"/>
      <c r="H8" s="235"/>
    </row>
    <row r="10" spans="1:8" ht="21">
      <c r="A10" s="252">
        <v>1</v>
      </c>
      <c r="C10" s="271" t="s">
        <v>835</v>
      </c>
      <c r="D10" s="271"/>
    </row>
    <row r="11" spans="1:8">
      <c r="C11" s="1" t="s">
        <v>5</v>
      </c>
      <c r="D11" s="1" t="s">
        <v>6</v>
      </c>
    </row>
    <row r="12" spans="1:8">
      <c r="B12" s="1" t="s">
        <v>0</v>
      </c>
      <c r="C12" s="251">
        <f>C6*D6</f>
        <v>30000</v>
      </c>
      <c r="D12" s="2">
        <f>C12/$C$16</f>
        <v>0.63829787234042556</v>
      </c>
    </row>
    <row r="13" spans="1:8">
      <c r="B13" s="1" t="s">
        <v>1</v>
      </c>
      <c r="C13" s="251">
        <f>C7*D7</f>
        <v>10400</v>
      </c>
      <c r="D13" s="2">
        <f>C13/$C$16</f>
        <v>0.22127659574468084</v>
      </c>
    </row>
    <row r="14" spans="1:8">
      <c r="B14" s="1" t="s">
        <v>2</v>
      </c>
      <c r="C14" s="251">
        <f>C8*D8</f>
        <v>6600</v>
      </c>
      <c r="D14" s="2">
        <f>C14/$C$16</f>
        <v>0.14042553191489363</v>
      </c>
    </row>
    <row r="15" spans="1:8">
      <c r="B15" s="1"/>
    </row>
    <row r="16" spans="1:8">
      <c r="B16" s="1" t="s">
        <v>7</v>
      </c>
      <c r="C16" s="251">
        <f>SUM(C12:C14)</f>
        <v>47000</v>
      </c>
    </row>
    <row r="18" spans="1:12" ht="21">
      <c r="A18" s="252">
        <v>2</v>
      </c>
      <c r="C18" s="271" t="s">
        <v>835</v>
      </c>
      <c r="D18" s="271"/>
    </row>
    <row r="19" spans="1:12">
      <c r="C19" s="1" t="s">
        <v>834</v>
      </c>
      <c r="D19" s="1" t="s">
        <v>8</v>
      </c>
    </row>
    <row r="20" spans="1:12">
      <c r="B20" s="1" t="s">
        <v>0</v>
      </c>
      <c r="C20" s="251">
        <f>100000*D12</f>
        <v>63829.787234042553</v>
      </c>
      <c r="D20" s="2">
        <f>C20/C6</f>
        <v>1276.5957446808511</v>
      </c>
    </row>
    <row r="21" spans="1:12">
      <c r="B21" s="1" t="s">
        <v>1</v>
      </c>
      <c r="C21" s="251">
        <f>100000*D13</f>
        <v>22127.659574468085</v>
      </c>
      <c r="D21" s="2">
        <f>C21/C7</f>
        <v>1702.127659574468</v>
      </c>
    </row>
    <row r="22" spans="1:12">
      <c r="B22" s="1" t="s">
        <v>2</v>
      </c>
      <c r="C22" s="251">
        <f>100000*D14</f>
        <v>14042.553191489362</v>
      </c>
      <c r="D22" s="2">
        <f>C22/C8</f>
        <v>425.531914893617</v>
      </c>
    </row>
    <row r="23" spans="1:12">
      <c r="B23" s="1"/>
      <c r="L23" s="46"/>
    </row>
    <row r="24" spans="1:12" ht="21">
      <c r="A24" s="252">
        <v>3</v>
      </c>
      <c r="C24" s="253" t="s">
        <v>836</v>
      </c>
    </row>
    <row r="25" spans="1:12">
      <c r="C25" s="1" t="s">
        <v>833</v>
      </c>
    </row>
    <row r="26" spans="1:12">
      <c r="B26" s="1" t="s">
        <v>0</v>
      </c>
      <c r="C26" s="251">
        <f>D20*E6</f>
        <v>65106.382978723406</v>
      </c>
    </row>
    <row r="27" spans="1:12">
      <c r="B27" s="1" t="s">
        <v>1</v>
      </c>
      <c r="C27" s="251">
        <f>D21*E7</f>
        <v>18723.404255319147</v>
      </c>
    </row>
    <row r="28" spans="1:12">
      <c r="B28" s="1" t="s">
        <v>2</v>
      </c>
      <c r="C28" s="251">
        <f>D22*E8</f>
        <v>14893.617021276596</v>
      </c>
    </row>
    <row r="30" spans="1:12">
      <c r="C30" s="253" t="s">
        <v>836</v>
      </c>
      <c r="E30" s="271" t="s">
        <v>836</v>
      </c>
      <c r="F30" s="271"/>
    </row>
    <row r="31" spans="1:12">
      <c r="C31" s="1" t="s">
        <v>9</v>
      </c>
      <c r="E31" s="1" t="s">
        <v>5</v>
      </c>
      <c r="F31" s="1" t="s">
        <v>10</v>
      </c>
    </row>
    <row r="32" spans="1:12">
      <c r="B32" s="1" t="s">
        <v>0</v>
      </c>
      <c r="C32" s="2">
        <f>C26/SUM($C$26:$C$28)</f>
        <v>0.65948275862068961</v>
      </c>
      <c r="E32" s="251">
        <f>F6*E6</f>
        <v>30600</v>
      </c>
      <c r="F32" s="2">
        <f>E32/SUM($E$32:$E$34)</f>
        <v>0.65948275862068961</v>
      </c>
    </row>
    <row r="33" spans="2:6">
      <c r="B33" s="1" t="s">
        <v>1</v>
      </c>
      <c r="C33" s="2">
        <f>C27/SUM($C$26:$C$28)</f>
        <v>0.18965517241379307</v>
      </c>
      <c r="E33" s="251">
        <f>F7*E7</f>
        <v>8800</v>
      </c>
      <c r="F33" s="2">
        <f>E33/SUM($E$32:$E$34)</f>
        <v>0.18965517241379309</v>
      </c>
    </row>
    <row r="34" spans="2:6">
      <c r="B34" s="1" t="s">
        <v>2</v>
      </c>
      <c r="C34" s="2">
        <f>C28/SUM($C$26:$C$28)</f>
        <v>0.15086206896551724</v>
      </c>
      <c r="E34" s="251">
        <f>F8*E8</f>
        <v>7000</v>
      </c>
      <c r="F34" s="2">
        <f>E34/SUM($E$32:$E$34)</f>
        <v>0.15086206896551724</v>
      </c>
    </row>
    <row r="35" spans="2:6">
      <c r="B35" s="1"/>
    </row>
    <row r="36" spans="2:6">
      <c r="B36" s="1" t="s">
        <v>7</v>
      </c>
      <c r="C36">
        <f>SUM(C32:C34)</f>
        <v>0.99999999999999989</v>
      </c>
      <c r="E36">
        <f>SUM(E32:E34)</f>
        <v>46400</v>
      </c>
      <c r="F36">
        <f>SUM(F32:F34)</f>
        <v>0.99999999999999989</v>
      </c>
    </row>
  </sheetData>
  <mergeCells count="5">
    <mergeCell ref="E3:F3"/>
    <mergeCell ref="C3:D3"/>
    <mergeCell ref="E30:F30"/>
    <mergeCell ref="C18:D18"/>
    <mergeCell ref="C10:D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3A9DF-8168-4C26-911D-33ED76EBCF8A}">
  <dimension ref="A1:K13"/>
  <sheetViews>
    <sheetView workbookViewId="0">
      <selection activeCell="E23" sqref="E23"/>
    </sheetView>
  </sheetViews>
  <sheetFormatPr defaultRowHeight="14.5"/>
  <cols>
    <col min="1" max="1" width="7.81640625" bestFit="1" customWidth="1"/>
    <col min="2" max="2" width="13.453125" customWidth="1"/>
    <col min="3" max="3" width="10.81640625" bestFit="1" customWidth="1"/>
    <col min="4" max="5" width="8" bestFit="1" customWidth="1"/>
    <col min="6" max="6" width="2.81640625" customWidth="1"/>
    <col min="7" max="7" width="11.453125" bestFit="1" customWidth="1"/>
    <col min="8" max="8" width="2.54296875" customWidth="1"/>
    <col min="9" max="9" width="10.81640625" bestFit="1" customWidth="1"/>
    <col min="10" max="10" width="6.81640625" bestFit="1" customWidth="1"/>
    <col min="11" max="11" width="9.1796875" bestFit="1" customWidth="1"/>
  </cols>
  <sheetData>
    <row r="1" spans="1:11" ht="21">
      <c r="A1" s="254" t="s">
        <v>839</v>
      </c>
      <c r="B1" s="235"/>
      <c r="C1" s="235"/>
      <c r="D1" s="235"/>
      <c r="E1" s="235"/>
      <c r="F1" s="235"/>
      <c r="G1" s="235"/>
    </row>
    <row r="2" spans="1:11" ht="14.15" customHeight="1">
      <c r="A2" s="263"/>
    </row>
    <row r="3" spans="1:11">
      <c r="A3" s="235"/>
      <c r="B3" s="235"/>
      <c r="C3" s="272" t="s">
        <v>444</v>
      </c>
      <c r="D3" s="272"/>
      <c r="E3" s="272"/>
      <c r="F3" s="238"/>
      <c r="G3" s="238" t="s">
        <v>212</v>
      </c>
      <c r="I3" s="273" t="s">
        <v>444</v>
      </c>
      <c r="J3" s="273"/>
    </row>
    <row r="4" spans="1:11">
      <c r="A4" s="238" t="s">
        <v>568</v>
      </c>
      <c r="B4" s="238" t="s">
        <v>576</v>
      </c>
      <c r="C4" s="238" t="s">
        <v>172</v>
      </c>
      <c r="D4" s="238" t="s">
        <v>572</v>
      </c>
      <c r="E4" s="238" t="s">
        <v>573</v>
      </c>
      <c r="F4" s="238"/>
      <c r="G4" s="235"/>
      <c r="I4" s="1" t="s">
        <v>574</v>
      </c>
      <c r="J4" s="1" t="s">
        <v>492</v>
      </c>
    </row>
    <row r="5" spans="1:11">
      <c r="A5" s="256">
        <v>1</v>
      </c>
      <c r="B5" s="235" t="s">
        <v>569</v>
      </c>
      <c r="C5" s="259">
        <v>0.15</v>
      </c>
      <c r="D5" s="259">
        <v>0.1</v>
      </c>
      <c r="E5" s="260">
        <v>0.11</v>
      </c>
      <c r="F5" s="259"/>
      <c r="G5" s="235">
        <v>0.25</v>
      </c>
      <c r="I5" s="188">
        <f>D5+E5</f>
        <v>0.21000000000000002</v>
      </c>
      <c r="J5" s="188">
        <f>C5+I5</f>
        <v>0.36</v>
      </c>
    </row>
    <row r="6" spans="1:11">
      <c r="A6" s="256">
        <v>2</v>
      </c>
      <c r="B6" s="235" t="s">
        <v>570</v>
      </c>
      <c r="C6" s="259">
        <v>0.1</v>
      </c>
      <c r="D6" s="259">
        <v>7.0000000000000007E-2</v>
      </c>
      <c r="E6" s="259">
        <v>-0.06</v>
      </c>
      <c r="F6" s="259"/>
      <c r="G6" s="235">
        <v>0.05</v>
      </c>
      <c r="I6" s="188">
        <f>D6+E6</f>
        <v>1.0000000000000009E-2</v>
      </c>
      <c r="J6" s="188">
        <f>C6+I6</f>
        <v>0.11000000000000001</v>
      </c>
    </row>
    <row r="7" spans="1:11">
      <c r="A7" s="256">
        <v>3</v>
      </c>
      <c r="B7" s="235" t="s">
        <v>575</v>
      </c>
      <c r="C7" s="259">
        <v>0.45</v>
      </c>
      <c r="D7" s="259">
        <v>-0.11</v>
      </c>
      <c r="E7" s="260">
        <v>0.04</v>
      </c>
      <c r="F7" s="259"/>
      <c r="G7" s="235">
        <v>0.3</v>
      </c>
      <c r="I7" s="188">
        <f>D7+E7</f>
        <v>-7.0000000000000007E-2</v>
      </c>
      <c r="J7" s="188">
        <f>C7+I7</f>
        <v>0.38</v>
      </c>
    </row>
    <row r="8" spans="1:11">
      <c r="A8" s="256">
        <v>4</v>
      </c>
      <c r="B8" s="235" t="s">
        <v>571</v>
      </c>
      <c r="C8" s="259">
        <v>0.3</v>
      </c>
      <c r="D8" s="259">
        <v>-0.06</v>
      </c>
      <c r="E8" s="259">
        <v>-0.09</v>
      </c>
      <c r="F8" s="259"/>
      <c r="G8" s="235">
        <v>-0.02</v>
      </c>
      <c r="I8" s="188">
        <f>D8+E8</f>
        <v>-0.15</v>
      </c>
      <c r="J8" s="188">
        <f>C8+I8</f>
        <v>0.15</v>
      </c>
    </row>
    <row r="9" spans="1:11">
      <c r="C9" s="188"/>
      <c r="D9" s="188"/>
      <c r="F9" s="188"/>
    </row>
    <row r="10" spans="1:11">
      <c r="A10" t="s">
        <v>7</v>
      </c>
      <c r="C10" s="188">
        <f>SUM(C5:C8)</f>
        <v>1</v>
      </c>
      <c r="D10" s="188">
        <f>SUM(D5:D8)</f>
        <v>0</v>
      </c>
      <c r="E10" s="188">
        <f>SUM(E5:E8)</f>
        <v>0</v>
      </c>
      <c r="I10" s="188">
        <f>SUM(I5:I8)</f>
        <v>0</v>
      </c>
      <c r="J10" s="188">
        <f>SUM(J5:J8)</f>
        <v>1</v>
      </c>
    </row>
    <row r="12" spans="1:11">
      <c r="A12" s="1" t="s">
        <v>212</v>
      </c>
      <c r="B12" s="1"/>
      <c r="C12" s="197">
        <f>SUMPRODUCT(C5:C8,G5:G8)</f>
        <v>0.17149999999999999</v>
      </c>
      <c r="D12" s="197">
        <f>SUMPRODUCT(D5:D8,G5:G8)</f>
        <v>-3.3000000000000008E-3</v>
      </c>
      <c r="E12" s="197">
        <f>SUMPRODUCT(E5:E8,G5:G8)</f>
        <v>3.8300000000000008E-2</v>
      </c>
      <c r="I12" s="197">
        <f>SUMPRODUCT(I5:I8,G5:G8)</f>
        <v>3.5000000000000003E-2</v>
      </c>
      <c r="J12" s="197">
        <f>SUMPRODUCT(J5:J8,G5:G8)</f>
        <v>0.20649999999999999</v>
      </c>
      <c r="K12" t="s">
        <v>837</v>
      </c>
    </row>
    <row r="13" spans="1:11">
      <c r="J13" s="197">
        <f>SUM(C12:E12)</f>
        <v>0.20649999999999999</v>
      </c>
      <c r="K13" t="s">
        <v>838</v>
      </c>
    </row>
  </sheetData>
  <mergeCells count="2">
    <mergeCell ref="C3:E3"/>
    <mergeCell ref="I3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"/>
  <sheetViews>
    <sheetView workbookViewId="0">
      <selection activeCell="G10" sqref="G10"/>
    </sheetView>
  </sheetViews>
  <sheetFormatPr defaultRowHeight="14.5"/>
  <cols>
    <col min="1" max="1" width="10.7265625" customWidth="1"/>
    <col min="2" max="2" width="15.26953125" customWidth="1"/>
    <col min="3" max="3" width="14.54296875" bestFit="1" customWidth="1"/>
    <col min="4" max="4" width="6.1796875" customWidth="1"/>
    <col min="5" max="5" width="8.81640625" customWidth="1"/>
    <col min="6" max="6" width="11.1796875" customWidth="1"/>
    <col min="7" max="7" width="12.54296875" bestFit="1" customWidth="1"/>
  </cols>
  <sheetData>
    <row r="1" spans="1:8" ht="21">
      <c r="A1" s="254" t="s">
        <v>848</v>
      </c>
      <c r="B1" s="235"/>
      <c r="C1" s="235"/>
      <c r="D1" s="235"/>
      <c r="E1" s="235"/>
      <c r="F1" s="235"/>
      <c r="G1" s="235"/>
    </row>
    <row r="2" spans="1:8" ht="13.5" customHeight="1">
      <c r="A2" s="263"/>
    </row>
    <row r="3" spans="1:8" ht="16.5">
      <c r="A3" s="1" t="s">
        <v>845</v>
      </c>
      <c r="B3" s="1" t="s">
        <v>841</v>
      </c>
      <c r="C3" s="1" t="s">
        <v>842</v>
      </c>
      <c r="E3" s="262" t="s">
        <v>11</v>
      </c>
      <c r="F3" s="262" t="s">
        <v>12</v>
      </c>
      <c r="G3" s="1" t="s">
        <v>841</v>
      </c>
      <c r="H3" s="1" t="s">
        <v>842</v>
      </c>
    </row>
    <row r="4" spans="1:8">
      <c r="A4">
        <v>0.14000000000000001</v>
      </c>
      <c r="B4">
        <f>A4-$A$11</f>
        <v>4.4000000000000011E-2</v>
      </c>
      <c r="C4">
        <f>B4^2</f>
        <v>1.9360000000000011E-3</v>
      </c>
      <c r="E4" s="261">
        <v>0.14000000000000001</v>
      </c>
      <c r="F4" s="261">
        <v>0.8</v>
      </c>
      <c r="G4">
        <f>E4-$G$7</f>
        <v>4.3999999999999997E-2</v>
      </c>
      <c r="H4">
        <f>G4^2</f>
        <v>1.9359999999999998E-3</v>
      </c>
    </row>
    <row r="5" spans="1:8">
      <c r="A5">
        <v>0.14000000000000001</v>
      </c>
      <c r="B5">
        <f>A5-$A$11</f>
        <v>4.4000000000000011E-2</v>
      </c>
      <c r="C5">
        <f t="shared" ref="C5:C8" si="0">B5^2</f>
        <v>1.9360000000000011E-3</v>
      </c>
      <c r="E5" s="261">
        <v>-0.08</v>
      </c>
      <c r="F5" s="261">
        <v>0.2</v>
      </c>
      <c r="G5">
        <f>E5-$G$7</f>
        <v>-0.17600000000000002</v>
      </c>
      <c r="H5">
        <f>G5^2</f>
        <v>3.0976000000000007E-2</v>
      </c>
    </row>
    <row r="6" spans="1:8">
      <c r="A6">
        <v>0.14000000000000001</v>
      </c>
      <c r="B6">
        <f>A6-$A$11</f>
        <v>4.4000000000000011E-2</v>
      </c>
      <c r="C6">
        <f t="shared" si="0"/>
        <v>1.9360000000000011E-3</v>
      </c>
    </row>
    <row r="7" spans="1:8">
      <c r="A7">
        <v>-0.08</v>
      </c>
      <c r="B7">
        <f>A7-$A$11</f>
        <v>-0.17599999999999999</v>
      </c>
      <c r="C7">
        <f t="shared" si="0"/>
        <v>3.0975999999999997E-2</v>
      </c>
      <c r="E7" s="1" t="s">
        <v>13</v>
      </c>
      <c r="G7">
        <f>SUMPRODUCT(E4:E5,F4:F5)</f>
        <v>9.6000000000000016E-2</v>
      </c>
    </row>
    <row r="8" spans="1:8">
      <c r="A8">
        <v>0.14000000000000001</v>
      </c>
      <c r="B8">
        <f>A8-$A$11</f>
        <v>4.4000000000000011E-2</v>
      </c>
      <c r="C8">
        <f t="shared" si="0"/>
        <v>1.9360000000000011E-3</v>
      </c>
      <c r="E8" s="225" t="s">
        <v>14</v>
      </c>
      <c r="G8">
        <f>SUMPRODUCT(F4:F5,G4:G5)</f>
        <v>0</v>
      </c>
    </row>
    <row r="9" spans="1:8" ht="16.5">
      <c r="E9" s="1" t="s">
        <v>843</v>
      </c>
      <c r="G9">
        <f>SUMPRODUCT(F4:F5,H4:H5)</f>
        <v>7.7440000000000009E-3</v>
      </c>
      <c r="H9" t="s">
        <v>15</v>
      </c>
    </row>
    <row r="10" spans="1:8">
      <c r="A10" s="1" t="s">
        <v>13</v>
      </c>
      <c r="B10" s="1" t="s">
        <v>14</v>
      </c>
      <c r="C10" s="1" t="s">
        <v>846</v>
      </c>
      <c r="E10" s="1" t="s">
        <v>16</v>
      </c>
      <c r="G10">
        <f>SQRT(G9)</f>
        <v>8.8000000000000009E-2</v>
      </c>
    </row>
    <row r="11" spans="1:8">
      <c r="A11">
        <f>AVERAGE(A4:A8)</f>
        <v>9.6000000000000002E-2</v>
      </c>
      <c r="B11" s="2">
        <f>AVERAGE(B4:B8)</f>
        <v>1.1102230246251566E-17</v>
      </c>
      <c r="C11">
        <f>AVERAGE(C4:C8)</f>
        <v>7.7439999999999991E-3</v>
      </c>
    </row>
    <row r="12" spans="1:8" ht="17.25" customHeight="1">
      <c r="C12" s="1" t="s">
        <v>16</v>
      </c>
    </row>
    <row r="13" spans="1:8">
      <c r="C13">
        <f>SQRT(C11)</f>
        <v>8.7999999999999995E-2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1359F-80A6-4101-BE84-4876907C7950}">
  <dimension ref="A1:H18"/>
  <sheetViews>
    <sheetView workbookViewId="0">
      <selection activeCell="D18" sqref="D18"/>
    </sheetView>
  </sheetViews>
  <sheetFormatPr defaultRowHeight="14.5"/>
  <cols>
    <col min="3" max="3" width="12.54296875" bestFit="1" customWidth="1"/>
    <col min="4" max="4" width="14.54296875" bestFit="1" customWidth="1"/>
  </cols>
  <sheetData>
    <row r="1" spans="1:8" ht="21">
      <c r="A1" s="254" t="s">
        <v>849</v>
      </c>
      <c r="B1" s="235"/>
      <c r="C1" s="235"/>
      <c r="D1" s="235"/>
      <c r="E1" s="235"/>
      <c r="F1" s="235"/>
      <c r="G1" s="235"/>
      <c r="H1" s="235"/>
    </row>
    <row r="3" spans="1:8" ht="16.5">
      <c r="B3" s="238" t="s">
        <v>847</v>
      </c>
      <c r="C3" s="1" t="s">
        <v>841</v>
      </c>
      <c r="D3" s="1" t="s">
        <v>842</v>
      </c>
    </row>
    <row r="4" spans="1:8">
      <c r="B4" s="235">
        <v>0.14000000000000001</v>
      </c>
      <c r="C4">
        <f>B4-$B$15</f>
        <v>6.6000000000000003E-2</v>
      </c>
      <c r="D4">
        <f>C4^2</f>
        <v>4.3560000000000005E-3</v>
      </c>
    </row>
    <row r="5" spans="1:8">
      <c r="B5" s="235">
        <v>0.14000000000000001</v>
      </c>
      <c r="C5">
        <f t="shared" ref="C5:C13" si="0">B5-$B$15</f>
        <v>6.6000000000000003E-2</v>
      </c>
      <c r="D5">
        <f t="shared" ref="D5:D13" si="1">C5^2</f>
        <v>4.3560000000000005E-3</v>
      </c>
    </row>
    <row r="6" spans="1:8">
      <c r="B6" s="235">
        <v>-0.08</v>
      </c>
      <c r="C6">
        <f t="shared" si="0"/>
        <v>-0.15400000000000003</v>
      </c>
      <c r="D6">
        <f t="shared" si="1"/>
        <v>2.3716000000000008E-2</v>
      </c>
    </row>
    <row r="7" spans="1:8">
      <c r="B7" s="235">
        <v>0.14000000000000001</v>
      </c>
      <c r="C7">
        <f t="shared" si="0"/>
        <v>6.6000000000000003E-2</v>
      </c>
      <c r="D7">
        <f t="shared" si="1"/>
        <v>4.3560000000000005E-3</v>
      </c>
    </row>
    <row r="8" spans="1:8">
      <c r="B8" s="235">
        <v>0.14000000000000001</v>
      </c>
      <c r="C8">
        <f t="shared" si="0"/>
        <v>6.6000000000000003E-2</v>
      </c>
      <c r="D8">
        <f t="shared" si="1"/>
        <v>4.3560000000000005E-3</v>
      </c>
    </row>
    <row r="9" spans="1:8">
      <c r="B9" s="235">
        <v>-0.08</v>
      </c>
      <c r="C9">
        <f t="shared" si="0"/>
        <v>-0.15400000000000003</v>
      </c>
      <c r="D9">
        <f t="shared" si="1"/>
        <v>2.3716000000000008E-2</v>
      </c>
    </row>
    <row r="10" spans="1:8">
      <c r="B10" s="235">
        <v>0.14000000000000001</v>
      </c>
      <c r="C10">
        <f t="shared" si="0"/>
        <v>6.6000000000000003E-2</v>
      </c>
      <c r="D10">
        <f t="shared" si="1"/>
        <v>4.3560000000000005E-3</v>
      </c>
    </row>
    <row r="11" spans="1:8">
      <c r="B11" s="235">
        <v>-0.08</v>
      </c>
      <c r="C11">
        <f t="shared" si="0"/>
        <v>-0.15400000000000003</v>
      </c>
      <c r="D11">
        <f t="shared" si="1"/>
        <v>2.3716000000000008E-2</v>
      </c>
    </row>
    <row r="12" spans="1:8">
      <c r="B12" s="235">
        <v>0.14000000000000001</v>
      </c>
      <c r="C12">
        <f t="shared" si="0"/>
        <v>6.6000000000000003E-2</v>
      </c>
      <c r="D12">
        <f t="shared" si="1"/>
        <v>4.3560000000000005E-3</v>
      </c>
    </row>
    <row r="13" spans="1:8">
      <c r="B13" s="235">
        <v>0.14000000000000001</v>
      </c>
      <c r="C13">
        <f t="shared" si="0"/>
        <v>6.6000000000000003E-2</v>
      </c>
      <c r="D13">
        <f t="shared" si="1"/>
        <v>4.3560000000000005E-3</v>
      </c>
    </row>
    <row r="15" spans="1:8">
      <c r="A15" t="s">
        <v>13</v>
      </c>
      <c r="B15">
        <f>AVERAGE(B4:B13)</f>
        <v>7.400000000000001E-2</v>
      </c>
      <c r="D15" s="1" t="s">
        <v>457</v>
      </c>
    </row>
    <row r="16" spans="1:8">
      <c r="D16" s="14">
        <f>AVERAGE(D4:D13)</f>
        <v>1.0164000000000003E-2</v>
      </c>
    </row>
    <row r="17" spans="4:4">
      <c r="D17" s="1" t="s">
        <v>16</v>
      </c>
    </row>
    <row r="18" spans="4:4">
      <c r="D18" s="14">
        <f>SQRT(D16)</f>
        <v>0.1008166652890285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6"/>
  <sheetViews>
    <sheetView workbookViewId="0">
      <selection activeCell="B16" sqref="B16"/>
    </sheetView>
  </sheetViews>
  <sheetFormatPr defaultRowHeight="14.5"/>
  <cols>
    <col min="2" max="2" width="9.453125" bestFit="1" customWidth="1"/>
  </cols>
  <sheetData>
    <row r="1" spans="1:12" ht="21">
      <c r="A1" s="254" t="s">
        <v>844</v>
      </c>
      <c r="B1" s="235"/>
      <c r="C1" s="235"/>
      <c r="D1" s="235"/>
      <c r="E1" s="235"/>
      <c r="F1" s="235"/>
      <c r="G1" s="235"/>
      <c r="H1" s="235"/>
      <c r="I1" s="235"/>
      <c r="J1" s="235"/>
      <c r="K1" s="235"/>
      <c r="L1" s="235"/>
    </row>
    <row r="3" spans="1:12">
      <c r="B3" s="238" t="s">
        <v>847</v>
      </c>
    </row>
    <row r="4" spans="1:12">
      <c r="B4" s="235">
        <v>0.14000000000000001</v>
      </c>
    </row>
    <row r="5" spans="1:12">
      <c r="B5" s="235">
        <v>0.14000000000000001</v>
      </c>
    </row>
    <row r="6" spans="1:12">
      <c r="B6" s="235">
        <v>-0.08</v>
      </c>
    </row>
    <row r="7" spans="1:12">
      <c r="B7" s="235">
        <v>0.14000000000000001</v>
      </c>
    </row>
    <row r="8" spans="1:12">
      <c r="B8" s="235">
        <v>0.14000000000000001</v>
      </c>
    </row>
    <row r="9" spans="1:12">
      <c r="B9" s="235">
        <v>-0.08</v>
      </c>
    </row>
    <row r="10" spans="1:12">
      <c r="B10" s="235">
        <v>0.14000000000000001</v>
      </c>
    </row>
    <row r="11" spans="1:12">
      <c r="B11" s="235">
        <v>-0.08</v>
      </c>
    </row>
    <row r="12" spans="1:12">
      <c r="B12" s="235">
        <v>0.14000000000000001</v>
      </c>
    </row>
    <row r="13" spans="1:12">
      <c r="B13" s="235">
        <v>0.14000000000000001</v>
      </c>
    </row>
    <row r="15" spans="1:12">
      <c r="A15" s="1" t="s">
        <v>851</v>
      </c>
      <c r="B15" s="14">
        <f>VARP(B4:B13)</f>
        <v>1.0164000000000005E-2</v>
      </c>
    </row>
    <row r="16" spans="1:12">
      <c r="A16" s="1" t="s">
        <v>850</v>
      </c>
      <c r="B16" s="14">
        <f>STDEVP(B4:B13)</f>
        <v>0.10081666528902851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66"/>
  <sheetViews>
    <sheetView workbookViewId="0"/>
  </sheetViews>
  <sheetFormatPr defaultRowHeight="14.5"/>
  <cols>
    <col min="1" max="1" width="12" customWidth="1"/>
  </cols>
  <sheetData>
    <row r="1" spans="1:12" ht="21">
      <c r="A1" s="254" t="s">
        <v>852</v>
      </c>
      <c r="B1" s="235"/>
      <c r="C1" s="235"/>
      <c r="D1" s="235"/>
      <c r="E1" s="235"/>
      <c r="F1" s="235"/>
      <c r="G1" s="235"/>
      <c r="H1" s="235"/>
      <c r="I1" s="235"/>
      <c r="J1" s="235"/>
      <c r="K1" s="235"/>
    </row>
    <row r="3" spans="1:12">
      <c r="J3" s="1" t="s">
        <v>17</v>
      </c>
      <c r="K3" s="1"/>
      <c r="L3" s="1" t="s">
        <v>18</v>
      </c>
    </row>
    <row r="4" spans="1:12">
      <c r="J4" s="1" t="s">
        <v>19</v>
      </c>
      <c r="K4" s="1"/>
      <c r="L4" s="1" t="s">
        <v>20</v>
      </c>
    </row>
    <row r="5" spans="1:12">
      <c r="J5" s="1" t="s">
        <v>853</v>
      </c>
      <c r="L5" s="1" t="s">
        <v>21</v>
      </c>
    </row>
    <row r="6" spans="1:12">
      <c r="A6" s="265" t="s">
        <v>533</v>
      </c>
      <c r="B6" s="266" t="s">
        <v>22</v>
      </c>
      <c r="C6" s="266" t="s">
        <v>23</v>
      </c>
    </row>
    <row r="7" spans="1:12">
      <c r="A7" s="264">
        <v>43861</v>
      </c>
      <c r="B7" s="235">
        <v>-0.1019076350159791</v>
      </c>
      <c r="C7" s="235">
        <v>-0.1238454863147032</v>
      </c>
      <c r="E7" s="267" t="s">
        <v>854</v>
      </c>
      <c r="G7" s="1" t="s">
        <v>22</v>
      </c>
      <c r="H7" s="1" t="s">
        <v>23</v>
      </c>
      <c r="J7">
        <f>0.6*B7+0.4*C7</f>
        <v>-0.11068277553546874</v>
      </c>
      <c r="L7">
        <f>0.8*C7+0.2*0.001</f>
        <v>-9.8876389051762562E-2</v>
      </c>
    </row>
    <row r="8" spans="1:12">
      <c r="A8" s="264">
        <v>43889</v>
      </c>
      <c r="B8" s="235">
        <v>-8.7724894094193817E-2</v>
      </c>
      <c r="C8" s="235">
        <v>-0.11530760294031039</v>
      </c>
      <c r="F8" s="1" t="s">
        <v>13</v>
      </c>
      <c r="G8">
        <f>AVERAGE(B7:B66)</f>
        <v>7.1188375377518823E-3</v>
      </c>
      <c r="H8">
        <f>AVERAGE(C7:C66)</f>
        <v>1.1886764078454485E-2</v>
      </c>
      <c r="J8">
        <f t="shared" ref="J8:J66" si="0">0.6*B8+0.4*C8</f>
        <v>-9.8757977632640451E-2</v>
      </c>
      <c r="L8">
        <f t="shared" ref="L8:L66" si="1">0.8*C8+0.2*0.001</f>
        <v>-9.2046082352248315E-2</v>
      </c>
    </row>
    <row r="9" spans="1:12">
      <c r="A9" s="264">
        <v>43921</v>
      </c>
      <c r="B9" s="235">
        <v>-0.37088632489838719</v>
      </c>
      <c r="C9" s="235">
        <v>-0.33016330248024922</v>
      </c>
      <c r="F9" s="1" t="s">
        <v>24</v>
      </c>
      <c r="G9">
        <f>VARP(B7:B66)</f>
        <v>1.8205471704822996E-2</v>
      </c>
      <c r="H9">
        <f>VARP(C7:C66)</f>
        <v>1.5879780489652055E-2</v>
      </c>
      <c r="J9">
        <f t="shared" si="0"/>
        <v>-0.35459711593113197</v>
      </c>
      <c r="L9">
        <f t="shared" si="1"/>
        <v>-0.26393064198419941</v>
      </c>
    </row>
    <row r="10" spans="1:12">
      <c r="A10" s="264">
        <v>43951</v>
      </c>
      <c r="B10" s="235">
        <v>0.15319242547919651</v>
      </c>
      <c r="C10" s="235">
        <v>0.18123997741389039</v>
      </c>
      <c r="F10" s="1" t="s">
        <v>25</v>
      </c>
      <c r="G10">
        <f>STDEVP(B7:B66)</f>
        <v>0.1349276535956325</v>
      </c>
      <c r="H10">
        <f>STDEVP(C7:C66)</f>
        <v>0.12601500105008157</v>
      </c>
      <c r="J10">
        <f t="shared" si="0"/>
        <v>0.16441144625307408</v>
      </c>
      <c r="L10">
        <f t="shared" si="1"/>
        <v>0.14519198193111232</v>
      </c>
    </row>
    <row r="11" spans="1:12">
      <c r="A11" s="264">
        <v>43980</v>
      </c>
      <c r="B11" s="235">
        <v>-2.1616574380393438E-2</v>
      </c>
      <c r="C11" s="235">
        <v>5.3098123496636777E-2</v>
      </c>
      <c r="J11">
        <f t="shared" si="0"/>
        <v>8.2693047704186489E-3</v>
      </c>
      <c r="L11">
        <f t="shared" si="1"/>
        <v>4.2678498797309422E-2</v>
      </c>
    </row>
    <row r="12" spans="1:12">
      <c r="A12" s="264">
        <v>44012</v>
      </c>
      <c r="B12" s="235">
        <v>0.11387274042679831</v>
      </c>
      <c r="C12" s="235">
        <v>3.3121264280163487E-2</v>
      </c>
      <c r="E12" s="267" t="s">
        <v>855</v>
      </c>
      <c r="G12" s="1" t="s">
        <v>17</v>
      </c>
      <c r="J12">
        <f t="shared" si="0"/>
        <v>8.1572149968144381E-2</v>
      </c>
      <c r="L12">
        <f t="shared" si="1"/>
        <v>2.6697011424130789E-2</v>
      </c>
    </row>
    <row r="13" spans="1:12">
      <c r="A13" s="264">
        <v>44043</v>
      </c>
      <c r="B13" s="235">
        <v>9.5077526878748486E-2</v>
      </c>
      <c r="C13" s="235">
        <v>-4.5001282939019838E-2</v>
      </c>
      <c r="F13" s="1" t="s">
        <v>13</v>
      </c>
      <c r="G13">
        <f>AVERAGE(J7:J66)</f>
        <v>9.0260081540329273E-3</v>
      </c>
      <c r="J13">
        <f t="shared" si="0"/>
        <v>3.9046002951641151E-2</v>
      </c>
      <c r="L13">
        <f t="shared" si="1"/>
        <v>-3.5801026351215876E-2</v>
      </c>
    </row>
    <row r="14" spans="1:12">
      <c r="A14" s="264">
        <v>44074</v>
      </c>
      <c r="B14" s="235">
        <v>6.4540689701589216E-2</v>
      </c>
      <c r="C14" s="235">
        <v>1.619433198378761E-4</v>
      </c>
      <c r="F14" s="1" t="s">
        <v>24</v>
      </c>
      <c r="G14">
        <f>VARP(J7:J66)</f>
        <v>1.3792310905905464E-2</v>
      </c>
      <c r="J14">
        <f t="shared" si="0"/>
        <v>3.878919114888868E-2</v>
      </c>
      <c r="L14">
        <f t="shared" si="1"/>
        <v>3.2955465587030091E-4</v>
      </c>
    </row>
    <row r="15" spans="1:12">
      <c r="A15" s="264">
        <v>44104</v>
      </c>
      <c r="B15" s="235">
        <v>-0.11378319746788421</v>
      </c>
      <c r="C15" s="235">
        <v>-9.1420601742816632E-2</v>
      </c>
      <c r="F15" s="1" t="s">
        <v>25</v>
      </c>
      <c r="G15">
        <f>STDEVP(J7:J66)</f>
        <v>0.11744066972691132</v>
      </c>
      <c r="J15">
        <f t="shared" si="0"/>
        <v>-0.10483815917785719</v>
      </c>
      <c r="L15">
        <f t="shared" si="1"/>
        <v>-7.2936481394253308E-2</v>
      </c>
    </row>
    <row r="16" spans="1:12">
      <c r="A16" s="264">
        <v>44134</v>
      </c>
      <c r="B16" s="235">
        <v>0.33985214514388651</v>
      </c>
      <c r="C16" s="235">
        <v>0.10438191825873511</v>
      </c>
      <c r="J16">
        <f t="shared" si="0"/>
        <v>0.24566405438982597</v>
      </c>
      <c r="L16">
        <f t="shared" si="1"/>
        <v>8.3705534606988097E-2</v>
      </c>
    </row>
    <row r="17" spans="1:12">
      <c r="A17" s="264">
        <v>44165</v>
      </c>
      <c r="B17" s="235">
        <v>0.22536223684998699</v>
      </c>
      <c r="C17" s="235">
        <v>0.20628004972989639</v>
      </c>
      <c r="E17" s="267" t="s">
        <v>856</v>
      </c>
      <c r="G17">
        <f>0.6*G8+0.4*H8</f>
        <v>9.0260081540329239E-3</v>
      </c>
      <c r="J17">
        <f t="shared" si="0"/>
        <v>0.21772936200195075</v>
      </c>
      <c r="L17">
        <f t="shared" si="1"/>
        <v>0.16522403978391711</v>
      </c>
    </row>
    <row r="18" spans="1:12">
      <c r="A18" s="264">
        <v>44196</v>
      </c>
      <c r="B18" s="235">
        <v>-8.8641387888564793E-2</v>
      </c>
      <c r="C18" s="235">
        <v>0.125677976407637</v>
      </c>
      <c r="J18">
        <f t="shared" si="0"/>
        <v>-2.9136421700840728E-3</v>
      </c>
      <c r="L18">
        <f t="shared" si="1"/>
        <v>0.10074238112610961</v>
      </c>
    </row>
    <row r="19" spans="1:12">
      <c r="A19" s="264">
        <v>44225</v>
      </c>
      <c r="B19" s="235">
        <v>9.2369813007524559E-2</v>
      </c>
      <c r="C19" s="235">
        <v>1.6115789530543712E-2</v>
      </c>
      <c r="E19" s="267" t="s">
        <v>857</v>
      </c>
      <c r="G19" s="1" t="s">
        <v>18</v>
      </c>
      <c r="J19">
        <f t="shared" si="0"/>
        <v>6.1868203616732217E-2</v>
      </c>
      <c r="L19">
        <f t="shared" si="1"/>
        <v>1.3092631624434971E-2</v>
      </c>
    </row>
    <row r="20" spans="1:12">
      <c r="A20" s="264">
        <v>44253</v>
      </c>
      <c r="B20" s="235">
        <v>-0.11025119212596721</v>
      </c>
      <c r="C20" s="235">
        <v>0.2126626353910557</v>
      </c>
      <c r="F20" s="1" t="s">
        <v>13</v>
      </c>
      <c r="G20">
        <f>AVERAGE(L7:L66)</f>
        <v>9.7094112627635898E-3</v>
      </c>
      <c r="J20">
        <f t="shared" si="0"/>
        <v>1.8914338880841972E-2</v>
      </c>
      <c r="L20">
        <f t="shared" si="1"/>
        <v>0.17033010831284459</v>
      </c>
    </row>
    <row r="21" spans="1:12">
      <c r="A21" s="264">
        <v>44286</v>
      </c>
      <c r="B21" s="235">
        <v>0.1288612539359881</v>
      </c>
      <c r="C21" s="235">
        <v>3.3664742215617549E-2</v>
      </c>
      <c r="F21" s="1" t="s">
        <v>24</v>
      </c>
      <c r="G21">
        <f>VARP(L7:L66)</f>
        <v>1.0163059513377322E-2</v>
      </c>
      <c r="J21">
        <f t="shared" si="0"/>
        <v>9.0782649247839881E-2</v>
      </c>
      <c r="L21">
        <f t="shared" si="1"/>
        <v>2.7131793772494039E-2</v>
      </c>
    </row>
    <row r="22" spans="1:12">
      <c r="A22" s="264">
        <v>44316</v>
      </c>
      <c r="B22" s="235">
        <v>0.20623271933207649</v>
      </c>
      <c r="C22" s="235">
        <v>1.5284365968112329E-2</v>
      </c>
      <c r="F22" s="1" t="s">
        <v>25</v>
      </c>
      <c r="G22">
        <f>STDEVP(L7:L66)</f>
        <v>0.10081200084006528</v>
      </c>
      <c r="J22">
        <f t="shared" si="0"/>
        <v>0.12985337798649083</v>
      </c>
      <c r="L22">
        <f t="shared" si="1"/>
        <v>1.2427492774489865E-2</v>
      </c>
    </row>
    <row r="23" spans="1:12">
      <c r="A23" s="264">
        <v>44344</v>
      </c>
      <c r="B23" s="235">
        <v>2.0670182248860862E-3</v>
      </c>
      <c r="C23" s="235">
        <v>4.3448113099179057E-2</v>
      </c>
      <c r="J23">
        <f t="shared" si="0"/>
        <v>1.8619456174603276E-2</v>
      </c>
      <c r="L23">
        <f t="shared" si="1"/>
        <v>3.4958490479343247E-2</v>
      </c>
    </row>
    <row r="24" spans="1:12">
      <c r="A24" s="264">
        <v>44377</v>
      </c>
      <c r="B24" s="235">
        <v>-5.1694694361804287E-2</v>
      </c>
      <c r="C24" s="235">
        <v>-8.673269229229541E-2</v>
      </c>
      <c r="E24" s="267" t="s">
        <v>858</v>
      </c>
      <c r="G24" s="1" t="s">
        <v>18</v>
      </c>
      <c r="J24">
        <f t="shared" si="0"/>
        <v>-6.5709893534000738E-2</v>
      </c>
      <c r="L24">
        <f t="shared" si="1"/>
        <v>-6.918615383383632E-2</v>
      </c>
    </row>
    <row r="25" spans="1:12">
      <c r="A25" s="264">
        <v>44407</v>
      </c>
      <c r="B25" s="235">
        <v>-0.13531265549842431</v>
      </c>
      <c r="C25" s="235">
        <v>-1.3430585264929681E-2</v>
      </c>
      <c r="F25" s="1" t="s">
        <v>13</v>
      </c>
      <c r="G25">
        <f>0.8*H8+0.2*0.001</f>
        <v>9.7094112627635898E-3</v>
      </c>
      <c r="J25">
        <f t="shared" si="0"/>
        <v>-8.6559827405026449E-2</v>
      </c>
      <c r="L25">
        <f>0.8*C25+0.2*0.001</f>
        <v>-1.0544468211943745E-2</v>
      </c>
    </row>
    <row r="26" spans="1:12">
      <c r="A26" s="264">
        <v>44439</v>
      </c>
      <c r="B26" s="235">
        <v>-2.2717058894455851E-3</v>
      </c>
      <c r="C26" s="235">
        <v>0.1177978602402787</v>
      </c>
      <c r="F26" s="1" t="s">
        <v>24</v>
      </c>
      <c r="G26">
        <f>0.8^2*H9</f>
        <v>1.0163059513377317E-2</v>
      </c>
      <c r="J26">
        <f t="shared" si="0"/>
        <v>4.575612056244413E-2</v>
      </c>
      <c r="L26">
        <f t="shared" si="1"/>
        <v>9.4438288192222969E-2</v>
      </c>
    </row>
    <row r="27" spans="1:12">
      <c r="A27" s="264">
        <v>44469</v>
      </c>
      <c r="B27" s="235">
        <v>-7.01273019404276E-2</v>
      </c>
      <c r="C27" s="235">
        <v>6.8911103603155999E-2</v>
      </c>
      <c r="F27" s="1" t="s">
        <v>25</v>
      </c>
      <c r="G27">
        <f>0.8*H10</f>
        <v>0.10081200084006525</v>
      </c>
      <c r="J27">
        <f t="shared" si="0"/>
        <v>-1.4511939722994156E-2</v>
      </c>
      <c r="L27">
        <f t="shared" si="1"/>
        <v>5.5328882882524799E-2</v>
      </c>
    </row>
    <row r="28" spans="1:12">
      <c r="A28" s="264">
        <v>44498</v>
      </c>
      <c r="B28" s="235">
        <v>-3.2756186459200749E-3</v>
      </c>
      <c r="C28" s="235">
        <v>1.7774670722365601E-2</v>
      </c>
      <c r="J28">
        <f t="shared" si="0"/>
        <v>5.1444971013941956E-3</v>
      </c>
      <c r="L28">
        <f t="shared" si="1"/>
        <v>1.4419736577892481E-2</v>
      </c>
    </row>
    <row r="29" spans="1:12">
      <c r="A29" s="264">
        <v>44530</v>
      </c>
      <c r="B29" s="235">
        <v>3.834608078754576E-3</v>
      </c>
      <c r="C29" s="235">
        <v>7.2688544475378869E-3</v>
      </c>
      <c r="J29">
        <f t="shared" si="0"/>
        <v>5.2083066262679006E-3</v>
      </c>
      <c r="L29">
        <f t="shared" si="1"/>
        <v>6.0150835580303095E-3</v>
      </c>
    </row>
    <row r="30" spans="1:12">
      <c r="A30" s="264">
        <v>44561</v>
      </c>
      <c r="B30" s="235">
        <v>3.2965605599459158E-2</v>
      </c>
      <c r="C30" s="235">
        <v>1.2695349693407909E-3</v>
      </c>
      <c r="J30">
        <f t="shared" si="0"/>
        <v>2.0287177347411811E-2</v>
      </c>
      <c r="L30">
        <f t="shared" si="1"/>
        <v>1.2156279754726329E-3</v>
      </c>
    </row>
    <row r="31" spans="1:12">
      <c r="A31" s="264">
        <v>44592</v>
      </c>
      <c r="B31" s="235">
        <v>-8.2780340312190948E-2</v>
      </c>
      <c r="C31" s="235">
        <v>7.3780572848647585E-2</v>
      </c>
      <c r="J31">
        <f t="shared" si="0"/>
        <v>-2.0155975047855532E-2</v>
      </c>
      <c r="L31">
        <f t="shared" si="1"/>
        <v>5.922445827891807E-2</v>
      </c>
    </row>
    <row r="32" spans="1:12">
      <c r="A32" s="264">
        <v>44620</v>
      </c>
      <c r="B32" s="235">
        <v>0.19928461931527841</v>
      </c>
      <c r="C32" s="235">
        <v>5.064134571266643E-2</v>
      </c>
      <c r="J32">
        <f t="shared" si="0"/>
        <v>0.13982730987423361</v>
      </c>
      <c r="L32">
        <f t="shared" si="1"/>
        <v>4.0713076570133143E-2</v>
      </c>
    </row>
    <row r="33" spans="1:12">
      <c r="A33" s="264">
        <v>44651</v>
      </c>
      <c r="B33" s="235">
        <v>-4.6005798788281933E-2</v>
      </c>
      <c r="C33" s="235">
        <v>-7.5188211361881141E-2</v>
      </c>
      <c r="J33">
        <f t="shared" si="0"/>
        <v>-5.7678763817721621E-2</v>
      </c>
      <c r="L33">
        <f t="shared" si="1"/>
        <v>-5.995056908950492E-2</v>
      </c>
    </row>
    <row r="34" spans="1:12">
      <c r="A34" s="264">
        <v>44680</v>
      </c>
      <c r="B34" s="235">
        <v>-7.4872004357298461E-2</v>
      </c>
      <c r="C34" s="235">
        <v>-0.1380417251873676</v>
      </c>
      <c r="J34">
        <f t="shared" si="0"/>
        <v>-0.10013989268932612</v>
      </c>
      <c r="L34">
        <f t="shared" si="1"/>
        <v>-0.11023338014989408</v>
      </c>
    </row>
    <row r="35" spans="1:12">
      <c r="A35" s="264">
        <v>44712</v>
      </c>
      <c r="B35" s="235">
        <v>-3.4844733844165747E-2</v>
      </c>
      <c r="C35" s="235">
        <v>1.6616515003202489E-2</v>
      </c>
      <c r="J35">
        <f t="shared" si="0"/>
        <v>-1.4260234305218451E-2</v>
      </c>
      <c r="L35">
        <f t="shared" si="1"/>
        <v>1.3493212002561992E-2</v>
      </c>
    </row>
    <row r="36" spans="1:12">
      <c r="A36" s="264">
        <v>44742</v>
      </c>
      <c r="B36" s="235">
        <v>-9.5867264464574387E-2</v>
      </c>
      <c r="C36" s="235">
        <v>-0.10764268619339699</v>
      </c>
      <c r="J36">
        <f t="shared" si="0"/>
        <v>-0.10057743315610343</v>
      </c>
      <c r="L36">
        <f t="shared" si="1"/>
        <v>-8.5914148954717592E-2</v>
      </c>
    </row>
    <row r="37" spans="1:12">
      <c r="A37" s="264">
        <v>44771</v>
      </c>
      <c r="B37" s="235">
        <v>0.19424972506898561</v>
      </c>
      <c r="C37" s="235">
        <v>7.1707680967647347E-2</v>
      </c>
      <c r="J37">
        <f t="shared" si="0"/>
        <v>0.1452329074284503</v>
      </c>
      <c r="L37">
        <f t="shared" si="1"/>
        <v>5.7566144774117881E-2</v>
      </c>
    </row>
    <row r="38" spans="1:12">
      <c r="A38" s="264">
        <v>44804</v>
      </c>
      <c r="B38" s="235">
        <v>2.0100502512562901E-2</v>
      </c>
      <c r="C38" s="235">
        <v>1.5850096331130329E-2</v>
      </c>
      <c r="J38">
        <f t="shared" si="0"/>
        <v>1.8400340039989874E-2</v>
      </c>
      <c r="L38">
        <f t="shared" si="1"/>
        <v>1.2880077064904264E-2</v>
      </c>
    </row>
    <row r="39" spans="1:12">
      <c r="A39" s="264">
        <v>44834</v>
      </c>
      <c r="B39" s="235">
        <v>-9.2203235891088364E-2</v>
      </c>
      <c r="C39" s="235">
        <v>-7.5776825644779944E-2</v>
      </c>
      <c r="J39">
        <f t="shared" si="0"/>
        <v>-8.5632671792564993E-2</v>
      </c>
      <c r="L39">
        <f t="shared" si="1"/>
        <v>-6.0421460515823956E-2</v>
      </c>
    </row>
    <row r="40" spans="1:12">
      <c r="A40" s="264">
        <v>44865</v>
      </c>
      <c r="B40" s="235">
        <v>0.2328002464624401</v>
      </c>
      <c r="C40" s="235">
        <v>2.1233310459109811E-2</v>
      </c>
      <c r="J40">
        <f t="shared" si="0"/>
        <v>0.14817347206110798</v>
      </c>
      <c r="L40">
        <f t="shared" si="1"/>
        <v>1.7186648367287848E-2</v>
      </c>
    </row>
    <row r="41" spans="1:12">
      <c r="A41" s="264">
        <v>44895</v>
      </c>
      <c r="B41" s="235">
        <v>9.6046120348377118E-2</v>
      </c>
      <c r="C41" s="235">
        <v>5.9201514175954983E-3</v>
      </c>
      <c r="J41">
        <f t="shared" si="0"/>
        <v>5.9995732776064466E-2</v>
      </c>
      <c r="L41">
        <f t="shared" si="1"/>
        <v>4.9361211340763983E-3</v>
      </c>
    </row>
    <row r="42" spans="1:12">
      <c r="A42" s="264">
        <v>44925</v>
      </c>
      <c r="B42" s="235">
        <v>-0.11429461508246461</v>
      </c>
      <c r="C42" s="235">
        <v>-5.1333215913533348E-2</v>
      </c>
      <c r="J42">
        <f t="shared" si="0"/>
        <v>-8.91100554148921E-2</v>
      </c>
      <c r="L42">
        <f t="shared" si="1"/>
        <v>-4.0866572730826681E-2</v>
      </c>
    </row>
    <row r="43" spans="1:12">
      <c r="A43" s="264">
        <v>44957</v>
      </c>
      <c r="B43" s="235">
        <v>0.10649219570381389</v>
      </c>
      <c r="C43" s="235">
        <v>8.136899519321128E-2</v>
      </c>
      <c r="J43">
        <f t="shared" si="0"/>
        <v>9.6442915499572845E-2</v>
      </c>
      <c r="L43">
        <f t="shared" si="1"/>
        <v>6.5295196154569038E-2</v>
      </c>
    </row>
    <row r="44" spans="1:12">
      <c r="A44" s="264">
        <v>44985</v>
      </c>
      <c r="B44" s="235">
        <v>3.3022366572225133E-2</v>
      </c>
      <c r="C44" s="235">
        <v>-4.0298991844725303E-2</v>
      </c>
      <c r="J44">
        <f t="shared" si="0"/>
        <v>3.6938232054449585E-3</v>
      </c>
      <c r="L44">
        <f t="shared" si="1"/>
        <v>-3.2039193475780242E-2</v>
      </c>
    </row>
    <row r="45" spans="1:12">
      <c r="A45" s="264">
        <v>45016</v>
      </c>
      <c r="B45" s="235">
        <v>-0.19866611961664879</v>
      </c>
      <c r="C45" s="235">
        <v>-0.40873073012797861</v>
      </c>
      <c r="J45">
        <f t="shared" si="0"/>
        <v>-0.28269196382118073</v>
      </c>
      <c r="L45">
        <f t="shared" si="1"/>
        <v>-0.32678458410238292</v>
      </c>
    </row>
    <row r="46" spans="1:12">
      <c r="A46" s="264">
        <v>45044</v>
      </c>
      <c r="B46" s="235">
        <v>-2.2912255023360251E-2</v>
      </c>
      <c r="C46" s="235">
        <v>-6.9162733890994033E-2</v>
      </c>
      <c r="J46">
        <f t="shared" si="0"/>
        <v>-4.1412446570413763E-2</v>
      </c>
      <c r="L46">
        <f t="shared" si="1"/>
        <v>-5.5130187112795229E-2</v>
      </c>
    </row>
    <row r="47" spans="1:12">
      <c r="A47" s="264">
        <v>45077</v>
      </c>
      <c r="B47" s="235">
        <v>-0.1614555002748215</v>
      </c>
      <c r="C47" s="235">
        <v>-5.1135890656402996E-3</v>
      </c>
      <c r="J47">
        <f t="shared" si="0"/>
        <v>-9.8918735791149015E-2</v>
      </c>
      <c r="L47">
        <f t="shared" si="1"/>
        <v>-3.8908712525122396E-3</v>
      </c>
    </row>
    <row r="48" spans="1:12">
      <c r="A48" s="264">
        <v>45107</v>
      </c>
      <c r="B48" s="235">
        <v>0.13747266033609101</v>
      </c>
      <c r="C48" s="235">
        <v>-1.575829053426769E-2</v>
      </c>
      <c r="J48">
        <f t="shared" si="0"/>
        <v>7.6180279987947519E-2</v>
      </c>
      <c r="L48">
        <f t="shared" si="1"/>
        <v>-1.2406632427414152E-2</v>
      </c>
    </row>
    <row r="49" spans="1:12">
      <c r="A49" s="264">
        <v>45138</v>
      </c>
      <c r="B49" s="235">
        <v>9.656278178202693E-2</v>
      </c>
      <c r="C49" s="235">
        <v>0.42405191398406639</v>
      </c>
      <c r="J49">
        <f t="shared" si="0"/>
        <v>0.22755843466284273</v>
      </c>
      <c r="L49">
        <f t="shared" si="1"/>
        <v>0.33944153118725312</v>
      </c>
    </row>
    <row r="50" spans="1:12">
      <c r="A50" s="264">
        <v>45169</v>
      </c>
      <c r="B50" s="235">
        <v>-0.12587437340543431</v>
      </c>
      <c r="C50" s="235">
        <v>-6.0973633714732411E-2</v>
      </c>
      <c r="J50">
        <f t="shared" si="0"/>
        <v>-9.9914077529153558E-2</v>
      </c>
      <c r="L50">
        <f t="shared" si="1"/>
        <v>-4.8578906971785935E-2</v>
      </c>
    </row>
    <row r="51" spans="1:12">
      <c r="A51" s="264">
        <v>45198</v>
      </c>
      <c r="B51" s="235">
        <v>-1.548122628755833E-2</v>
      </c>
      <c r="C51" s="235">
        <v>-1.7183025253840079E-2</v>
      </c>
      <c r="J51">
        <f t="shared" si="0"/>
        <v>-1.6161945874071028E-2</v>
      </c>
      <c r="L51">
        <f t="shared" si="1"/>
        <v>-1.3546420203072063E-2</v>
      </c>
    </row>
    <row r="52" spans="1:12">
      <c r="A52" s="264">
        <v>45230</v>
      </c>
      <c r="B52" s="235">
        <v>-0.18783853903006989</v>
      </c>
      <c r="C52" s="235">
        <v>-0.11579239180656099</v>
      </c>
      <c r="J52">
        <f t="shared" si="0"/>
        <v>-0.15902008014066632</v>
      </c>
      <c r="L52">
        <f t="shared" si="1"/>
        <v>-9.2433913445248789E-2</v>
      </c>
    </row>
    <row r="53" spans="1:12">
      <c r="A53" s="264">
        <v>45260</v>
      </c>
      <c r="B53" s="235">
        <v>0.1169442334287774</v>
      </c>
      <c r="C53" s="235">
        <v>0.16896933720711479</v>
      </c>
      <c r="J53">
        <f t="shared" si="0"/>
        <v>0.13775427494011236</v>
      </c>
      <c r="L53">
        <f t="shared" si="1"/>
        <v>0.13537546976569184</v>
      </c>
    </row>
    <row r="54" spans="1:12">
      <c r="A54" s="264">
        <v>45289</v>
      </c>
      <c r="B54" s="235">
        <v>0.23472519653731599</v>
      </c>
      <c r="C54" s="235">
        <v>0.23126575714771061</v>
      </c>
      <c r="J54">
        <f t="shared" si="0"/>
        <v>0.23334142078147385</v>
      </c>
      <c r="L54">
        <f t="shared" si="1"/>
        <v>0.1852126057181685</v>
      </c>
    </row>
    <row r="55" spans="1:12">
      <c r="A55" s="264">
        <v>45322</v>
      </c>
      <c r="B55" s="235">
        <v>-0.11916511540536651</v>
      </c>
      <c r="C55" s="235">
        <v>-4.4904469390027242E-2</v>
      </c>
      <c r="J55">
        <f t="shared" si="0"/>
        <v>-8.9460856999230801E-2</v>
      </c>
      <c r="L55">
        <f t="shared" si="1"/>
        <v>-3.5723575512021793E-2</v>
      </c>
    </row>
    <row r="56" spans="1:12">
      <c r="A56" s="264">
        <v>45351</v>
      </c>
      <c r="B56" s="235">
        <v>0.1177191198966092</v>
      </c>
      <c r="C56" s="235">
        <v>-4.9405366777070303E-2</v>
      </c>
      <c r="J56">
        <f t="shared" si="0"/>
        <v>5.0869325227137385E-2</v>
      </c>
      <c r="L56">
        <f t="shared" si="1"/>
        <v>-3.9324293421656248E-2</v>
      </c>
    </row>
    <row r="57" spans="1:12">
      <c r="A57" s="264">
        <v>45379</v>
      </c>
      <c r="B57" s="235">
        <v>0.21168031904973669</v>
      </c>
      <c r="C57" s="235">
        <v>0.1006859193265035</v>
      </c>
      <c r="J57">
        <f t="shared" si="0"/>
        <v>0.16728255916044343</v>
      </c>
      <c r="L57">
        <f t="shared" si="1"/>
        <v>8.0748735461202814E-2</v>
      </c>
    </row>
    <row r="58" spans="1:12">
      <c r="A58" s="264">
        <v>45412</v>
      </c>
      <c r="B58" s="235">
        <v>-0.2137632514272588</v>
      </c>
      <c r="C58" s="235">
        <v>-6.0367752842188871E-2</v>
      </c>
      <c r="J58">
        <f t="shared" si="0"/>
        <v>-0.15240505199323082</v>
      </c>
      <c r="L58">
        <f t="shared" si="1"/>
        <v>-4.8094202273751101E-2</v>
      </c>
    </row>
    <row r="59" spans="1:12">
      <c r="A59" s="264">
        <v>45443</v>
      </c>
      <c r="B59" s="235">
        <v>4.3326366259283537E-2</v>
      </c>
      <c r="C59" s="235">
        <v>6.8725980188730329E-2</v>
      </c>
      <c r="J59">
        <f t="shared" si="0"/>
        <v>5.3486211831062253E-2</v>
      </c>
      <c r="L59">
        <f t="shared" si="1"/>
        <v>5.5180784150984263E-2</v>
      </c>
    </row>
    <row r="60" spans="1:12">
      <c r="A60" s="264">
        <v>45471</v>
      </c>
      <c r="B60" s="235">
        <v>-6.0653996258919651E-2</v>
      </c>
      <c r="C60" s="235">
        <v>4.1676313961565006E-3</v>
      </c>
      <c r="J60">
        <f t="shared" si="0"/>
        <v>-3.472534519688919E-2</v>
      </c>
      <c r="L60">
        <f t="shared" si="1"/>
        <v>3.5341051169252009E-3</v>
      </c>
    </row>
    <row r="61" spans="1:12">
      <c r="A61" s="264">
        <v>45504</v>
      </c>
      <c r="B61" s="235">
        <v>0.11806878664585189</v>
      </c>
      <c r="C61" s="235">
        <v>0.19137412573975879</v>
      </c>
      <c r="J61">
        <f t="shared" si="0"/>
        <v>0.14739092228341466</v>
      </c>
      <c r="L61">
        <f t="shared" si="1"/>
        <v>0.15329930059180705</v>
      </c>
    </row>
    <row r="62" spans="1:12">
      <c r="A62" s="264">
        <v>45534</v>
      </c>
      <c r="B62" s="235">
        <v>-1.5996349973751429E-3</v>
      </c>
      <c r="C62" s="235">
        <v>-3.2310480594962783E-2</v>
      </c>
      <c r="J62">
        <f t="shared" si="0"/>
        <v>-1.38839732364102E-2</v>
      </c>
      <c r="L62">
        <f t="shared" si="1"/>
        <v>-2.5648384475970228E-2</v>
      </c>
    </row>
    <row r="63" spans="1:12">
      <c r="A63" s="264">
        <v>45565</v>
      </c>
      <c r="B63" s="235">
        <v>3.3789308219385639E-2</v>
      </c>
      <c r="C63" s="235">
        <v>-4.7214189881750968E-2</v>
      </c>
      <c r="J63">
        <f t="shared" si="0"/>
        <v>1.3879089789309955E-3</v>
      </c>
      <c r="L63">
        <f t="shared" si="1"/>
        <v>-3.7571351905400778E-2</v>
      </c>
    </row>
    <row r="64" spans="1:12">
      <c r="A64" s="264">
        <v>45596</v>
      </c>
      <c r="B64" s="235">
        <v>-0.1707769123227483</v>
      </c>
      <c r="C64" s="235">
        <v>0.1024968240328334</v>
      </c>
      <c r="J64">
        <f t="shared" si="0"/>
        <v>-6.1467417780515621E-2</v>
      </c>
      <c r="L64">
        <f t="shared" si="1"/>
        <v>8.2197459226266728E-2</v>
      </c>
    </row>
    <row r="65" spans="1:12">
      <c r="A65" s="264">
        <v>45625</v>
      </c>
      <c r="B65" s="235">
        <v>5.2582901404651487E-2</v>
      </c>
      <c r="C65" s="235">
        <v>0.17089269104373719</v>
      </c>
      <c r="J65">
        <f t="shared" si="0"/>
        <v>9.9906817260285774E-2</v>
      </c>
      <c r="L65">
        <f t="shared" si="1"/>
        <v>0.13691415283498976</v>
      </c>
    </row>
    <row r="66" spans="1:12">
      <c r="A66" s="264">
        <v>45657</v>
      </c>
      <c r="B66" s="235">
        <v>-9.9417880940177228E-2</v>
      </c>
      <c r="C66" s="235">
        <v>-0.10360206238651461</v>
      </c>
      <c r="J66">
        <f t="shared" si="0"/>
        <v>-0.10109155351871218</v>
      </c>
      <c r="L66">
        <f t="shared" si="1"/>
        <v>-8.2681649909211688E-2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0CC24-718C-4414-9FEE-631DEC44440C}">
  <dimension ref="A1:J104"/>
  <sheetViews>
    <sheetView tabSelected="1" workbookViewId="0">
      <selection activeCell="D9" sqref="D9"/>
    </sheetView>
  </sheetViews>
  <sheetFormatPr defaultRowHeight="14.5"/>
  <cols>
    <col min="1" max="1" width="11.1796875" style="150" customWidth="1"/>
    <col min="2" max="2" width="11.453125" customWidth="1"/>
    <col min="3" max="3" width="10.81640625" customWidth="1"/>
    <col min="4" max="4" width="17.453125" customWidth="1"/>
    <col min="5" max="5" width="18.1796875" customWidth="1"/>
    <col min="10" max="10" width="12" bestFit="1" customWidth="1"/>
  </cols>
  <sheetData>
    <row r="1" spans="1:10" ht="21">
      <c r="A1" s="268" t="s">
        <v>859</v>
      </c>
      <c r="B1" s="235"/>
      <c r="C1" s="235"/>
      <c r="D1" s="235"/>
      <c r="E1" s="235"/>
      <c r="F1" s="235"/>
      <c r="G1" s="235"/>
      <c r="H1" s="235"/>
      <c r="I1" s="235"/>
      <c r="J1" s="235"/>
    </row>
    <row r="3" spans="1:10">
      <c r="B3" s="1" t="s">
        <v>485</v>
      </c>
    </row>
    <row r="4" spans="1:10">
      <c r="A4" s="233" t="s">
        <v>210</v>
      </c>
      <c r="B4" s="1" t="s">
        <v>483</v>
      </c>
    </row>
    <row r="5" spans="1:10">
      <c r="A5" s="150">
        <v>42643</v>
      </c>
      <c r="B5">
        <v>0.95569999999999999</v>
      </c>
      <c r="D5" t="s">
        <v>860</v>
      </c>
      <c r="E5" s="26">
        <f>AVERAGE(B5:B104)</f>
        <v>1.0113579999999995</v>
      </c>
    </row>
    <row r="6" spans="1:10">
      <c r="A6" s="150">
        <v>42674</v>
      </c>
      <c r="B6">
        <v>1.0599000000000001</v>
      </c>
      <c r="D6" t="s">
        <v>484</v>
      </c>
      <c r="E6" s="26">
        <f>GEOMEAN(B5:B104)</f>
        <v>1.009781982861006</v>
      </c>
    </row>
    <row r="7" spans="1:10">
      <c r="A7" s="150">
        <v>42704</v>
      </c>
      <c r="B7">
        <v>1.0241</v>
      </c>
      <c r="D7" t="s">
        <v>438</v>
      </c>
      <c r="E7" s="26">
        <f>E5-VARP(B5:B104)/2</f>
        <v>1.0097668225819996</v>
      </c>
    </row>
    <row r="8" spans="1:10">
      <c r="A8" s="150">
        <v>42735</v>
      </c>
      <c r="B8">
        <v>0.93469999999999998</v>
      </c>
      <c r="E8" s="29"/>
    </row>
    <row r="9" spans="1:10">
      <c r="A9" s="150">
        <v>42766</v>
      </c>
      <c r="B9">
        <v>0.98109999999999997</v>
      </c>
    </row>
    <row r="10" spans="1:10">
      <c r="A10" s="150">
        <v>42794</v>
      </c>
      <c r="B10">
        <v>1.0926</v>
      </c>
    </row>
    <row r="11" spans="1:10">
      <c r="A11" s="150">
        <v>42825</v>
      </c>
      <c r="B11">
        <v>0.88870000000000005</v>
      </c>
    </row>
    <row r="12" spans="1:10">
      <c r="A12" s="150">
        <v>42855</v>
      </c>
      <c r="B12">
        <v>0.98860000000000003</v>
      </c>
      <c r="D12" s="40"/>
    </row>
    <row r="13" spans="1:10">
      <c r="A13" s="150">
        <v>42886</v>
      </c>
      <c r="B13">
        <v>1.0732999999999999</v>
      </c>
    </row>
    <row r="14" spans="1:10">
      <c r="A14" s="150">
        <v>42916</v>
      </c>
      <c r="B14">
        <v>0.9667</v>
      </c>
    </row>
    <row r="15" spans="1:10">
      <c r="A15" s="150">
        <v>42947</v>
      </c>
      <c r="B15">
        <v>0.97609999999999997</v>
      </c>
    </row>
    <row r="16" spans="1:10">
      <c r="A16" s="150">
        <v>42978</v>
      </c>
      <c r="B16">
        <v>1.0053000000000001</v>
      </c>
    </row>
    <row r="17" spans="1:2">
      <c r="A17" s="150">
        <v>43008</v>
      </c>
      <c r="B17">
        <v>1.0846</v>
      </c>
    </row>
    <row r="18" spans="1:2">
      <c r="A18" s="150">
        <v>43039</v>
      </c>
      <c r="B18">
        <v>0.97809999999999997</v>
      </c>
    </row>
    <row r="19" spans="1:2">
      <c r="A19" s="150">
        <v>43069</v>
      </c>
      <c r="B19">
        <v>0.98780000000000001</v>
      </c>
    </row>
    <row r="20" spans="1:2">
      <c r="A20" s="150">
        <v>43100</v>
      </c>
      <c r="B20">
        <v>0.98829999999999996</v>
      </c>
    </row>
    <row r="21" spans="1:2">
      <c r="A21" s="150">
        <v>43131</v>
      </c>
      <c r="B21">
        <v>1.1203000000000001</v>
      </c>
    </row>
    <row r="22" spans="1:2">
      <c r="A22" s="150">
        <v>43159</v>
      </c>
      <c r="B22">
        <v>1.1193</v>
      </c>
    </row>
    <row r="23" spans="1:2">
      <c r="A23" s="150">
        <v>43190</v>
      </c>
      <c r="B23">
        <v>1.0602</v>
      </c>
    </row>
    <row r="24" spans="1:2">
      <c r="A24" s="150">
        <v>43220</v>
      </c>
      <c r="B24">
        <v>1.0293000000000001</v>
      </c>
    </row>
    <row r="25" spans="1:2">
      <c r="A25" s="150">
        <v>43251</v>
      </c>
      <c r="B25">
        <v>1.0468999999999999</v>
      </c>
    </row>
    <row r="26" spans="1:2">
      <c r="A26" s="150">
        <v>43281</v>
      </c>
      <c r="B26">
        <v>1.0845</v>
      </c>
    </row>
    <row r="27" spans="1:2">
      <c r="A27" s="150">
        <v>43312</v>
      </c>
      <c r="B27">
        <v>0.96319999999999995</v>
      </c>
    </row>
    <row r="28" spans="1:2">
      <c r="A28" s="150">
        <v>43343</v>
      </c>
      <c r="B28">
        <v>1.0688</v>
      </c>
    </row>
    <row r="29" spans="1:2">
      <c r="A29" s="150">
        <v>43373</v>
      </c>
      <c r="B29">
        <v>0.94730000000000003</v>
      </c>
    </row>
    <row r="30" spans="1:2">
      <c r="A30" s="150">
        <v>43404</v>
      </c>
      <c r="B30">
        <v>0.97809999999999997</v>
      </c>
    </row>
    <row r="31" spans="1:2">
      <c r="A31" s="150">
        <v>43434</v>
      </c>
      <c r="B31">
        <v>1.0553999999999999</v>
      </c>
    </row>
    <row r="32" spans="1:2">
      <c r="A32" s="150">
        <v>43465</v>
      </c>
      <c r="B32">
        <v>0.93859999999999999</v>
      </c>
    </row>
    <row r="33" spans="1:2">
      <c r="A33" s="150">
        <v>43496</v>
      </c>
      <c r="B33">
        <v>1.0029999999999999</v>
      </c>
    </row>
    <row r="34" spans="1:2">
      <c r="A34" s="150">
        <v>43524</v>
      </c>
      <c r="B34">
        <v>0.96689999999999998</v>
      </c>
    </row>
    <row r="35" spans="1:2">
      <c r="A35" s="150">
        <v>43555</v>
      </c>
      <c r="B35">
        <v>0.99719999999999998</v>
      </c>
    </row>
    <row r="36" spans="1:2">
      <c r="A36" s="150">
        <v>43585</v>
      </c>
      <c r="B36">
        <v>0.87009999999999998</v>
      </c>
    </row>
    <row r="37" spans="1:2">
      <c r="A37" s="150">
        <v>43616</v>
      </c>
      <c r="B37">
        <v>0.9214</v>
      </c>
    </row>
    <row r="38" spans="1:2">
      <c r="A38" s="150">
        <v>43646</v>
      </c>
      <c r="B38">
        <v>0.97499999999999998</v>
      </c>
    </row>
    <row r="39" spans="1:2">
      <c r="A39" s="150">
        <v>43677</v>
      </c>
      <c r="B39">
        <v>1.0564</v>
      </c>
    </row>
    <row r="40" spans="1:2">
      <c r="A40" s="150">
        <v>43708</v>
      </c>
      <c r="B40">
        <v>1.0013000000000001</v>
      </c>
    </row>
    <row r="41" spans="1:2">
      <c r="A41" s="150">
        <v>43738</v>
      </c>
      <c r="B41">
        <v>1.0101</v>
      </c>
    </row>
    <row r="42" spans="1:2">
      <c r="A42" s="150">
        <v>43769</v>
      </c>
      <c r="B42">
        <v>1.0444</v>
      </c>
    </row>
    <row r="43" spans="1:2">
      <c r="A43" s="150">
        <v>43799</v>
      </c>
      <c r="B43">
        <v>0.96599999999999997</v>
      </c>
    </row>
    <row r="44" spans="1:2">
      <c r="A44" s="150">
        <v>43830</v>
      </c>
      <c r="B44">
        <v>1.0242</v>
      </c>
    </row>
    <row r="45" spans="1:2">
      <c r="A45" s="150">
        <v>43861</v>
      </c>
      <c r="B45">
        <v>0.96970000000000001</v>
      </c>
    </row>
    <row r="46" spans="1:2">
      <c r="A46" s="150">
        <v>43890</v>
      </c>
      <c r="B46">
        <v>0.92359999999999998</v>
      </c>
    </row>
    <row r="47" spans="1:2">
      <c r="A47" s="150">
        <v>43921</v>
      </c>
      <c r="B47">
        <v>0.99050000000000005</v>
      </c>
    </row>
    <row r="48" spans="1:2">
      <c r="A48" s="150">
        <v>43951</v>
      </c>
      <c r="B48">
        <v>1.0387</v>
      </c>
    </row>
    <row r="49" spans="1:2">
      <c r="A49" s="150">
        <v>43982</v>
      </c>
      <c r="B49">
        <v>1.0268999999999999</v>
      </c>
    </row>
    <row r="50" spans="1:2">
      <c r="A50" s="150">
        <v>44012</v>
      </c>
      <c r="B50">
        <v>1.0094000000000001</v>
      </c>
    </row>
    <row r="51" spans="1:2">
      <c r="A51" s="150">
        <v>44043</v>
      </c>
      <c r="B51">
        <v>1.1295999999999999</v>
      </c>
    </row>
    <row r="52" spans="1:2">
      <c r="A52" s="150">
        <v>44074</v>
      </c>
      <c r="B52">
        <v>1.0306</v>
      </c>
    </row>
    <row r="53" spans="1:2">
      <c r="A53" s="150">
        <v>44104</v>
      </c>
      <c r="B53">
        <v>1.0589</v>
      </c>
    </row>
    <row r="54" spans="1:2">
      <c r="A54" s="150">
        <v>44135</v>
      </c>
      <c r="B54">
        <v>1.1218999999999999</v>
      </c>
    </row>
    <row r="55" spans="1:2">
      <c r="A55" s="150">
        <v>44165</v>
      </c>
      <c r="B55">
        <v>0.94530000000000003</v>
      </c>
    </row>
    <row r="56" spans="1:2">
      <c r="A56" s="150">
        <v>44196</v>
      </c>
      <c r="B56">
        <v>0.95809999999999995</v>
      </c>
    </row>
    <row r="57" spans="1:2">
      <c r="A57" s="150">
        <v>44227</v>
      </c>
      <c r="B57">
        <v>1.0972</v>
      </c>
    </row>
    <row r="58" spans="1:2">
      <c r="A58" s="150">
        <v>44255</v>
      </c>
      <c r="B58">
        <v>0.97009999999999996</v>
      </c>
    </row>
    <row r="59" spans="1:2">
      <c r="A59" s="150">
        <v>44286</v>
      </c>
      <c r="B59">
        <v>1.0115000000000001</v>
      </c>
    </row>
    <row r="60" spans="1:2">
      <c r="A60" s="150">
        <v>44316</v>
      </c>
      <c r="B60">
        <v>1.0634999999999999</v>
      </c>
    </row>
    <row r="61" spans="1:2">
      <c r="A61" s="150">
        <v>44347</v>
      </c>
      <c r="B61">
        <v>1.0545</v>
      </c>
    </row>
    <row r="62" spans="1:2">
      <c r="A62" s="150">
        <v>44377</v>
      </c>
      <c r="B62">
        <v>1.0976999999999999</v>
      </c>
    </row>
    <row r="63" spans="1:2">
      <c r="A63" s="150">
        <v>44408</v>
      </c>
      <c r="B63">
        <v>1.0848</v>
      </c>
    </row>
    <row r="64" spans="1:2">
      <c r="A64" s="150">
        <v>44439</v>
      </c>
      <c r="B64">
        <v>1.0634999999999999</v>
      </c>
    </row>
    <row r="65" spans="1:2">
      <c r="A65" s="150">
        <v>44469</v>
      </c>
      <c r="B65">
        <v>0.97140000000000004</v>
      </c>
    </row>
    <row r="66" spans="1:2">
      <c r="A66" s="150">
        <v>44500</v>
      </c>
      <c r="B66">
        <v>1.0497000000000001</v>
      </c>
    </row>
    <row r="67" spans="1:2">
      <c r="A67" s="150">
        <v>44530</v>
      </c>
      <c r="B67">
        <v>1.0257000000000001</v>
      </c>
    </row>
    <row r="68" spans="1:2">
      <c r="A68" s="150">
        <v>44561</v>
      </c>
      <c r="B68">
        <v>0.94369999999999998</v>
      </c>
    </row>
    <row r="69" spans="1:2">
      <c r="A69" s="150">
        <v>44592</v>
      </c>
      <c r="B69">
        <v>1.0809</v>
      </c>
    </row>
    <row r="70" spans="1:2">
      <c r="A70" s="150">
        <v>44620</v>
      </c>
      <c r="B70">
        <v>1.0504</v>
      </c>
    </row>
    <row r="71" spans="1:2">
      <c r="A71" s="150">
        <v>44651</v>
      </c>
      <c r="B71">
        <v>1.0123</v>
      </c>
    </row>
    <row r="72" spans="1:2">
      <c r="A72" s="150">
        <v>44681</v>
      </c>
      <c r="B72">
        <v>0.99829999999999997</v>
      </c>
    </row>
    <row r="73" spans="1:2">
      <c r="A73" s="150">
        <v>44712</v>
      </c>
      <c r="B73">
        <v>0.95009999999999994</v>
      </c>
    </row>
    <row r="74" spans="1:2">
      <c r="A74" s="150">
        <v>44742</v>
      </c>
      <c r="B74">
        <v>1.02</v>
      </c>
    </row>
    <row r="75" spans="1:2">
      <c r="A75" s="150">
        <v>44773</v>
      </c>
      <c r="B75">
        <v>1.0334000000000001</v>
      </c>
    </row>
    <row r="76" spans="1:2">
      <c r="A76" s="150">
        <v>44804</v>
      </c>
      <c r="B76">
        <v>0.96840000000000004</v>
      </c>
    </row>
    <row r="77" spans="1:2">
      <c r="A77" s="150">
        <v>44834</v>
      </c>
      <c r="B77">
        <v>1.0681</v>
      </c>
    </row>
    <row r="78" spans="1:2">
      <c r="A78" s="150">
        <v>44865</v>
      </c>
      <c r="B78">
        <v>0.95509999999999995</v>
      </c>
    </row>
    <row r="79" spans="1:2">
      <c r="A79" s="150">
        <v>44895</v>
      </c>
      <c r="B79">
        <v>0.90380000000000005</v>
      </c>
    </row>
    <row r="80" spans="1:2">
      <c r="A80" s="150">
        <v>44926</v>
      </c>
      <c r="B80">
        <v>1.0620000000000001</v>
      </c>
    </row>
    <row r="81" spans="1:2">
      <c r="A81" s="150">
        <v>44957</v>
      </c>
      <c r="B81">
        <v>0.98980000000000001</v>
      </c>
    </row>
    <row r="82" spans="1:2">
      <c r="A82" s="150">
        <v>44985</v>
      </c>
      <c r="B82">
        <v>1.0037</v>
      </c>
    </row>
    <row r="83" spans="1:2">
      <c r="A83" s="150">
        <v>45016</v>
      </c>
      <c r="B83">
        <v>0.96809999999999996</v>
      </c>
    </row>
    <row r="84" spans="1:2">
      <c r="A84" s="150">
        <v>45046</v>
      </c>
      <c r="B84">
        <v>0.92969999999999997</v>
      </c>
    </row>
    <row r="85" spans="1:2">
      <c r="A85" s="150">
        <v>45077</v>
      </c>
      <c r="B85">
        <v>1.0728</v>
      </c>
    </row>
    <row r="86" spans="1:2">
      <c r="A86" s="150">
        <v>45107</v>
      </c>
      <c r="B86">
        <v>0.97560000000000002</v>
      </c>
    </row>
    <row r="87" spans="1:2">
      <c r="A87" s="150">
        <v>45138</v>
      </c>
      <c r="B87">
        <v>1.093</v>
      </c>
    </row>
    <row r="88" spans="1:2">
      <c r="A88" s="150">
        <v>45169</v>
      </c>
      <c r="B88">
        <v>1.0504</v>
      </c>
    </row>
    <row r="89" spans="1:2">
      <c r="A89" s="150">
        <v>45199</v>
      </c>
      <c r="B89">
        <v>0.99429999999999996</v>
      </c>
    </row>
    <row r="90" spans="1:2">
      <c r="A90" s="150">
        <v>45230</v>
      </c>
      <c r="B90">
        <v>0.95569999999999999</v>
      </c>
    </row>
    <row r="91" spans="1:2">
      <c r="A91" s="150">
        <v>45260</v>
      </c>
      <c r="B91">
        <v>0.97340000000000004</v>
      </c>
    </row>
    <row r="92" spans="1:2">
      <c r="A92" s="150">
        <v>45291</v>
      </c>
      <c r="B92">
        <v>0.94940000000000002</v>
      </c>
    </row>
    <row r="93" spans="1:2">
      <c r="A93" s="150">
        <v>45322</v>
      </c>
      <c r="B93">
        <v>1.1144000000000001</v>
      </c>
    </row>
    <row r="94" spans="1:2">
      <c r="A94" s="150">
        <v>45351</v>
      </c>
      <c r="B94">
        <v>1.0182</v>
      </c>
    </row>
    <row r="95" spans="1:2">
      <c r="A95" s="150">
        <v>45382</v>
      </c>
      <c r="B95">
        <v>1.0674999999999999</v>
      </c>
    </row>
    <row r="96" spans="1:2">
      <c r="A96" s="150">
        <v>45412</v>
      </c>
      <c r="B96">
        <v>0.9466</v>
      </c>
    </row>
    <row r="97" spans="1:2">
      <c r="A97" s="150">
        <v>45443</v>
      </c>
      <c r="B97">
        <v>1.0190999999999999</v>
      </c>
    </row>
    <row r="98" spans="1:2">
      <c r="A98" s="150">
        <v>45473</v>
      </c>
      <c r="B98">
        <v>1.0689</v>
      </c>
    </row>
    <row r="99" spans="1:2">
      <c r="A99" s="150">
        <v>45504</v>
      </c>
      <c r="B99">
        <v>0.99319999999999997</v>
      </c>
    </row>
    <row r="100" spans="1:2">
      <c r="A100" s="150">
        <v>45535</v>
      </c>
      <c r="B100">
        <v>1.0616000000000001</v>
      </c>
    </row>
    <row r="101" spans="1:2">
      <c r="A101" s="150">
        <v>45565</v>
      </c>
      <c r="B101">
        <v>0.95579999999999998</v>
      </c>
    </row>
    <row r="102" spans="1:2">
      <c r="A102" s="150">
        <v>45596</v>
      </c>
      <c r="B102">
        <v>0.94179999999999997</v>
      </c>
    </row>
    <row r="103" spans="1:2">
      <c r="A103" s="150">
        <v>45626</v>
      </c>
      <c r="B103">
        <v>1.0289999999999999</v>
      </c>
    </row>
    <row r="104" spans="1:2">
      <c r="A104" s="150">
        <v>45657</v>
      </c>
      <c r="B104">
        <v>0.99099999999999999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2:H24"/>
  <sheetViews>
    <sheetView workbookViewId="0">
      <selection activeCell="P15" sqref="P15"/>
    </sheetView>
  </sheetViews>
  <sheetFormatPr defaultRowHeight="14.5"/>
  <cols>
    <col min="1" max="1" width="10.54296875" bestFit="1" customWidth="1"/>
    <col min="2" max="2" width="11.453125" customWidth="1"/>
    <col min="3" max="3" width="10.453125" bestFit="1" customWidth="1"/>
    <col min="7" max="7" width="17.54296875" customWidth="1"/>
  </cols>
  <sheetData>
    <row r="2" spans="1:8">
      <c r="E2" s="274" t="s">
        <v>26</v>
      </c>
      <c r="F2" s="275"/>
      <c r="H2" t="s">
        <v>27</v>
      </c>
    </row>
    <row r="3" spans="1:8">
      <c r="A3" t="s">
        <v>210</v>
      </c>
      <c r="B3" t="s">
        <v>28</v>
      </c>
      <c r="C3" t="s">
        <v>29</v>
      </c>
      <c r="E3" t="s">
        <v>30</v>
      </c>
      <c r="F3" t="s">
        <v>31</v>
      </c>
    </row>
    <row r="4" spans="1:8">
      <c r="A4" s="43">
        <v>44225</v>
      </c>
      <c r="B4" s="29">
        <v>2.66491685871066E-2</v>
      </c>
      <c r="C4" s="29">
        <v>2.3251451798530299E-3</v>
      </c>
      <c r="D4" s="2"/>
      <c r="E4" s="2">
        <f t="shared" ref="E4:E15" si="0">B4-$B$17</f>
        <v>1.0365690878234805E-2</v>
      </c>
      <c r="F4" s="2">
        <f t="shared" ref="F4:F15" si="1">C4-$C$17</f>
        <v>3.5865547599501692E-3</v>
      </c>
      <c r="G4" s="2"/>
      <c r="H4" s="2">
        <f t="shared" ref="H4:H15" si="2">E4*F4</f>
        <v>3.7177117959505086E-5</v>
      </c>
    </row>
    <row r="5" spans="1:8">
      <c r="A5" s="43">
        <v>44253</v>
      </c>
      <c r="B5" s="29">
        <v>-7.9993111119980503E-2</v>
      </c>
      <c r="C5" s="29">
        <v>-0.18285430765304</v>
      </c>
      <c r="D5" s="2"/>
      <c r="E5" s="2">
        <f t="shared" si="0"/>
        <v>-9.6276588828852303E-2</v>
      </c>
      <c r="F5" s="2">
        <f t="shared" si="1"/>
        <v>-0.18159289807294288</v>
      </c>
      <c r="G5" s="2"/>
      <c r="H5" s="2">
        <f t="shared" si="2"/>
        <v>1.7483144782008408E-2</v>
      </c>
    </row>
    <row r="6" spans="1:8">
      <c r="A6" s="43">
        <v>44286</v>
      </c>
      <c r="B6" s="29">
        <v>0.12781874616733399</v>
      </c>
      <c r="C6" s="29">
        <v>7.7511807811569897E-2</v>
      </c>
      <c r="D6" s="2"/>
      <c r="E6" s="2">
        <f t="shared" si="0"/>
        <v>0.11153526845846219</v>
      </c>
      <c r="F6" s="2">
        <f t="shared" si="1"/>
        <v>7.8773217391667039E-2</v>
      </c>
      <c r="G6" s="2"/>
      <c r="H6" s="2">
        <f t="shared" si="2"/>
        <v>8.7859919491163861E-3</v>
      </c>
    </row>
    <row r="7" spans="1:8">
      <c r="A7" s="43">
        <v>44316</v>
      </c>
      <c r="B7" s="29">
        <v>4.30954365242011E-2</v>
      </c>
      <c r="C7" s="29">
        <v>-0.123367742221906</v>
      </c>
      <c r="D7" s="2"/>
      <c r="E7" s="2">
        <f t="shared" si="0"/>
        <v>2.6811958815329304E-2</v>
      </c>
      <c r="F7" s="2">
        <f t="shared" si="1"/>
        <v>-0.12210633264180885</v>
      </c>
      <c r="G7" s="2"/>
      <c r="H7" s="2">
        <f t="shared" si="2"/>
        <v>-3.2739099618830795E-3</v>
      </c>
    </row>
    <row r="8" spans="1:8">
      <c r="A8" s="43">
        <v>44344</v>
      </c>
      <c r="B8" s="29">
        <v>4.9127124826307102E-3</v>
      </c>
      <c r="C8" s="29">
        <v>-5.4880200659160501E-3</v>
      </c>
      <c r="D8" s="2"/>
      <c r="E8" s="2">
        <f t="shared" si="0"/>
        <v>-1.1370765226241086E-2</v>
      </c>
      <c r="F8" s="2">
        <f t="shared" si="1"/>
        <v>-4.2266104858189107E-3</v>
      </c>
      <c r="G8" s="2"/>
      <c r="H8" s="2">
        <f t="shared" si="2"/>
        <v>4.8059795537015612E-5</v>
      </c>
    </row>
    <row r="9" spans="1:8">
      <c r="A9" s="43">
        <v>44377</v>
      </c>
      <c r="B9" s="29">
        <v>-1.49670290589293E-2</v>
      </c>
      <c r="C9" s="29">
        <v>0.18919986086454399</v>
      </c>
      <c r="D9" s="2"/>
      <c r="E9" s="2">
        <f t="shared" si="0"/>
        <v>-3.1250506767801098E-2</v>
      </c>
      <c r="F9" s="2">
        <f t="shared" si="1"/>
        <v>0.19046127044464112</v>
      </c>
      <c r="G9" s="2"/>
      <c r="H9" s="2">
        <f t="shared" si="2"/>
        <v>-5.9520112210342526E-3</v>
      </c>
    </row>
    <row r="10" spans="1:8">
      <c r="A10" s="43">
        <v>44407</v>
      </c>
      <c r="B10" s="29">
        <v>6.4728517382665898E-2</v>
      </c>
      <c r="C10" s="29">
        <v>-4.9386820408811101E-2</v>
      </c>
      <c r="D10" s="2"/>
      <c r="E10" s="2">
        <f t="shared" si="0"/>
        <v>4.8445039673794099E-2</v>
      </c>
      <c r="F10" s="2">
        <f t="shared" si="1"/>
        <v>-4.8125410828713959E-2</v>
      </c>
      <c r="G10" s="2"/>
      <c r="H10" s="2">
        <f t="shared" si="2"/>
        <v>-2.331437436914688E-3</v>
      </c>
    </row>
    <row r="11" spans="1:8">
      <c r="A11" s="43">
        <v>44439</v>
      </c>
      <c r="B11" s="29">
        <v>4.9579659557048199E-3</v>
      </c>
      <c r="C11" s="29">
        <v>9.2515097626366199E-2</v>
      </c>
      <c r="D11" s="2"/>
      <c r="E11" s="2">
        <f t="shared" si="0"/>
        <v>-1.1325511753166977E-2</v>
      </c>
      <c r="F11" s="2">
        <f t="shared" si="1"/>
        <v>9.3776507206463341E-2</v>
      </c>
      <c r="G11" s="1"/>
      <c r="H11" s="2">
        <f t="shared" si="2"/>
        <v>-1.0620669345377482E-3</v>
      </c>
    </row>
    <row r="12" spans="1:8">
      <c r="A12" s="43">
        <v>44469</v>
      </c>
      <c r="B12" s="29">
        <v>-6.7552166575601202E-2</v>
      </c>
      <c r="C12" s="29">
        <v>1.5531905153964401E-2</v>
      </c>
      <c r="E12" s="2">
        <f t="shared" si="0"/>
        <v>-8.3835644284473002E-2</v>
      </c>
      <c r="F12" s="2">
        <f t="shared" si="1"/>
        <v>1.6793314734061541E-2</v>
      </c>
      <c r="H12" s="2">
        <f t="shared" si="2"/>
        <v>-1.4078783604019826E-3</v>
      </c>
    </row>
    <row r="13" spans="1:8">
      <c r="A13" s="43">
        <v>44498</v>
      </c>
      <c r="B13" s="29">
        <v>4.5291651401516399E-2</v>
      </c>
      <c r="C13" s="29">
        <v>0.25277600549802298</v>
      </c>
      <c r="E13" s="2">
        <f t="shared" si="0"/>
        <v>2.9008173692644603E-2</v>
      </c>
      <c r="F13" s="2">
        <f t="shared" si="1"/>
        <v>0.25403741507812011</v>
      </c>
      <c r="H13" s="2">
        <f t="shared" si="2"/>
        <v>7.3691614610165608E-3</v>
      </c>
    </row>
    <row r="14" spans="1:8">
      <c r="A14" s="43">
        <v>44530</v>
      </c>
      <c r="B14" s="29">
        <v>-3.9738062631339097E-2</v>
      </c>
      <c r="C14" s="29">
        <v>-0.13370681790633401</v>
      </c>
      <c r="E14" s="2">
        <f t="shared" si="0"/>
        <v>-5.6021540340210896E-2</v>
      </c>
      <c r="F14" s="2">
        <f t="shared" si="1"/>
        <v>-0.13244540832623689</v>
      </c>
      <c r="H14" s="2">
        <f t="shared" si="2"/>
        <v>7.4197957854239835E-3</v>
      </c>
    </row>
    <row r="15" spans="1:8">
      <c r="A15" s="43">
        <v>44560</v>
      </c>
      <c r="B15" s="29">
        <v>8.0197903391152098E-2</v>
      </c>
      <c r="C15" s="29">
        <v>-0.15019302883947899</v>
      </c>
      <c r="E15" s="2">
        <f t="shared" si="0"/>
        <v>6.3914425682280299E-2</v>
      </c>
      <c r="F15" s="2">
        <f t="shared" si="1"/>
        <v>-0.14893161925938186</v>
      </c>
      <c r="H15" s="2">
        <f t="shared" si="2"/>
        <v>-9.5188789108954282E-3</v>
      </c>
    </row>
    <row r="17" spans="1:8">
      <c r="A17" t="s">
        <v>13</v>
      </c>
      <c r="B17" s="29">
        <f>AVERAGE(B4:B15)</f>
        <v>1.6283477708871796E-2</v>
      </c>
      <c r="C17" s="29">
        <f>AVERAGE(C4:C15)</f>
        <v>-1.2614095800971396E-3</v>
      </c>
    </row>
    <row r="18" spans="1:8">
      <c r="D18" t="s">
        <v>32</v>
      </c>
      <c r="H18" s="17">
        <f>AVERAGE(H4:H15)</f>
        <v>1.4664290054495568E-3</v>
      </c>
    </row>
    <row r="19" spans="1:8">
      <c r="D19" t="s">
        <v>33</v>
      </c>
      <c r="H19">
        <f>_xlfn.COVARIANCE.P(B4:B15,C4:C15)</f>
        <v>1.4664290054495568E-3</v>
      </c>
    </row>
    <row r="21" spans="1:8">
      <c r="D21" t="s">
        <v>34</v>
      </c>
      <c r="H21">
        <f>H19/(H23*H24)</f>
        <v>0.19096668798888022</v>
      </c>
    </row>
    <row r="22" spans="1:8">
      <c r="D22" t="s">
        <v>35</v>
      </c>
      <c r="H22">
        <f>CORREL(B4:B15,C4:C15)</f>
        <v>0.19096668798888022</v>
      </c>
    </row>
    <row r="23" spans="1:8">
      <c r="G23" t="s">
        <v>36</v>
      </c>
      <c r="H23">
        <f>STDEVP(B4:B15)</f>
        <v>5.8601806070021835E-2</v>
      </c>
    </row>
    <row r="24" spans="1:8">
      <c r="G24" t="s">
        <v>37</v>
      </c>
      <c r="H24">
        <f>STDEVP(C4:C15)</f>
        <v>0.13103654248057442</v>
      </c>
    </row>
  </sheetData>
  <mergeCells count="1">
    <mergeCell ref="E2:F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/>
  <dimension ref="A1:E67"/>
  <sheetViews>
    <sheetView topLeftCell="A40" workbookViewId="0">
      <selection activeCell="C70" sqref="C70"/>
    </sheetView>
  </sheetViews>
  <sheetFormatPr defaultRowHeight="14.5"/>
  <cols>
    <col min="1" max="1" width="10.54296875" bestFit="1" customWidth="1"/>
  </cols>
  <sheetData>
    <row r="1" spans="1:5">
      <c r="E1" t="s">
        <v>39</v>
      </c>
    </row>
    <row r="2" spans="1:5">
      <c r="B2" t="s">
        <v>492</v>
      </c>
      <c r="C2" t="s">
        <v>40</v>
      </c>
      <c r="E2" t="s">
        <v>17</v>
      </c>
    </row>
    <row r="3" spans="1:5">
      <c r="A3" s="43">
        <v>42766</v>
      </c>
      <c r="B3">
        <v>0.11758648471300109</v>
      </c>
      <c r="C3">
        <v>0.1036960858422119</v>
      </c>
      <c r="E3">
        <f t="shared" ref="E3:E34" si="0">0.6*B3+0.4*C3</f>
        <v>0.11203032516468542</v>
      </c>
    </row>
    <row r="4" spans="1:5">
      <c r="A4" s="43">
        <v>42794</v>
      </c>
      <c r="B4">
        <v>6.8241816344299377E-3</v>
      </c>
      <c r="C4">
        <v>0.40329940185140589</v>
      </c>
      <c r="E4">
        <f t="shared" si="0"/>
        <v>0.16541426972122034</v>
      </c>
    </row>
    <row r="5" spans="1:5">
      <c r="A5" s="43">
        <v>42825</v>
      </c>
      <c r="B5">
        <v>-0.14639169843419991</v>
      </c>
      <c r="C5">
        <v>0.62387681816597362</v>
      </c>
      <c r="E5">
        <f t="shared" si="0"/>
        <v>0.1617157082058695</v>
      </c>
    </row>
    <row r="6" spans="1:5">
      <c r="A6" s="43">
        <v>42853</v>
      </c>
      <c r="B6">
        <v>0.29974835713094361</v>
      </c>
      <c r="C6">
        <v>3.0552741369460411E-2</v>
      </c>
      <c r="E6">
        <f t="shared" si="0"/>
        <v>0.19207011082635034</v>
      </c>
    </row>
    <row r="7" spans="1:5">
      <c r="A7" s="43">
        <v>42886</v>
      </c>
      <c r="B7">
        <v>0.31348680105153792</v>
      </c>
      <c r="C7">
        <v>0.22143952949067411</v>
      </c>
      <c r="E7">
        <f t="shared" si="0"/>
        <v>0.27666789242719242</v>
      </c>
    </row>
    <row r="8" spans="1:5">
      <c r="A8" s="43">
        <v>42916</v>
      </c>
      <c r="B8">
        <v>0.2775629711303349</v>
      </c>
      <c r="C8">
        <v>-0.13290754979713371</v>
      </c>
      <c r="E8">
        <f t="shared" si="0"/>
        <v>0.11337476275934745</v>
      </c>
    </row>
    <row r="9" spans="1:5">
      <c r="A9" s="43">
        <v>42947</v>
      </c>
      <c r="B9">
        <v>-2.0673420852884108E-2</v>
      </c>
      <c r="C9">
        <v>-0.21035423341081491</v>
      </c>
      <c r="E9">
        <f t="shared" si="0"/>
        <v>-9.6545745876056438E-2</v>
      </c>
    </row>
    <row r="10" spans="1:5">
      <c r="A10" s="43">
        <v>42978</v>
      </c>
      <c r="B10">
        <v>0.31934223187677591</v>
      </c>
      <c r="C10">
        <v>9.3193077140584973E-2</v>
      </c>
      <c r="E10">
        <f t="shared" si="0"/>
        <v>0.22888256998229953</v>
      </c>
    </row>
    <row r="11" spans="1:5">
      <c r="A11" s="43">
        <v>43007</v>
      </c>
      <c r="B11">
        <v>0.1166058097556299</v>
      </c>
      <c r="C11">
        <v>9.1658451840975708E-2</v>
      </c>
      <c r="E11">
        <f t="shared" si="0"/>
        <v>0.10662686658976822</v>
      </c>
    </row>
    <row r="12" spans="1:5">
      <c r="A12" s="43">
        <v>43039</v>
      </c>
      <c r="B12">
        <v>-2.2183409530993251E-2</v>
      </c>
      <c r="C12">
        <v>0.46275893187755202</v>
      </c>
      <c r="E12">
        <f t="shared" si="0"/>
        <v>0.17179352703242487</v>
      </c>
    </row>
    <row r="13" spans="1:5">
      <c r="A13" s="43">
        <v>43069</v>
      </c>
      <c r="B13">
        <v>-0.29067029894412971</v>
      </c>
      <c r="C13">
        <v>0.61356153740048047</v>
      </c>
      <c r="E13">
        <f t="shared" si="0"/>
        <v>7.1022435593714378E-2</v>
      </c>
    </row>
    <row r="14" spans="1:5">
      <c r="A14" s="43">
        <v>43098</v>
      </c>
      <c r="B14">
        <v>0.15697865505459019</v>
      </c>
      <c r="C14">
        <v>-3.9048932662471669E-2</v>
      </c>
      <c r="E14">
        <f t="shared" si="0"/>
        <v>7.8567619967765442E-2</v>
      </c>
    </row>
    <row r="15" spans="1:5">
      <c r="A15" s="43">
        <v>43131</v>
      </c>
      <c r="B15">
        <v>0.39658987289078812</v>
      </c>
      <c r="C15">
        <v>-0.2186387507560065</v>
      </c>
      <c r="E15">
        <f t="shared" si="0"/>
        <v>0.15049842343207026</v>
      </c>
    </row>
    <row r="16" spans="1:5">
      <c r="A16" s="43">
        <v>43159</v>
      </c>
      <c r="B16">
        <v>0.43457290217356398</v>
      </c>
      <c r="C16">
        <v>-0.41991041674049029</v>
      </c>
      <c r="E16">
        <f t="shared" si="0"/>
        <v>9.2779574607942228E-2</v>
      </c>
    </row>
    <row r="17" spans="1:5">
      <c r="A17" s="43">
        <v>43188</v>
      </c>
      <c r="B17">
        <v>-0.2543411706178097</v>
      </c>
      <c r="C17">
        <v>0.76978298966804792</v>
      </c>
      <c r="E17">
        <f t="shared" si="0"/>
        <v>0.15530849349653339</v>
      </c>
    </row>
    <row r="18" spans="1:5">
      <c r="A18" s="43">
        <v>43220</v>
      </c>
      <c r="B18">
        <v>-0.1616987316765483</v>
      </c>
      <c r="C18">
        <v>0.63322589577846167</v>
      </c>
      <c r="E18">
        <f t="shared" si="0"/>
        <v>0.15627111930545573</v>
      </c>
    </row>
    <row r="19" spans="1:5">
      <c r="A19" s="43">
        <v>43251</v>
      </c>
      <c r="B19">
        <v>0.36522408280063551</v>
      </c>
      <c r="C19">
        <v>-0.18041431075198991</v>
      </c>
      <c r="E19">
        <f t="shared" si="0"/>
        <v>0.14696872537958533</v>
      </c>
    </row>
    <row r="20" spans="1:5">
      <c r="A20" s="43">
        <v>43280</v>
      </c>
      <c r="B20">
        <v>-0.2245131704413561</v>
      </c>
      <c r="C20">
        <v>0.47018422380794539</v>
      </c>
      <c r="E20">
        <f t="shared" si="0"/>
        <v>5.3365787258364494E-2</v>
      </c>
    </row>
    <row r="21" spans="1:5">
      <c r="A21" s="43">
        <v>43312</v>
      </c>
      <c r="B21">
        <v>0.19295345390770771</v>
      </c>
      <c r="C21">
        <v>-6.8234648012402088E-2</v>
      </c>
      <c r="E21">
        <f t="shared" si="0"/>
        <v>8.8478213139663781E-2</v>
      </c>
    </row>
    <row r="22" spans="1:5">
      <c r="A22" s="43">
        <v>43343</v>
      </c>
      <c r="B22">
        <v>0.13466734581042791</v>
      </c>
      <c r="C22">
        <v>1.8155262221617341E-2</v>
      </c>
      <c r="E22">
        <f t="shared" si="0"/>
        <v>8.8062512374903687E-2</v>
      </c>
    </row>
    <row r="23" spans="1:5">
      <c r="A23" s="43">
        <v>43371</v>
      </c>
      <c r="B23">
        <v>0.101019401351718</v>
      </c>
      <c r="C23">
        <v>-5.3513907768619501E-2</v>
      </c>
      <c r="E23">
        <f t="shared" si="0"/>
        <v>3.9206077703582989E-2</v>
      </c>
    </row>
    <row r="24" spans="1:5">
      <c r="A24" s="43">
        <v>43404</v>
      </c>
      <c r="B24">
        <v>-8.435296865457248E-2</v>
      </c>
      <c r="C24">
        <v>0.33278632415581461</v>
      </c>
      <c r="E24">
        <f t="shared" si="0"/>
        <v>8.250274846958236E-2</v>
      </c>
    </row>
    <row r="25" spans="1:5">
      <c r="A25" s="43">
        <v>43434</v>
      </c>
      <c r="B25">
        <v>-0.20268647489208161</v>
      </c>
      <c r="C25">
        <v>0.43628544662321128</v>
      </c>
      <c r="E25">
        <f t="shared" si="0"/>
        <v>5.290229371403557E-2</v>
      </c>
    </row>
    <row r="26" spans="1:5">
      <c r="A26" s="43">
        <v>43465</v>
      </c>
      <c r="B26">
        <v>0.36757846586949949</v>
      </c>
      <c r="C26">
        <v>-0.4037437708535796</v>
      </c>
      <c r="E26">
        <f t="shared" si="0"/>
        <v>5.9049571180267851E-2</v>
      </c>
    </row>
    <row r="27" spans="1:5">
      <c r="A27" s="43">
        <v>43496</v>
      </c>
      <c r="B27">
        <v>-0.29671025365656623</v>
      </c>
      <c r="C27">
        <v>0.52933676299465537</v>
      </c>
      <c r="E27">
        <f t="shared" si="0"/>
        <v>3.3708553003922448E-2</v>
      </c>
    </row>
    <row r="28" spans="1:5">
      <c r="A28" s="43">
        <v>43524</v>
      </c>
      <c r="B28">
        <v>0.59021893730609654</v>
      </c>
      <c r="C28">
        <v>9.324387373428393E-2</v>
      </c>
      <c r="E28">
        <f t="shared" si="0"/>
        <v>0.39142891187737144</v>
      </c>
    </row>
    <row r="29" spans="1:5">
      <c r="A29" s="43">
        <v>43553</v>
      </c>
      <c r="B29">
        <v>-0.13263935389581091</v>
      </c>
      <c r="C29">
        <v>0.17079849726900831</v>
      </c>
      <c r="E29">
        <f t="shared" si="0"/>
        <v>-1.1264213429883221E-2</v>
      </c>
    </row>
    <row r="30" spans="1:5">
      <c r="A30" s="43">
        <v>43585</v>
      </c>
      <c r="B30">
        <v>-1.3244494605493691E-2</v>
      </c>
      <c r="C30">
        <v>0.57829022048059697</v>
      </c>
      <c r="E30">
        <f t="shared" si="0"/>
        <v>0.2233693914289426</v>
      </c>
    </row>
    <row r="31" spans="1:5">
      <c r="A31" s="43">
        <v>43616</v>
      </c>
      <c r="B31">
        <v>-6.0763892817815301E-2</v>
      </c>
      <c r="C31">
        <v>0.25525890322982242</v>
      </c>
      <c r="E31">
        <f t="shared" si="0"/>
        <v>6.5645225601239796E-2</v>
      </c>
    </row>
    <row r="32" spans="1:5">
      <c r="A32" s="43">
        <v>43644</v>
      </c>
      <c r="B32">
        <v>0.20468884606017471</v>
      </c>
      <c r="C32">
        <v>1.5718797424863651E-2</v>
      </c>
      <c r="E32">
        <f t="shared" si="0"/>
        <v>0.12910082660605027</v>
      </c>
    </row>
    <row r="33" spans="1:5">
      <c r="A33" s="43">
        <v>43677</v>
      </c>
      <c r="B33">
        <v>0.19045624880502959</v>
      </c>
      <c r="C33">
        <v>-0.14595819472329771</v>
      </c>
      <c r="E33">
        <f t="shared" si="0"/>
        <v>5.5890471393698668E-2</v>
      </c>
    </row>
    <row r="34" spans="1:5">
      <c r="A34" s="43">
        <v>43707</v>
      </c>
      <c r="B34">
        <v>-0.31248391155900912</v>
      </c>
      <c r="C34">
        <v>0.50294087066847637</v>
      </c>
      <c r="E34">
        <f t="shared" si="0"/>
        <v>1.3686001331985082E-2</v>
      </c>
    </row>
    <row r="35" spans="1:5">
      <c r="A35" s="43">
        <v>43738</v>
      </c>
      <c r="B35">
        <v>-5.3498503250364482E-2</v>
      </c>
      <c r="C35">
        <v>0.61929207655390506</v>
      </c>
      <c r="E35">
        <f t="shared" ref="E35:E62" si="1">0.6*B35+0.4*C35</f>
        <v>0.21561772867134332</v>
      </c>
    </row>
    <row r="36" spans="1:5">
      <c r="A36" s="43">
        <v>43769</v>
      </c>
      <c r="B36">
        <v>9.1400446398802834E-2</v>
      </c>
      <c r="C36">
        <v>-5.421172476846009E-3</v>
      </c>
      <c r="E36">
        <f t="shared" si="1"/>
        <v>5.2671798848543297E-2</v>
      </c>
    </row>
    <row r="37" spans="1:5">
      <c r="A37" s="43">
        <v>43798</v>
      </c>
      <c r="B37">
        <v>-0.30026227034485492</v>
      </c>
      <c r="C37">
        <v>0.1751096164464109</v>
      </c>
      <c r="E37">
        <f t="shared" si="1"/>
        <v>-0.11011351562834858</v>
      </c>
    </row>
    <row r="38" spans="1:5">
      <c r="A38" s="43">
        <v>43830</v>
      </c>
      <c r="B38">
        <v>0.26835422068293502</v>
      </c>
      <c r="C38">
        <v>-0.1447036954752022</v>
      </c>
      <c r="E38">
        <f t="shared" si="1"/>
        <v>0.10313105421968013</v>
      </c>
    </row>
    <row r="39" spans="1:5">
      <c r="A39" s="43">
        <v>43861</v>
      </c>
      <c r="B39">
        <v>0.35662314368034442</v>
      </c>
      <c r="C39">
        <v>-0.20498553642793149</v>
      </c>
      <c r="E39">
        <f t="shared" si="1"/>
        <v>0.13197967163703406</v>
      </c>
    </row>
    <row r="40" spans="1:5">
      <c r="A40" s="43">
        <v>43889</v>
      </c>
      <c r="B40">
        <v>0.18043472105832981</v>
      </c>
      <c r="C40">
        <v>0.2330821747440103</v>
      </c>
      <c r="E40">
        <f t="shared" si="1"/>
        <v>0.20149370253260201</v>
      </c>
    </row>
    <row r="41" spans="1:5">
      <c r="A41" s="43">
        <v>43921</v>
      </c>
      <c r="B41">
        <v>7.3504082390743866E-2</v>
      </c>
      <c r="C41">
        <v>3.4168244541842099E-2</v>
      </c>
      <c r="E41">
        <f t="shared" si="1"/>
        <v>5.7769747251183161E-2</v>
      </c>
    </row>
    <row r="42" spans="1:5">
      <c r="A42" s="43">
        <v>43951</v>
      </c>
      <c r="B42">
        <v>-5.5073361478183043E-2</v>
      </c>
      <c r="C42">
        <v>0.23506360817624361</v>
      </c>
      <c r="E42">
        <f t="shared" si="1"/>
        <v>6.0981426383587618E-2</v>
      </c>
    </row>
    <row r="43" spans="1:5">
      <c r="A43" s="43">
        <v>43980</v>
      </c>
      <c r="B43">
        <v>0.49659418804066469</v>
      </c>
      <c r="C43">
        <v>0.1487120288125629</v>
      </c>
      <c r="E43">
        <f t="shared" si="1"/>
        <v>0.35744132434942394</v>
      </c>
    </row>
    <row r="44" spans="1:5">
      <c r="A44" s="43">
        <v>44012</v>
      </c>
      <c r="B44">
        <v>0.1187882067494241</v>
      </c>
      <c r="C44">
        <v>0.18020557737379611</v>
      </c>
      <c r="E44">
        <f t="shared" si="1"/>
        <v>0.1433551549991729</v>
      </c>
    </row>
    <row r="45" spans="1:5">
      <c r="A45" s="43">
        <v>44043</v>
      </c>
      <c r="B45">
        <v>8.3840690807460705E-2</v>
      </c>
      <c r="C45">
        <v>0.34484469510901372</v>
      </c>
      <c r="E45">
        <f t="shared" si="1"/>
        <v>0.18824229252808192</v>
      </c>
    </row>
    <row r="46" spans="1:5">
      <c r="A46" s="43">
        <v>44074</v>
      </c>
      <c r="B46">
        <v>0.19940633873699179</v>
      </c>
      <c r="C46">
        <v>1.352431097637866E-2</v>
      </c>
      <c r="E46">
        <f t="shared" si="1"/>
        <v>0.12505352763274652</v>
      </c>
    </row>
    <row r="47" spans="1:5">
      <c r="A47" s="43">
        <v>44104</v>
      </c>
      <c r="B47">
        <v>0.32458085685750843</v>
      </c>
      <c r="C47">
        <v>-2.281410997511207E-2</v>
      </c>
      <c r="E47">
        <f t="shared" si="1"/>
        <v>0.18562287012446022</v>
      </c>
    </row>
    <row r="48" spans="1:5">
      <c r="A48" s="43">
        <v>44134</v>
      </c>
      <c r="B48">
        <v>-0.46380985272980352</v>
      </c>
      <c r="C48">
        <v>0.79171014402306505</v>
      </c>
      <c r="E48">
        <f t="shared" si="1"/>
        <v>3.8398145971343944E-2</v>
      </c>
    </row>
    <row r="49" spans="1:5">
      <c r="A49" s="43">
        <v>44165</v>
      </c>
      <c r="B49">
        <v>-1.513906704259417E-2</v>
      </c>
      <c r="C49">
        <v>0.16857072953669569</v>
      </c>
      <c r="E49">
        <f t="shared" si="1"/>
        <v>5.8344851589121782E-2</v>
      </c>
    </row>
    <row r="50" spans="1:5">
      <c r="A50" s="43">
        <v>44196</v>
      </c>
      <c r="B50">
        <v>-6.4932987911742679E-2</v>
      </c>
      <c r="C50">
        <v>0.45373996182065712</v>
      </c>
      <c r="E50">
        <f t="shared" si="1"/>
        <v>0.14253619198121725</v>
      </c>
    </row>
    <row r="51" spans="1:5">
      <c r="A51" s="43">
        <v>44225</v>
      </c>
      <c r="B51">
        <v>2.6926110332607962E-2</v>
      </c>
      <c r="C51">
        <v>0.2140824576395432</v>
      </c>
      <c r="E51">
        <f t="shared" si="1"/>
        <v>0.10178864925538207</v>
      </c>
    </row>
    <row r="52" spans="1:5">
      <c r="A52" s="43">
        <v>44253</v>
      </c>
      <c r="B52">
        <v>0.39013889598943652</v>
      </c>
      <c r="C52">
        <v>-0.1382532834737005</v>
      </c>
      <c r="E52">
        <f t="shared" si="1"/>
        <v>0.17878202420418171</v>
      </c>
    </row>
    <row r="53" spans="1:5">
      <c r="A53" s="43">
        <v>44286</v>
      </c>
      <c r="B53">
        <v>0.18171194252865819</v>
      </c>
      <c r="C53">
        <v>0.31058307000384933</v>
      </c>
      <c r="E53">
        <f t="shared" si="1"/>
        <v>0.23326039351873465</v>
      </c>
    </row>
    <row r="54" spans="1:5">
      <c r="A54" s="43">
        <v>44316</v>
      </c>
      <c r="B54">
        <v>-5.8170201073972937E-2</v>
      </c>
      <c r="C54">
        <v>8.1931592653289656E-2</v>
      </c>
      <c r="E54">
        <f t="shared" si="1"/>
        <v>-2.129483583067901E-3</v>
      </c>
    </row>
    <row r="55" spans="1:5">
      <c r="A55" s="43">
        <v>44344</v>
      </c>
      <c r="B55">
        <v>-0.19283775090385119</v>
      </c>
      <c r="C55">
        <v>0.5288236147343629</v>
      </c>
      <c r="E55">
        <f t="shared" si="1"/>
        <v>9.5826795351434457E-2</v>
      </c>
    </row>
    <row r="56" spans="1:5">
      <c r="A56" s="43">
        <v>44377</v>
      </c>
      <c r="B56">
        <v>0.44183393076288308</v>
      </c>
      <c r="C56">
        <v>-0.2139309483998969</v>
      </c>
      <c r="E56">
        <f t="shared" si="1"/>
        <v>0.17952797909777107</v>
      </c>
    </row>
    <row r="57" spans="1:5">
      <c r="A57" s="43">
        <v>44407</v>
      </c>
      <c r="B57">
        <v>0.61777813860952113</v>
      </c>
      <c r="C57">
        <v>-0.33543939010509732</v>
      </c>
      <c r="E57">
        <f t="shared" si="1"/>
        <v>0.23649112712367373</v>
      </c>
    </row>
    <row r="58" spans="1:5">
      <c r="A58" s="43">
        <v>44439</v>
      </c>
      <c r="B58">
        <v>0.51247905088546619</v>
      </c>
      <c r="C58">
        <v>-0.2589898703205572</v>
      </c>
      <c r="E58">
        <f t="shared" si="1"/>
        <v>0.20389148240305682</v>
      </c>
    </row>
    <row r="59" spans="1:5">
      <c r="A59" s="43">
        <v>44469</v>
      </c>
      <c r="B59">
        <v>0.18111939462501031</v>
      </c>
      <c r="C59">
        <v>-4.9110373142876217E-2</v>
      </c>
      <c r="E59">
        <f t="shared" si="1"/>
        <v>8.9027487517855691E-2</v>
      </c>
    </row>
    <row r="60" spans="1:5">
      <c r="A60" s="43">
        <v>44498</v>
      </c>
      <c r="B60">
        <v>-1.8631392842704739E-2</v>
      </c>
      <c r="C60">
        <v>0.30488451259502081</v>
      </c>
      <c r="E60">
        <f t="shared" si="1"/>
        <v>0.11077496933238548</v>
      </c>
    </row>
    <row r="61" spans="1:5">
      <c r="A61" s="43">
        <v>44530</v>
      </c>
      <c r="B61">
        <v>0.47176059806956699</v>
      </c>
      <c r="C61">
        <v>-0.28394094226941857</v>
      </c>
      <c r="E61">
        <f t="shared" si="1"/>
        <v>0.16947998193397273</v>
      </c>
    </row>
    <row r="62" spans="1:5">
      <c r="A62" s="43">
        <v>44560</v>
      </c>
      <c r="B62">
        <v>-0.15767136837190199</v>
      </c>
      <c r="C62">
        <v>0.2419409787666438</v>
      </c>
      <c r="E62">
        <f t="shared" si="1"/>
        <v>2.1735704835163377E-3</v>
      </c>
    </row>
    <row r="64" spans="1:5">
      <c r="A64" t="s">
        <v>41</v>
      </c>
      <c r="B64">
        <f>AVERAGE(B3:B62)</f>
        <v>9.9999999999999964E-2</v>
      </c>
      <c r="C64">
        <f>AVERAGE(C3:C62)</f>
        <v>0.14999999999999952</v>
      </c>
      <c r="E64">
        <f>AVERAGE(E3:E62)</f>
        <v>0.1199999999999998</v>
      </c>
    </row>
    <row r="65" spans="1:5">
      <c r="A65" t="s">
        <v>42</v>
      </c>
      <c r="B65">
        <f>STDEVP(B3:B62)</f>
        <v>0.25</v>
      </c>
      <c r="C65">
        <f>STDEVP(C3:C62)</f>
        <v>0.29999999860072407</v>
      </c>
      <c r="E65">
        <f>STDEVP(E3:E62)</f>
        <v>9.0000002750182426E-2</v>
      </c>
    </row>
    <row r="67" spans="1:5">
      <c r="A67" t="s">
        <v>494</v>
      </c>
      <c r="C67">
        <f>COVAR(C3:C62,B3:B62)</f>
        <v>-5.9999998688826363E-2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F2A48-918D-4C4D-B13D-82D665C47CEF}">
  <dimension ref="B4:E23"/>
  <sheetViews>
    <sheetView workbookViewId="0">
      <selection activeCell="B7" sqref="B7"/>
    </sheetView>
  </sheetViews>
  <sheetFormatPr defaultRowHeight="14.5"/>
  <sheetData>
    <row r="4" spans="2:5">
      <c r="B4" s="1" t="s">
        <v>492</v>
      </c>
      <c r="C4" s="1" t="s">
        <v>213</v>
      </c>
    </row>
    <row r="5" spans="2:5">
      <c r="B5" s="1" t="s">
        <v>16</v>
      </c>
      <c r="C5" s="1" t="s">
        <v>16</v>
      </c>
      <c r="D5" s="1" t="s">
        <v>491</v>
      </c>
      <c r="E5" s="1" t="s">
        <v>493</v>
      </c>
    </row>
    <row r="6" spans="2:5">
      <c r="B6">
        <v>0.2</v>
      </c>
      <c r="C6">
        <v>0.2</v>
      </c>
      <c r="D6">
        <v>0.1</v>
      </c>
      <c r="E6">
        <f>D6*C6/B6</f>
        <v>0.10000000000000002</v>
      </c>
    </row>
    <row r="8" spans="2:5">
      <c r="B8" s="273" t="s">
        <v>444</v>
      </c>
      <c r="C8" s="273"/>
      <c r="D8" s="1" t="s">
        <v>17</v>
      </c>
    </row>
    <row r="9" spans="2:5">
      <c r="B9" s="3" t="s">
        <v>0</v>
      </c>
      <c r="C9" s="3" t="s">
        <v>492</v>
      </c>
      <c r="D9" s="1" t="s">
        <v>16</v>
      </c>
    </row>
    <row r="10" spans="2:5">
      <c r="B10">
        <v>1</v>
      </c>
      <c r="C10">
        <v>0</v>
      </c>
      <c r="D10">
        <f t="shared" ref="D10:D22" si="0">SQRT((C10*$B$6)^2+(B10*$C$6)^2+2*C10*B10*$B$6*$C$6*$D$6)</f>
        <v>0.2</v>
      </c>
    </row>
    <row r="11" spans="2:5">
      <c r="B11">
        <v>0.9</v>
      </c>
      <c r="C11">
        <v>0.1</v>
      </c>
      <c r="D11">
        <f t="shared" si="0"/>
        <v>0.18308467986153293</v>
      </c>
    </row>
    <row r="12" spans="2:5">
      <c r="B12">
        <v>0.8</v>
      </c>
      <c r="C12">
        <v>0.2</v>
      </c>
      <c r="D12">
        <f t="shared" si="0"/>
        <v>0.16876018487783193</v>
      </c>
    </row>
    <row r="13" spans="2:5">
      <c r="B13">
        <v>0.7</v>
      </c>
      <c r="C13">
        <v>0.30000000000000004</v>
      </c>
      <c r="D13">
        <f t="shared" si="0"/>
        <v>0.15773395322504283</v>
      </c>
    </row>
    <row r="14" spans="2:5">
      <c r="B14">
        <v>0.6</v>
      </c>
      <c r="C14">
        <v>0.4</v>
      </c>
      <c r="D14">
        <f t="shared" si="0"/>
        <v>0.15073154945133418</v>
      </c>
    </row>
    <row r="15" spans="2:5">
      <c r="B15">
        <v>0.5</v>
      </c>
      <c r="C15">
        <v>0.5</v>
      </c>
      <c r="D15">
        <f t="shared" si="0"/>
        <v>0.14832396974191328</v>
      </c>
    </row>
    <row r="16" spans="2:5">
      <c r="B16">
        <v>0.4</v>
      </c>
      <c r="C16">
        <v>0.6</v>
      </c>
      <c r="D16">
        <f t="shared" si="0"/>
        <v>0.15073154945133418</v>
      </c>
    </row>
    <row r="17" spans="2:4">
      <c r="B17">
        <v>0.30000000000000004</v>
      </c>
      <c r="C17">
        <v>0.7</v>
      </c>
      <c r="D17">
        <f t="shared" si="0"/>
        <v>0.15773395322504283</v>
      </c>
    </row>
    <row r="18" spans="2:4">
      <c r="B18">
        <v>0.20000000000000007</v>
      </c>
      <c r="C18">
        <v>0.79999999999999993</v>
      </c>
      <c r="D18">
        <f t="shared" si="0"/>
        <v>0.1687601848778319</v>
      </c>
    </row>
    <row r="19" spans="2:4">
      <c r="B19">
        <v>0.10000000000000009</v>
      </c>
      <c r="C19">
        <v>0.89999999999999991</v>
      </c>
      <c r="D19">
        <f t="shared" si="0"/>
        <v>0.1830846798615329</v>
      </c>
    </row>
    <row r="20" spans="2:4">
      <c r="B20">
        <v>0</v>
      </c>
      <c r="C20">
        <v>0.99999999999999989</v>
      </c>
      <c r="D20">
        <f t="shared" si="0"/>
        <v>0.19999999999999998</v>
      </c>
    </row>
    <row r="21" spans="2:4">
      <c r="B21">
        <v>-9.9999999999999867E-2</v>
      </c>
      <c r="C21">
        <v>1.0999999999999999</v>
      </c>
      <c r="D21">
        <f t="shared" si="0"/>
        <v>0.218906372680194</v>
      </c>
    </row>
    <row r="22" spans="2:4">
      <c r="B22">
        <v>-0.19999999999999996</v>
      </c>
      <c r="C22">
        <v>1.2</v>
      </c>
      <c r="D22">
        <f t="shared" si="0"/>
        <v>0.23933240482642545</v>
      </c>
    </row>
    <row r="23" spans="2:4">
      <c r="B23">
        <v>-0.30000000000000004</v>
      </c>
      <c r="C23">
        <v>1.3</v>
      </c>
      <c r="D23">
        <f>SQRT((C23*$B$6)^2+(B23*$C$6)^2+2*C23*B23*$B$6*$C$6*$D$6)</f>
        <v>0.26092144411680696</v>
      </c>
    </row>
  </sheetData>
  <mergeCells count="1">
    <mergeCell ref="B8:C8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921F0-82AE-42DF-A66A-D9269B1CA3DD}">
  <dimension ref="A1:E66"/>
  <sheetViews>
    <sheetView topLeftCell="A22" workbookViewId="0">
      <selection activeCell="B67" sqref="B67"/>
    </sheetView>
  </sheetViews>
  <sheetFormatPr defaultRowHeight="14.5"/>
  <cols>
    <col min="1" max="1" width="9.453125" bestFit="1" customWidth="1"/>
    <col min="2" max="2" width="9" bestFit="1" customWidth="1"/>
    <col min="3" max="3" width="12.453125" bestFit="1" customWidth="1"/>
    <col min="4" max="4" width="2.453125" customWidth="1"/>
    <col min="5" max="5" width="13.453125" bestFit="1" customWidth="1"/>
  </cols>
  <sheetData>
    <row r="1" spans="1:5">
      <c r="A1" s="1" t="s">
        <v>210</v>
      </c>
      <c r="B1" s="1" t="s">
        <v>17</v>
      </c>
      <c r="C1" s="1" t="s">
        <v>581</v>
      </c>
      <c r="E1" s="1" t="s">
        <v>577</v>
      </c>
    </row>
    <row r="2" spans="1:5">
      <c r="A2">
        <v>20200131</v>
      </c>
      <c r="B2">
        <v>0.14779057376074001</v>
      </c>
      <c r="C2">
        <v>0.35454501874261701</v>
      </c>
      <c r="E2">
        <f>0.99*B2+0.01*C2</f>
        <v>0.14985811821055878</v>
      </c>
    </row>
    <row r="3" spans="1:5">
      <c r="A3">
        <v>20200229</v>
      </c>
      <c r="B3">
        <v>0.41079298769533001</v>
      </c>
      <c r="C3">
        <v>0.28513815415883598</v>
      </c>
      <c r="E3">
        <f t="shared" ref="E3:E61" si="0">0.99*B3+0.01*C3</f>
        <v>0.40953643935996509</v>
      </c>
    </row>
    <row r="4" spans="1:5">
      <c r="A4">
        <v>20200331</v>
      </c>
      <c r="B4">
        <v>3.3807791469913501E-2</v>
      </c>
      <c r="C4">
        <v>0.14759764886212901</v>
      </c>
      <c r="E4">
        <f t="shared" si="0"/>
        <v>3.4945690043835659E-2</v>
      </c>
    </row>
    <row r="5" spans="1:5">
      <c r="A5">
        <v>20200430</v>
      </c>
      <c r="B5">
        <v>0.42801921413294503</v>
      </c>
      <c r="C5">
        <v>0.60887754023160601</v>
      </c>
      <c r="E5">
        <f t="shared" si="0"/>
        <v>0.42982779739393162</v>
      </c>
    </row>
    <row r="6" spans="1:5">
      <c r="A6">
        <v>20200531</v>
      </c>
      <c r="B6">
        <v>0.114914186796089</v>
      </c>
      <c r="C6">
        <v>2.5788411522462199E-2</v>
      </c>
      <c r="E6">
        <f t="shared" si="0"/>
        <v>0.11402292904335273</v>
      </c>
    </row>
    <row r="7" spans="1:5">
      <c r="A7">
        <v>20200630</v>
      </c>
      <c r="B7">
        <v>-3.1344360954488601E-2</v>
      </c>
      <c r="C7">
        <v>9.64496370264738E-2</v>
      </c>
      <c r="E7">
        <f t="shared" si="0"/>
        <v>-3.0066420974678976E-2</v>
      </c>
    </row>
    <row r="8" spans="1:5">
      <c r="A8">
        <v>20200731</v>
      </c>
      <c r="B8">
        <v>-0.146000144506851</v>
      </c>
      <c r="C8">
        <v>0.40140694638388902</v>
      </c>
      <c r="E8">
        <f t="shared" si="0"/>
        <v>-0.14052607359794361</v>
      </c>
    </row>
    <row r="9" spans="1:5">
      <c r="A9">
        <v>20200831</v>
      </c>
      <c r="B9">
        <v>-0.21802808362343401</v>
      </c>
      <c r="C9">
        <v>-0.26545707031966997</v>
      </c>
      <c r="E9">
        <f t="shared" si="0"/>
        <v>-0.21850237349039636</v>
      </c>
    </row>
    <row r="10" spans="1:5">
      <c r="A10">
        <v>20200930</v>
      </c>
      <c r="B10">
        <v>7.2664952585980297E-3</v>
      </c>
      <c r="C10">
        <v>-0.117335058884524</v>
      </c>
      <c r="E10">
        <f t="shared" si="0"/>
        <v>6.020479717166809E-3</v>
      </c>
    </row>
    <row r="11" spans="1:5">
      <c r="A11">
        <v>20201031</v>
      </c>
      <c r="B11">
        <v>-0.23025951700552399</v>
      </c>
      <c r="C11">
        <v>3.12483054036122E-2</v>
      </c>
      <c r="E11">
        <f t="shared" si="0"/>
        <v>-0.22764443878143265</v>
      </c>
    </row>
    <row r="12" spans="1:5">
      <c r="A12">
        <v>20201130</v>
      </c>
      <c r="B12">
        <v>0.26759385157791998</v>
      </c>
      <c r="C12">
        <v>0.64356539714772698</v>
      </c>
      <c r="E12">
        <f t="shared" si="0"/>
        <v>0.27135356703361807</v>
      </c>
    </row>
    <row r="13" spans="1:5">
      <c r="A13">
        <v>20201231</v>
      </c>
      <c r="B13">
        <v>-9.8600119133915198E-2</v>
      </c>
      <c r="C13">
        <v>0.31707277751331098</v>
      </c>
      <c r="E13">
        <f t="shared" si="0"/>
        <v>-9.4443390167442937E-2</v>
      </c>
    </row>
    <row r="14" spans="1:5">
      <c r="A14">
        <v>20210131</v>
      </c>
      <c r="B14">
        <v>4.1698874314898403E-2</v>
      </c>
      <c r="C14">
        <v>3.3398378147864498E-2</v>
      </c>
      <c r="E14">
        <f t="shared" si="0"/>
        <v>4.1615869353228058E-2</v>
      </c>
    </row>
    <row r="15" spans="1:5">
      <c r="A15">
        <v>20210228</v>
      </c>
      <c r="B15">
        <v>-2.67255263775542E-3</v>
      </c>
      <c r="C15">
        <v>-0.161893142844063</v>
      </c>
      <c r="E15">
        <f t="shared" si="0"/>
        <v>-4.2647585398184959E-3</v>
      </c>
    </row>
    <row r="16" spans="1:5">
      <c r="A16">
        <v>20210331</v>
      </c>
      <c r="B16">
        <v>-2.4730886074678798E-2</v>
      </c>
      <c r="C16">
        <v>4.4474112909399698E-2</v>
      </c>
      <c r="E16">
        <f t="shared" si="0"/>
        <v>-2.4038836084838013E-2</v>
      </c>
    </row>
    <row r="17" spans="1:5">
      <c r="A17">
        <v>20210430</v>
      </c>
      <c r="B17">
        <v>0.28788117665434498</v>
      </c>
      <c r="C17">
        <v>-0.102325937603856</v>
      </c>
      <c r="E17">
        <f t="shared" si="0"/>
        <v>0.28397910551176297</v>
      </c>
    </row>
    <row r="18" spans="1:5">
      <c r="A18">
        <v>20210531</v>
      </c>
      <c r="B18">
        <v>-5.6143361113555099E-2</v>
      </c>
      <c r="C18">
        <v>0.268325944678313</v>
      </c>
      <c r="E18">
        <f t="shared" si="0"/>
        <v>-5.2898668055636415E-2</v>
      </c>
    </row>
    <row r="19" spans="1:5">
      <c r="A19">
        <v>20210630</v>
      </c>
      <c r="B19">
        <v>3.44462132356846E-2</v>
      </c>
      <c r="C19">
        <v>0.52369316410535105</v>
      </c>
      <c r="E19">
        <f t="shared" si="0"/>
        <v>3.9338682744381265E-2</v>
      </c>
    </row>
    <row r="20" spans="1:5">
      <c r="A20">
        <v>20210731</v>
      </c>
      <c r="B20">
        <v>-0.157295954901956</v>
      </c>
      <c r="C20">
        <v>0.39490791603292502</v>
      </c>
      <c r="E20">
        <f t="shared" si="0"/>
        <v>-0.15177391619260719</v>
      </c>
    </row>
    <row r="21" spans="1:5">
      <c r="A21">
        <v>20210831</v>
      </c>
      <c r="B21">
        <v>-5.3004312622296899E-2</v>
      </c>
      <c r="C21">
        <v>-0.201434732106401</v>
      </c>
      <c r="E21">
        <f t="shared" si="0"/>
        <v>-5.4488616817137937E-2</v>
      </c>
    </row>
    <row r="22" spans="1:5">
      <c r="A22">
        <v>20210930</v>
      </c>
      <c r="B22">
        <v>0.22603562749538</v>
      </c>
      <c r="C22">
        <v>0.40400889155115699</v>
      </c>
      <c r="E22">
        <f t="shared" si="0"/>
        <v>0.22781536013593778</v>
      </c>
    </row>
    <row r="23" spans="1:5">
      <c r="A23">
        <v>20211031</v>
      </c>
      <c r="B23">
        <v>4.0252654207976801E-2</v>
      </c>
      <c r="C23">
        <v>0.18679039420917801</v>
      </c>
      <c r="E23">
        <f t="shared" si="0"/>
        <v>4.1718031607988815E-2</v>
      </c>
    </row>
    <row r="24" spans="1:5">
      <c r="A24">
        <v>20211130</v>
      </c>
      <c r="B24">
        <v>-0.20730031893133299</v>
      </c>
      <c r="C24">
        <v>-0.18271581254688701</v>
      </c>
      <c r="E24">
        <f t="shared" si="0"/>
        <v>-0.20705447386748854</v>
      </c>
    </row>
    <row r="25" spans="1:5">
      <c r="A25">
        <v>20211231</v>
      </c>
      <c r="B25">
        <v>0.19118633614310901</v>
      </c>
      <c r="C25">
        <v>-6.78831790791467E-3</v>
      </c>
      <c r="E25">
        <f t="shared" si="0"/>
        <v>0.18920658960259876</v>
      </c>
    </row>
    <row r="26" spans="1:5">
      <c r="A26">
        <v>20220131</v>
      </c>
      <c r="B26">
        <v>-0.110174885915319</v>
      </c>
      <c r="C26">
        <v>0.42083703235637099</v>
      </c>
      <c r="E26">
        <f t="shared" si="0"/>
        <v>-0.1048647667326021</v>
      </c>
    </row>
    <row r="27" spans="1:5">
      <c r="A27">
        <v>20220228</v>
      </c>
      <c r="B27">
        <v>8.8166068771034695E-2</v>
      </c>
      <c r="C27">
        <v>0.32098099933817298</v>
      </c>
      <c r="E27">
        <f t="shared" si="0"/>
        <v>9.0494218076706073E-2</v>
      </c>
    </row>
    <row r="28" spans="1:5">
      <c r="A28">
        <v>20220331</v>
      </c>
      <c r="B28">
        <v>9.6613800148954002E-2</v>
      </c>
      <c r="C28">
        <v>-3.9532712489806401E-2</v>
      </c>
      <c r="E28">
        <f t="shared" si="0"/>
        <v>9.5252335022566401E-2</v>
      </c>
    </row>
    <row r="29" spans="1:5">
      <c r="A29">
        <v>20220430</v>
      </c>
      <c r="B29">
        <v>0.37691425945356899</v>
      </c>
      <c r="C29">
        <v>0.43754096873100901</v>
      </c>
      <c r="E29">
        <f t="shared" si="0"/>
        <v>0.37752052654634338</v>
      </c>
    </row>
    <row r="30" spans="1:5">
      <c r="A30">
        <v>20220531</v>
      </c>
      <c r="B30">
        <v>-5.9928752057871799E-2</v>
      </c>
      <c r="C30">
        <v>-2.40215542539754E-2</v>
      </c>
      <c r="E30">
        <f t="shared" si="0"/>
        <v>-5.9569680079832835E-2</v>
      </c>
    </row>
    <row r="31" spans="1:5">
      <c r="A31">
        <v>20220630</v>
      </c>
      <c r="B31">
        <v>0.28763386259592699</v>
      </c>
      <c r="C31">
        <v>0.230112597077756</v>
      </c>
      <c r="E31">
        <f t="shared" si="0"/>
        <v>0.28705864994074531</v>
      </c>
    </row>
    <row r="32" spans="1:5">
      <c r="A32">
        <v>20220731</v>
      </c>
      <c r="B32">
        <v>7.3559768230894102E-3</v>
      </c>
      <c r="C32">
        <v>7.2710907852201898E-2</v>
      </c>
      <c r="E32">
        <f t="shared" si="0"/>
        <v>8.0095261333805352E-3</v>
      </c>
    </row>
    <row r="33" spans="1:5">
      <c r="A33">
        <v>20220831</v>
      </c>
      <c r="B33">
        <v>-0.225868562211686</v>
      </c>
      <c r="C33">
        <v>-4.1446388282875397E-2</v>
      </c>
      <c r="E33">
        <f t="shared" si="0"/>
        <v>-0.22402434047239789</v>
      </c>
    </row>
    <row r="34" spans="1:5">
      <c r="A34">
        <v>20220930</v>
      </c>
      <c r="B34">
        <v>0.40901502213890101</v>
      </c>
      <c r="C34">
        <v>0.34468573192849</v>
      </c>
      <c r="E34">
        <f t="shared" si="0"/>
        <v>0.40837172923679688</v>
      </c>
    </row>
    <row r="35" spans="1:5">
      <c r="A35">
        <v>20221031</v>
      </c>
      <c r="B35">
        <v>0.23654089264908601</v>
      </c>
      <c r="C35">
        <v>0.11039775645384001</v>
      </c>
      <c r="E35">
        <f t="shared" si="0"/>
        <v>0.23527946128713353</v>
      </c>
    </row>
    <row r="36" spans="1:5">
      <c r="A36">
        <v>20221130</v>
      </c>
      <c r="B36">
        <v>5.5370202906335701E-2</v>
      </c>
      <c r="C36">
        <v>0.34971775393417998</v>
      </c>
      <c r="E36">
        <f t="shared" si="0"/>
        <v>5.831367841661414E-2</v>
      </c>
    </row>
    <row r="37" spans="1:5">
      <c r="A37">
        <v>20221231</v>
      </c>
      <c r="B37">
        <v>0.37381162132596801</v>
      </c>
      <c r="C37">
        <v>0.20048213465991399</v>
      </c>
      <c r="E37">
        <f t="shared" si="0"/>
        <v>0.37207832645930744</v>
      </c>
    </row>
    <row r="38" spans="1:5">
      <c r="A38">
        <v>20230131</v>
      </c>
      <c r="B38">
        <v>0.32334526074595499</v>
      </c>
      <c r="C38">
        <v>8.2629487685110706E-2</v>
      </c>
      <c r="E38">
        <f t="shared" si="0"/>
        <v>0.32093810301534653</v>
      </c>
    </row>
    <row r="39" spans="1:5">
      <c r="A39">
        <v>20230228</v>
      </c>
      <c r="B39">
        <v>-0.138535316444584</v>
      </c>
      <c r="C39">
        <v>-0.62142578472920995</v>
      </c>
      <c r="E39">
        <f t="shared" si="0"/>
        <v>-0.14336422112743025</v>
      </c>
    </row>
    <row r="40" spans="1:5">
      <c r="A40">
        <v>20230331</v>
      </c>
      <c r="B40">
        <v>6.8291182408476897E-2</v>
      </c>
      <c r="C40">
        <v>0.245857666619719</v>
      </c>
      <c r="E40">
        <f t="shared" si="0"/>
        <v>7.0066847250589315E-2</v>
      </c>
    </row>
    <row r="41" spans="1:5">
      <c r="A41">
        <v>20230430</v>
      </c>
      <c r="B41">
        <v>-0.177387745457046</v>
      </c>
      <c r="C41">
        <v>0.36260653786647001</v>
      </c>
      <c r="E41">
        <f t="shared" si="0"/>
        <v>-0.17198780262381083</v>
      </c>
    </row>
    <row r="42" spans="1:5">
      <c r="A42">
        <v>20230531</v>
      </c>
      <c r="B42">
        <v>0.122039398166194</v>
      </c>
      <c r="C42">
        <v>0.11143046136957099</v>
      </c>
      <c r="E42">
        <f t="shared" si="0"/>
        <v>0.12193330879822777</v>
      </c>
    </row>
    <row r="43" spans="1:5">
      <c r="A43">
        <v>20230630</v>
      </c>
      <c r="B43">
        <v>0.22660084098355199</v>
      </c>
      <c r="C43">
        <v>0.66712724736639495</v>
      </c>
      <c r="E43">
        <f t="shared" si="0"/>
        <v>0.23100610504738042</v>
      </c>
    </row>
    <row r="44" spans="1:5">
      <c r="A44">
        <v>20230731</v>
      </c>
      <c r="B44">
        <v>-8.38131308601512E-2</v>
      </c>
      <c r="C44">
        <v>-1.8908897254841499E-3</v>
      </c>
      <c r="E44">
        <f t="shared" si="0"/>
        <v>-8.2993908448804526E-2</v>
      </c>
    </row>
    <row r="45" spans="1:5">
      <c r="A45">
        <v>20230831</v>
      </c>
      <c r="B45">
        <v>0.27320257559918898</v>
      </c>
      <c r="C45">
        <v>0.44494127993739202</v>
      </c>
      <c r="E45">
        <f t="shared" si="0"/>
        <v>0.27491996264257101</v>
      </c>
    </row>
    <row r="46" spans="1:5">
      <c r="A46">
        <v>20230930</v>
      </c>
      <c r="B46">
        <v>0.102392753876205</v>
      </c>
      <c r="C46">
        <v>1.01794081939838E-2</v>
      </c>
      <c r="E46">
        <f t="shared" si="0"/>
        <v>0.10147062041938278</v>
      </c>
    </row>
    <row r="47" spans="1:5">
      <c r="A47">
        <v>20231031</v>
      </c>
      <c r="B47">
        <v>0.25458604210187902</v>
      </c>
      <c r="C47">
        <v>0.16217466591497001</v>
      </c>
      <c r="E47">
        <f t="shared" si="0"/>
        <v>0.25366192834000995</v>
      </c>
    </row>
    <row r="48" spans="1:5">
      <c r="A48">
        <v>20231130</v>
      </c>
      <c r="B48">
        <v>-4.3853369797160903E-2</v>
      </c>
      <c r="C48">
        <v>1.7306928263581999E-2</v>
      </c>
      <c r="E48">
        <f t="shared" si="0"/>
        <v>-4.3241766816553472E-2</v>
      </c>
    </row>
    <row r="49" spans="1:5">
      <c r="A49">
        <v>20231231</v>
      </c>
      <c r="B49">
        <v>-0.16714264397992601</v>
      </c>
      <c r="C49">
        <v>0.185454514481532</v>
      </c>
      <c r="E49">
        <f t="shared" si="0"/>
        <v>-0.16361667239531144</v>
      </c>
    </row>
    <row r="50" spans="1:5">
      <c r="A50">
        <v>20240131</v>
      </c>
      <c r="B50">
        <v>0.17859728967209701</v>
      </c>
      <c r="C50">
        <v>0.26866465080886798</v>
      </c>
      <c r="E50">
        <f t="shared" si="0"/>
        <v>0.17949796328346471</v>
      </c>
    </row>
    <row r="51" spans="1:5">
      <c r="A51">
        <v>20240229</v>
      </c>
      <c r="B51">
        <v>6.6478537535203303E-2</v>
      </c>
      <c r="C51">
        <v>0.217522019682764</v>
      </c>
      <c r="E51">
        <f t="shared" si="0"/>
        <v>6.7988972356678917E-2</v>
      </c>
    </row>
    <row r="52" spans="1:5">
      <c r="A52">
        <v>20240331</v>
      </c>
      <c r="B52">
        <v>-0.155013471486215</v>
      </c>
      <c r="C52">
        <v>-0.18471127053943001</v>
      </c>
      <c r="E52">
        <f t="shared" si="0"/>
        <v>-0.15531044947674716</v>
      </c>
    </row>
    <row r="53" spans="1:5">
      <c r="A53">
        <v>20240430</v>
      </c>
      <c r="B53">
        <v>-6.3924641205299906E-2</v>
      </c>
      <c r="C53">
        <v>0.154703736216945</v>
      </c>
      <c r="E53">
        <f t="shared" si="0"/>
        <v>-6.1738357431077459E-2</v>
      </c>
    </row>
    <row r="54" spans="1:5">
      <c r="A54">
        <v>20240531</v>
      </c>
      <c r="B54">
        <v>0.13687503709495</v>
      </c>
      <c r="C54">
        <v>0.12527889872973799</v>
      </c>
      <c r="E54">
        <f t="shared" si="0"/>
        <v>0.13675907571129789</v>
      </c>
    </row>
    <row r="55" spans="1:5">
      <c r="A55">
        <v>20240630</v>
      </c>
      <c r="B55">
        <v>0.38353444426587302</v>
      </c>
      <c r="C55">
        <v>0.73905650015120095</v>
      </c>
      <c r="E55">
        <f t="shared" si="0"/>
        <v>0.38708966482472629</v>
      </c>
    </row>
    <row r="56" spans="1:5">
      <c r="A56">
        <v>20240731</v>
      </c>
      <c r="B56">
        <v>0.124377952368771</v>
      </c>
      <c r="C56">
        <v>0.28032108734759698</v>
      </c>
      <c r="E56">
        <f t="shared" si="0"/>
        <v>0.12593738371855925</v>
      </c>
    </row>
    <row r="57" spans="1:5">
      <c r="A57">
        <v>20240831</v>
      </c>
      <c r="B57">
        <v>-0.166393497420461</v>
      </c>
      <c r="C57">
        <v>-0.35869173610298</v>
      </c>
      <c r="E57">
        <f t="shared" si="0"/>
        <v>-0.1683164798072862</v>
      </c>
    </row>
    <row r="58" spans="1:5">
      <c r="A58">
        <v>20240930</v>
      </c>
      <c r="B58">
        <v>0.46757332587980699</v>
      </c>
      <c r="C58">
        <v>4.92917846842508E-2</v>
      </c>
      <c r="E58">
        <f t="shared" si="0"/>
        <v>0.46339051046785146</v>
      </c>
    </row>
    <row r="59" spans="1:5">
      <c r="A59">
        <v>20241031</v>
      </c>
      <c r="B59">
        <v>0.117670330258579</v>
      </c>
      <c r="C59">
        <v>0.123204938084916</v>
      </c>
      <c r="E59">
        <f t="shared" si="0"/>
        <v>0.11772567633684236</v>
      </c>
    </row>
    <row r="60" spans="1:5">
      <c r="A60">
        <v>20241130</v>
      </c>
      <c r="B60">
        <v>-7.5233580338717798E-2</v>
      </c>
      <c r="C60">
        <v>0.26971073214094299</v>
      </c>
      <c r="E60">
        <f t="shared" si="0"/>
        <v>-7.1784137213921184E-2</v>
      </c>
    </row>
    <row r="61" spans="1:5">
      <c r="A61">
        <v>20241231</v>
      </c>
      <c r="B61">
        <v>0.36605110838703903</v>
      </c>
      <c r="C61">
        <v>0.48246030564947801</v>
      </c>
      <c r="E61">
        <f t="shared" si="0"/>
        <v>0.36721520035966343</v>
      </c>
    </row>
    <row r="63" spans="1:5">
      <c r="A63" t="s">
        <v>16</v>
      </c>
      <c r="B63" s="40">
        <f>STDEVP(B2:B61)</f>
        <v>0.19190323731318401</v>
      </c>
      <c r="C63" s="40">
        <f>STDEVP(C2:C61)</f>
        <v>0.25608271770763047</v>
      </c>
      <c r="D63" s="40"/>
      <c r="E63" s="40">
        <f>STDEVP(E2:E61)</f>
        <v>0.1911822261944105</v>
      </c>
    </row>
    <row r="64" spans="1:5">
      <c r="A64" t="s">
        <v>578</v>
      </c>
      <c r="B64" s="40">
        <f>SLOPE(C2:C61,B2:B61)</f>
        <v>0.6172588196669182</v>
      </c>
      <c r="C64" s="40"/>
      <c r="D64" s="40"/>
      <c r="E64" s="40"/>
    </row>
    <row r="65" spans="1:2">
      <c r="A65" s="190" t="s">
        <v>579</v>
      </c>
      <c r="B65" s="191">
        <f>(B64-1)</f>
        <v>-0.3827411803330818</v>
      </c>
    </row>
    <row r="66" spans="1:2">
      <c r="A66" s="190" t="s">
        <v>580</v>
      </c>
      <c r="B66" s="191">
        <f>(E63/B63-1)*100</f>
        <v>-0.37571597481538266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F042C-57BF-4A51-8441-94A35209E22F}">
  <dimension ref="A1:R40"/>
  <sheetViews>
    <sheetView workbookViewId="0">
      <selection activeCell="F28" sqref="F28"/>
    </sheetView>
  </sheetViews>
  <sheetFormatPr defaultRowHeight="14.5"/>
  <cols>
    <col min="5" max="5" width="5.453125" customWidth="1"/>
    <col min="6" max="6" width="10" customWidth="1"/>
    <col min="7" max="7" width="12.1796875" customWidth="1"/>
    <col min="8" max="8" width="3.81640625" customWidth="1"/>
    <col min="9" max="9" width="12.54296875" customWidth="1"/>
    <col min="10" max="10" width="10.54296875" customWidth="1"/>
    <col min="12" max="12" width="12.81640625" bestFit="1" customWidth="1"/>
    <col min="18" max="18" width="12.81640625" bestFit="1" customWidth="1"/>
  </cols>
  <sheetData>
    <row r="1" spans="1:18">
      <c r="I1" s="273" t="s">
        <v>59</v>
      </c>
      <c r="J1" s="275"/>
      <c r="L1" s="273" t="s">
        <v>59</v>
      </c>
      <c r="M1" s="275"/>
      <c r="R1" s="1"/>
    </row>
    <row r="2" spans="1:18">
      <c r="I2" s="273" t="s">
        <v>60</v>
      </c>
      <c r="J2" s="275"/>
      <c r="L2" s="273" t="s">
        <v>61</v>
      </c>
      <c r="M2" s="275"/>
    </row>
    <row r="3" spans="1:18">
      <c r="B3" s="273" t="s">
        <v>61</v>
      </c>
      <c r="C3" s="275"/>
      <c r="F3" s="273" t="s">
        <v>60</v>
      </c>
      <c r="G3" s="275"/>
    </row>
    <row r="4" spans="1:18">
      <c r="A4" t="s">
        <v>43</v>
      </c>
      <c r="B4" s="49" t="s">
        <v>40</v>
      </c>
      <c r="C4" s="49" t="s">
        <v>63</v>
      </c>
      <c r="D4" s="1" t="s">
        <v>64</v>
      </c>
      <c r="F4" s="49" t="s">
        <v>40</v>
      </c>
      <c r="G4" s="49" t="s">
        <v>63</v>
      </c>
    </row>
    <row r="5" spans="1:18">
      <c r="A5">
        <v>202201</v>
      </c>
      <c r="B5">
        <v>-0.10875</v>
      </c>
      <c r="C5">
        <v>-6.25E-2</v>
      </c>
      <c r="D5">
        <f>0.0032</f>
        <v>3.2000000000000002E-3</v>
      </c>
      <c r="F5">
        <f t="shared" ref="F5:F40" si="0">B5-D5</f>
        <v>-0.11194999999999999</v>
      </c>
      <c r="G5">
        <f t="shared" ref="G5:G40" si="1">C5-D5</f>
        <v>-6.5699999999999995E-2</v>
      </c>
      <c r="I5" t="s">
        <v>66</v>
      </c>
      <c r="J5" s="40">
        <f>INTERCEPT(F5:F40,G5:G40)</f>
        <v>1.5992832356627025E-2</v>
      </c>
      <c r="L5" t="s">
        <v>67</v>
      </c>
      <c r="M5" s="40">
        <f>INTERCEPT(B5:B40,C5:C40)</f>
        <v>1.3079548619244808E-2</v>
      </c>
    </row>
    <row r="6" spans="1:18">
      <c r="A6">
        <v>202202</v>
      </c>
      <c r="B6">
        <v>-3.3509999999999998E-2</v>
      </c>
      <c r="C6">
        <v>-2.29E-2</v>
      </c>
      <c r="D6">
        <f t="shared" ref="D6:D40" si="2">0.0032</f>
        <v>3.2000000000000002E-3</v>
      </c>
      <c r="F6">
        <f t="shared" si="0"/>
        <v>-3.671E-2</v>
      </c>
      <c r="G6">
        <f t="shared" si="1"/>
        <v>-2.6100000000000002E-2</v>
      </c>
      <c r="I6" t="s">
        <v>69</v>
      </c>
      <c r="J6" s="40">
        <f>SLOPE(F5:F40,G5:G40)</f>
        <v>1.9104011679319399</v>
      </c>
      <c r="L6" t="s">
        <v>70</v>
      </c>
      <c r="M6" s="40">
        <f>SLOPE(B5:B40,C5:C40)</f>
        <v>1.9104011679319399</v>
      </c>
    </row>
    <row r="7" spans="1:18">
      <c r="A7">
        <v>202203</v>
      </c>
      <c r="B7">
        <v>6.8429999999999991E-2</v>
      </c>
      <c r="C7">
        <v>3.0699999999999998E-2</v>
      </c>
      <c r="D7">
        <f t="shared" si="2"/>
        <v>3.2000000000000002E-3</v>
      </c>
      <c r="F7">
        <f t="shared" si="0"/>
        <v>6.5229999999999996E-2</v>
      </c>
      <c r="G7">
        <f t="shared" si="1"/>
        <v>2.7499999999999997E-2</v>
      </c>
    </row>
    <row r="8" spans="1:18">
      <c r="A8">
        <v>202204</v>
      </c>
      <c r="B8">
        <v>-0.16945000000000002</v>
      </c>
      <c r="C8">
        <v>-9.4500000000000015E-2</v>
      </c>
      <c r="D8">
        <f t="shared" si="2"/>
        <v>3.2000000000000002E-3</v>
      </c>
      <c r="F8">
        <f t="shared" si="0"/>
        <v>-0.17265000000000003</v>
      </c>
      <c r="G8">
        <f t="shared" si="1"/>
        <v>-9.7700000000000009E-2</v>
      </c>
      <c r="J8" s="40"/>
    </row>
    <row r="9" spans="1:18">
      <c r="A9">
        <v>202205</v>
      </c>
      <c r="B9">
        <v>4.409999999999999E-3</v>
      </c>
      <c r="C9">
        <v>-3.1000000000000008E-3</v>
      </c>
      <c r="D9">
        <f t="shared" si="2"/>
        <v>3.2000000000000002E-3</v>
      </c>
      <c r="F9">
        <f t="shared" si="0"/>
        <v>1.2099999999999988E-3</v>
      </c>
      <c r="G9">
        <f t="shared" si="1"/>
        <v>-6.3000000000000009E-3</v>
      </c>
    </row>
    <row r="10" spans="1:18">
      <c r="A10">
        <v>202206</v>
      </c>
      <c r="B10">
        <v>-0.14861999999999997</v>
      </c>
      <c r="C10">
        <v>-8.3799999999999986E-2</v>
      </c>
      <c r="D10">
        <f t="shared" si="2"/>
        <v>3.2000000000000002E-3</v>
      </c>
      <c r="F10">
        <f t="shared" si="0"/>
        <v>-0.15181999999999998</v>
      </c>
      <c r="G10">
        <f t="shared" si="1"/>
        <v>-8.699999999999998E-2</v>
      </c>
    </row>
    <row r="11" spans="1:18">
      <c r="A11">
        <v>202207</v>
      </c>
      <c r="B11">
        <v>0.19414999999999999</v>
      </c>
      <c r="C11">
        <v>9.6500000000000002E-2</v>
      </c>
      <c r="D11">
        <f t="shared" si="2"/>
        <v>3.2000000000000002E-3</v>
      </c>
      <c r="F11">
        <f t="shared" si="0"/>
        <v>0.19094999999999998</v>
      </c>
      <c r="G11">
        <f t="shared" si="1"/>
        <v>9.3300000000000008E-2</v>
      </c>
    </row>
    <row r="12" spans="1:18">
      <c r="A12">
        <v>202208</v>
      </c>
      <c r="B12">
        <v>-5.6119999999999996E-2</v>
      </c>
      <c r="C12">
        <v>-3.5799999999999998E-2</v>
      </c>
      <c r="D12">
        <f t="shared" si="2"/>
        <v>3.2000000000000002E-3</v>
      </c>
      <c r="F12">
        <f t="shared" si="0"/>
        <v>-5.9319999999999998E-2</v>
      </c>
      <c r="G12">
        <f t="shared" si="1"/>
        <v>-3.9E-2</v>
      </c>
    </row>
    <row r="13" spans="1:18">
      <c r="A13">
        <v>202209</v>
      </c>
      <c r="B13">
        <v>-0.16214000000000001</v>
      </c>
      <c r="C13">
        <v>-9.1600000000000001E-2</v>
      </c>
      <c r="D13">
        <f t="shared" si="2"/>
        <v>3.2000000000000002E-3</v>
      </c>
      <c r="F13">
        <f t="shared" si="0"/>
        <v>-0.16534000000000001</v>
      </c>
      <c r="G13">
        <f t="shared" si="1"/>
        <v>-9.4799999999999995E-2</v>
      </c>
    </row>
    <row r="14" spans="1:18">
      <c r="A14">
        <v>202210</v>
      </c>
      <c r="B14">
        <v>0.16544</v>
      </c>
      <c r="C14">
        <v>8.0600000000000005E-2</v>
      </c>
      <c r="D14">
        <f t="shared" si="2"/>
        <v>3.2000000000000002E-3</v>
      </c>
      <c r="F14">
        <f t="shared" si="0"/>
        <v>0.16224</v>
      </c>
      <c r="G14">
        <f t="shared" si="1"/>
        <v>7.740000000000001E-2</v>
      </c>
    </row>
    <row r="15" spans="1:18">
      <c r="A15">
        <v>202211</v>
      </c>
      <c r="B15">
        <v>0.106</v>
      </c>
      <c r="C15">
        <v>4.9000000000000002E-2</v>
      </c>
      <c r="D15">
        <f t="shared" si="2"/>
        <v>3.2000000000000002E-3</v>
      </c>
      <c r="F15">
        <f t="shared" si="0"/>
        <v>0.1028</v>
      </c>
      <c r="G15">
        <f t="shared" si="1"/>
        <v>4.58E-2</v>
      </c>
    </row>
    <row r="16" spans="1:18">
      <c r="A16">
        <v>202212</v>
      </c>
      <c r="B16">
        <v>-0.10221999999999999</v>
      </c>
      <c r="C16">
        <v>-6.08E-2</v>
      </c>
      <c r="D16">
        <f t="shared" si="2"/>
        <v>3.2000000000000002E-3</v>
      </c>
      <c r="F16">
        <f t="shared" si="0"/>
        <v>-0.10541999999999999</v>
      </c>
      <c r="G16">
        <f t="shared" si="1"/>
        <v>-6.4000000000000001E-2</v>
      </c>
    </row>
    <row r="17" spans="1:7">
      <c r="A17">
        <v>202301</v>
      </c>
      <c r="B17">
        <v>0.14631</v>
      </c>
      <c r="C17">
        <v>6.989999999999999E-2</v>
      </c>
      <c r="D17">
        <f t="shared" si="2"/>
        <v>3.2000000000000002E-3</v>
      </c>
      <c r="F17">
        <f t="shared" si="0"/>
        <v>0.14310999999999999</v>
      </c>
      <c r="G17">
        <f t="shared" si="1"/>
        <v>6.6699999999999995E-2</v>
      </c>
    </row>
    <row r="18" spans="1:7">
      <c r="A18">
        <v>202302</v>
      </c>
      <c r="B18">
        <v>-2.9349999999999994E-2</v>
      </c>
      <c r="C18">
        <v>-2.2499999999999999E-2</v>
      </c>
      <c r="D18">
        <f t="shared" si="2"/>
        <v>3.2000000000000002E-3</v>
      </c>
      <c r="F18">
        <f t="shared" si="0"/>
        <v>-3.2549999999999996E-2</v>
      </c>
      <c r="G18">
        <f t="shared" si="1"/>
        <v>-2.5700000000000001E-2</v>
      </c>
    </row>
    <row r="19" spans="1:7">
      <c r="A19">
        <v>202303</v>
      </c>
      <c r="B19">
        <v>6.8129999999999996E-2</v>
      </c>
      <c r="C19">
        <v>2.8699999999999996E-2</v>
      </c>
      <c r="D19">
        <f t="shared" si="2"/>
        <v>3.2000000000000002E-3</v>
      </c>
      <c r="F19">
        <f t="shared" si="0"/>
        <v>6.4930000000000002E-2</v>
      </c>
      <c r="G19">
        <f t="shared" si="1"/>
        <v>2.5499999999999995E-2</v>
      </c>
    </row>
    <row r="20" spans="1:7">
      <c r="A20">
        <v>202304</v>
      </c>
      <c r="B20">
        <v>3.1739999999999997E-2</v>
      </c>
      <c r="C20">
        <v>9.5999999999999992E-3</v>
      </c>
      <c r="D20">
        <f t="shared" si="2"/>
        <v>3.2000000000000002E-3</v>
      </c>
      <c r="F20">
        <f t="shared" si="0"/>
        <v>2.8539999999999996E-2</v>
      </c>
      <c r="G20">
        <f t="shared" si="1"/>
        <v>6.3999999999999994E-3</v>
      </c>
    </row>
    <row r="21" spans="1:7">
      <c r="A21">
        <v>202305</v>
      </c>
      <c r="B21">
        <v>2.7089999999999999E-2</v>
      </c>
      <c r="C21">
        <v>7.0999999999999995E-3</v>
      </c>
      <c r="D21">
        <f t="shared" si="2"/>
        <v>3.2000000000000002E-3</v>
      </c>
      <c r="F21">
        <f t="shared" si="0"/>
        <v>2.3889999999999998E-2</v>
      </c>
      <c r="G21">
        <f t="shared" si="1"/>
        <v>3.8999999999999994E-3</v>
      </c>
    </row>
    <row r="22" spans="1:7">
      <c r="A22">
        <v>202306</v>
      </c>
      <c r="B22">
        <v>0.14452999999999999</v>
      </c>
      <c r="C22">
        <v>6.8699999999999997E-2</v>
      </c>
      <c r="D22">
        <f t="shared" si="2"/>
        <v>3.2000000000000002E-3</v>
      </c>
      <c r="F22">
        <f t="shared" si="0"/>
        <v>0.14132999999999998</v>
      </c>
      <c r="G22">
        <f t="shared" si="1"/>
        <v>6.5500000000000003E-2</v>
      </c>
    </row>
    <row r="23" spans="1:7">
      <c r="A23">
        <v>202307</v>
      </c>
      <c r="B23">
        <v>8.4040000000000004E-2</v>
      </c>
      <c r="C23">
        <v>3.6600000000000001E-2</v>
      </c>
      <c r="D23">
        <f t="shared" si="2"/>
        <v>3.2000000000000002E-3</v>
      </c>
      <c r="F23">
        <f t="shared" si="0"/>
        <v>8.0840000000000009E-2</v>
      </c>
      <c r="G23">
        <f t="shared" si="1"/>
        <v>3.3399999999999999E-2</v>
      </c>
    </row>
    <row r="24" spans="1:7">
      <c r="A24">
        <v>202308</v>
      </c>
      <c r="B24">
        <v>-2.2359999999999998E-2</v>
      </c>
      <c r="C24">
        <v>-1.9400000000000001E-2</v>
      </c>
      <c r="D24">
        <f t="shared" si="2"/>
        <v>3.2000000000000002E-3</v>
      </c>
      <c r="F24">
        <f t="shared" si="0"/>
        <v>-2.5559999999999999E-2</v>
      </c>
      <c r="G24">
        <f t="shared" si="1"/>
        <v>-2.2600000000000002E-2</v>
      </c>
    </row>
    <row r="25" spans="1:7">
      <c r="A25">
        <v>202309</v>
      </c>
      <c r="B25">
        <v>-7.7089999999999992E-2</v>
      </c>
      <c r="C25">
        <v>-4.8100000000000004E-2</v>
      </c>
      <c r="D25">
        <f t="shared" si="2"/>
        <v>3.2000000000000002E-3</v>
      </c>
      <c r="F25">
        <f t="shared" si="0"/>
        <v>-8.0289999999999986E-2</v>
      </c>
      <c r="G25">
        <f t="shared" si="1"/>
        <v>-5.1300000000000005E-2</v>
      </c>
    </row>
    <row r="26" spans="1:7">
      <c r="A26">
        <v>202310</v>
      </c>
      <c r="B26">
        <v>-3.6789999999999989E-2</v>
      </c>
      <c r="C26">
        <v>-2.7099999999999999E-2</v>
      </c>
      <c r="D26">
        <f t="shared" si="2"/>
        <v>3.2000000000000002E-3</v>
      </c>
      <c r="F26">
        <f t="shared" si="0"/>
        <v>-3.9989999999999991E-2</v>
      </c>
      <c r="G26">
        <f t="shared" si="1"/>
        <v>-3.0300000000000001E-2</v>
      </c>
    </row>
    <row r="27" spans="1:7">
      <c r="A27">
        <v>202311</v>
      </c>
      <c r="B27">
        <v>0.19052999999999998</v>
      </c>
      <c r="C27">
        <v>9.2699999999999991E-2</v>
      </c>
      <c r="D27">
        <f t="shared" si="2"/>
        <v>3.2000000000000002E-3</v>
      </c>
      <c r="F27">
        <f t="shared" si="0"/>
        <v>0.18732999999999997</v>
      </c>
      <c r="G27">
        <f t="shared" si="1"/>
        <v>8.9499999999999996E-2</v>
      </c>
    </row>
    <row r="28" spans="1:7">
      <c r="A28">
        <v>202312</v>
      </c>
      <c r="B28">
        <v>0.11499999999999999</v>
      </c>
      <c r="C28">
        <v>5.2999999999999999E-2</v>
      </c>
      <c r="D28">
        <f t="shared" si="2"/>
        <v>3.2000000000000002E-3</v>
      </c>
      <c r="F28">
        <f t="shared" si="0"/>
        <v>0.1118</v>
      </c>
      <c r="G28">
        <f t="shared" si="1"/>
        <v>4.9799999999999997E-2</v>
      </c>
    </row>
    <row r="29" spans="1:7">
      <c r="A29">
        <v>202401</v>
      </c>
      <c r="B29">
        <v>3.6930000000000004E-2</v>
      </c>
      <c r="C29">
        <v>1.17E-2</v>
      </c>
      <c r="D29">
        <f t="shared" si="2"/>
        <v>3.2000000000000002E-3</v>
      </c>
      <c r="F29">
        <f t="shared" si="0"/>
        <v>3.3730000000000003E-2</v>
      </c>
      <c r="G29">
        <f t="shared" si="1"/>
        <v>8.5000000000000006E-3</v>
      </c>
    </row>
    <row r="30" spans="1:7">
      <c r="A30">
        <v>202402</v>
      </c>
      <c r="B30">
        <v>0.11851</v>
      </c>
      <c r="C30">
        <v>5.4900000000000004E-2</v>
      </c>
      <c r="D30">
        <f t="shared" si="2"/>
        <v>3.2000000000000002E-3</v>
      </c>
      <c r="F30">
        <f t="shared" si="0"/>
        <v>0.11531000000000001</v>
      </c>
      <c r="G30">
        <f t="shared" si="1"/>
        <v>5.1700000000000003E-2</v>
      </c>
    </row>
    <row r="31" spans="1:7">
      <c r="A31">
        <v>202403</v>
      </c>
      <c r="B31">
        <v>7.6240000000000002E-2</v>
      </c>
      <c r="C31">
        <v>3.2600000000000004E-2</v>
      </c>
      <c r="D31">
        <f t="shared" si="2"/>
        <v>3.2000000000000002E-3</v>
      </c>
      <c r="F31">
        <f t="shared" si="0"/>
        <v>7.3040000000000008E-2</v>
      </c>
      <c r="G31">
        <f t="shared" si="1"/>
        <v>2.9400000000000003E-2</v>
      </c>
    </row>
    <row r="32" spans="1:7">
      <c r="A32">
        <v>202404</v>
      </c>
      <c r="B32">
        <v>-6.5099999999999991E-2</v>
      </c>
      <c r="C32">
        <v>-4.2000000000000003E-2</v>
      </c>
      <c r="D32">
        <f t="shared" si="2"/>
        <v>3.2000000000000002E-3</v>
      </c>
      <c r="F32">
        <f t="shared" si="0"/>
        <v>-6.8299999999999986E-2</v>
      </c>
      <c r="G32">
        <f t="shared" si="1"/>
        <v>-4.5200000000000004E-2</v>
      </c>
    </row>
    <row r="33" spans="1:7">
      <c r="A33">
        <v>202405</v>
      </c>
      <c r="B33">
        <v>0.10521999999999999</v>
      </c>
      <c r="C33">
        <v>4.7800000000000002E-2</v>
      </c>
      <c r="D33">
        <f t="shared" si="2"/>
        <v>3.2000000000000002E-3</v>
      </c>
      <c r="F33">
        <f t="shared" si="0"/>
        <v>0.10202</v>
      </c>
      <c r="G33">
        <f t="shared" si="1"/>
        <v>4.4600000000000001E-2</v>
      </c>
    </row>
    <row r="34" spans="1:7">
      <c r="A34">
        <v>202406</v>
      </c>
      <c r="B34">
        <v>7.4520000000000003E-2</v>
      </c>
      <c r="C34">
        <v>3.1800000000000002E-2</v>
      </c>
      <c r="D34">
        <f t="shared" si="2"/>
        <v>3.2000000000000002E-3</v>
      </c>
      <c r="F34">
        <f t="shared" si="0"/>
        <v>7.1320000000000008E-2</v>
      </c>
      <c r="G34">
        <f t="shared" si="1"/>
        <v>2.86E-2</v>
      </c>
    </row>
    <row r="35" spans="1:7">
      <c r="A35">
        <v>202407</v>
      </c>
      <c r="B35">
        <v>4.6609999999999992E-2</v>
      </c>
      <c r="C35">
        <v>1.6899999999999998E-2</v>
      </c>
      <c r="D35">
        <f t="shared" si="2"/>
        <v>3.2000000000000002E-3</v>
      </c>
      <c r="F35">
        <f t="shared" si="0"/>
        <v>4.340999999999999E-2</v>
      </c>
      <c r="G35">
        <f t="shared" si="1"/>
        <v>1.3699999999999999E-2</v>
      </c>
    </row>
    <row r="36" spans="1:7">
      <c r="A36">
        <v>202408</v>
      </c>
      <c r="B36">
        <v>5.4509999999999996E-2</v>
      </c>
      <c r="C36">
        <v>2.0899999999999998E-2</v>
      </c>
      <c r="D36">
        <f t="shared" si="2"/>
        <v>3.2000000000000002E-3</v>
      </c>
      <c r="F36">
        <f t="shared" si="0"/>
        <v>5.1309999999999995E-2</v>
      </c>
      <c r="G36">
        <f t="shared" si="1"/>
        <v>1.7699999999999997E-2</v>
      </c>
    </row>
    <row r="37" spans="1:7">
      <c r="A37">
        <v>202409</v>
      </c>
      <c r="B37">
        <v>5.466E-2</v>
      </c>
      <c r="C37">
        <v>2.1400000000000002E-2</v>
      </c>
      <c r="D37">
        <f t="shared" si="2"/>
        <v>3.2000000000000002E-3</v>
      </c>
      <c r="F37">
        <f t="shared" si="0"/>
        <v>5.1459999999999999E-2</v>
      </c>
      <c r="G37">
        <f t="shared" si="1"/>
        <v>1.8200000000000001E-2</v>
      </c>
    </row>
    <row r="38" spans="1:7">
      <c r="A38">
        <v>202410</v>
      </c>
      <c r="B38">
        <v>2.8800000000000023E-3</v>
      </c>
      <c r="C38">
        <v>-5.7999999999999996E-3</v>
      </c>
      <c r="D38">
        <f t="shared" si="2"/>
        <v>3.2000000000000002E-3</v>
      </c>
      <c r="F38">
        <f t="shared" si="0"/>
        <v>-3.199999999999978E-4</v>
      </c>
      <c r="G38">
        <f t="shared" si="1"/>
        <v>-8.9999999999999993E-3</v>
      </c>
    </row>
    <row r="39" spans="1:7">
      <c r="A39">
        <v>202411</v>
      </c>
      <c r="B39">
        <v>0.14529000000000003</v>
      </c>
      <c r="C39">
        <v>6.9100000000000009E-2</v>
      </c>
      <c r="D39">
        <f t="shared" si="2"/>
        <v>3.2000000000000002E-3</v>
      </c>
      <c r="F39">
        <f t="shared" si="0"/>
        <v>0.14209000000000002</v>
      </c>
      <c r="G39">
        <f t="shared" si="1"/>
        <v>6.5900000000000014E-2</v>
      </c>
    </row>
    <row r="40" spans="1:7">
      <c r="A40">
        <v>202412</v>
      </c>
      <c r="B40">
        <v>-3.9499999999999993E-2</v>
      </c>
      <c r="C40">
        <v>-2.7999999999999997E-2</v>
      </c>
      <c r="D40">
        <f t="shared" si="2"/>
        <v>3.2000000000000002E-3</v>
      </c>
      <c r="F40">
        <f t="shared" si="0"/>
        <v>-4.2699999999999995E-2</v>
      </c>
      <c r="G40">
        <f t="shared" si="1"/>
        <v>-3.1199999999999999E-2</v>
      </c>
    </row>
  </sheetData>
  <mergeCells count="6">
    <mergeCell ref="I1:J1"/>
    <mergeCell ref="L1:M1"/>
    <mergeCell ref="I2:J2"/>
    <mergeCell ref="L2:M2"/>
    <mergeCell ref="B3:C3"/>
    <mergeCell ref="F3:G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5531A-B60D-49DF-B84A-552ED2142EC8}">
  <dimension ref="A1:R40"/>
  <sheetViews>
    <sheetView workbookViewId="0">
      <selection activeCell="K24" sqref="K24"/>
    </sheetView>
  </sheetViews>
  <sheetFormatPr defaultRowHeight="14.5"/>
  <cols>
    <col min="5" max="5" width="5.453125" customWidth="1"/>
    <col min="6" max="6" width="10" customWidth="1"/>
    <col min="7" max="7" width="12.1796875" customWidth="1"/>
    <col min="8" max="8" width="3.81640625" customWidth="1"/>
    <col min="9" max="9" width="12.54296875" customWidth="1"/>
    <col min="10" max="10" width="10.54296875" customWidth="1"/>
    <col min="12" max="12" width="12.81640625" bestFit="1" customWidth="1"/>
    <col min="18" max="18" width="12.81640625" bestFit="1" customWidth="1"/>
  </cols>
  <sheetData>
    <row r="1" spans="1:18">
      <c r="I1" s="273" t="s">
        <v>59</v>
      </c>
      <c r="J1" s="275"/>
      <c r="L1" s="273" t="s">
        <v>59</v>
      </c>
      <c r="M1" s="275"/>
      <c r="R1" s="1"/>
    </row>
    <row r="2" spans="1:18">
      <c r="I2" s="273" t="s">
        <v>60</v>
      </c>
      <c r="J2" s="275"/>
      <c r="L2" s="273" t="s">
        <v>61</v>
      </c>
      <c r="M2" s="275"/>
    </row>
    <row r="3" spans="1:18">
      <c r="B3" s="273" t="s">
        <v>61</v>
      </c>
      <c r="C3" s="275"/>
      <c r="F3" s="273" t="s">
        <v>60</v>
      </c>
      <c r="G3" s="275"/>
    </row>
    <row r="4" spans="1:18">
      <c r="A4" t="s">
        <v>43</v>
      </c>
      <c r="B4" s="49" t="s">
        <v>40</v>
      </c>
      <c r="C4" s="49" t="s">
        <v>63</v>
      </c>
      <c r="D4" s="1" t="s">
        <v>64</v>
      </c>
      <c r="F4" s="49" t="s">
        <v>40</v>
      </c>
      <c r="G4" s="49" t="s">
        <v>63</v>
      </c>
    </row>
    <row r="5" spans="1:18">
      <c r="A5">
        <v>202201</v>
      </c>
      <c r="B5">
        <v>-0.10875</v>
      </c>
      <c r="C5">
        <v>-6.25E-2</v>
      </c>
      <c r="D5">
        <v>0</v>
      </c>
      <c r="F5">
        <f t="shared" ref="F5:F40" si="0">B5-D5</f>
        <v>-0.10875</v>
      </c>
      <c r="G5">
        <f t="shared" ref="G5:G40" si="1">C5-D5</f>
        <v>-6.25E-2</v>
      </c>
      <c r="I5" t="s">
        <v>66</v>
      </c>
      <c r="J5" s="40">
        <f>INTERCEPT(F5:F40,G5:G40)</f>
        <v>1.5920502618598321E-2</v>
      </c>
      <c r="L5" t="s">
        <v>67</v>
      </c>
      <c r="M5" s="40">
        <f>INTERCEPT(B5:B40,C5:C40)</f>
        <v>1.3079548619244808E-2</v>
      </c>
    </row>
    <row r="6" spans="1:18">
      <c r="A6">
        <v>202202</v>
      </c>
      <c r="B6">
        <v>-3.3509999999999998E-2</v>
      </c>
      <c r="C6">
        <v>-2.29E-2</v>
      </c>
      <c r="D6">
        <v>0</v>
      </c>
      <c r="F6">
        <f t="shared" si="0"/>
        <v>-3.3509999999999998E-2</v>
      </c>
      <c r="G6">
        <f t="shared" si="1"/>
        <v>-2.29E-2</v>
      </c>
      <c r="I6" t="s">
        <v>69</v>
      </c>
      <c r="J6" s="40">
        <f>SLOPE(F5:F40,G5:G40)</f>
        <v>1.9182902417238019</v>
      </c>
      <c r="L6" t="s">
        <v>70</v>
      </c>
      <c r="M6" s="40">
        <f>SLOPE(B5:B40,C5:C40)</f>
        <v>1.9104011679319399</v>
      </c>
    </row>
    <row r="7" spans="1:18">
      <c r="A7">
        <v>202203</v>
      </c>
      <c r="B7">
        <v>6.8429999999999991E-2</v>
      </c>
      <c r="C7">
        <v>3.0699999999999998E-2</v>
      </c>
      <c r="D7">
        <v>1E-4</v>
      </c>
      <c r="F7">
        <f t="shared" si="0"/>
        <v>6.8329999999999988E-2</v>
      </c>
      <c r="G7">
        <f t="shared" si="1"/>
        <v>3.0599999999999999E-2</v>
      </c>
    </row>
    <row r="8" spans="1:18">
      <c r="A8">
        <v>202204</v>
      </c>
      <c r="B8">
        <v>-0.16945000000000002</v>
      </c>
      <c r="C8">
        <v>-9.4500000000000015E-2</v>
      </c>
      <c r="D8">
        <v>1E-4</v>
      </c>
      <c r="F8">
        <f t="shared" si="0"/>
        <v>-0.16955000000000001</v>
      </c>
      <c r="G8">
        <f t="shared" si="1"/>
        <v>-9.4600000000000017E-2</v>
      </c>
      <c r="J8" s="40"/>
    </row>
    <row r="9" spans="1:18">
      <c r="A9">
        <v>202205</v>
      </c>
      <c r="B9">
        <v>4.409999999999999E-3</v>
      </c>
      <c r="C9">
        <v>-3.1000000000000008E-3</v>
      </c>
      <c r="D9">
        <v>2.9999999999999997E-4</v>
      </c>
      <c r="F9">
        <f t="shared" si="0"/>
        <v>4.1099999999999991E-3</v>
      </c>
      <c r="G9">
        <f t="shared" si="1"/>
        <v>-3.4000000000000007E-3</v>
      </c>
    </row>
    <row r="10" spans="1:18">
      <c r="A10">
        <v>202206</v>
      </c>
      <c r="B10">
        <v>-0.14861999999999997</v>
      </c>
      <c r="C10">
        <v>-8.3799999999999986E-2</v>
      </c>
      <c r="D10">
        <v>5.9999999999999995E-4</v>
      </c>
      <c r="F10">
        <f t="shared" si="0"/>
        <v>-0.14921999999999996</v>
      </c>
      <c r="G10">
        <f t="shared" si="1"/>
        <v>-8.4399999999999989E-2</v>
      </c>
    </row>
    <row r="11" spans="1:18">
      <c r="A11">
        <v>202207</v>
      </c>
      <c r="B11">
        <v>0.19414999999999999</v>
      </c>
      <c r="C11">
        <v>9.6500000000000002E-2</v>
      </c>
      <c r="D11">
        <v>8.0000000000000004E-4</v>
      </c>
      <c r="F11">
        <f t="shared" si="0"/>
        <v>0.19334999999999999</v>
      </c>
      <c r="G11">
        <f t="shared" si="1"/>
        <v>9.5700000000000007E-2</v>
      </c>
    </row>
    <row r="12" spans="1:18">
      <c r="A12">
        <v>202208</v>
      </c>
      <c r="B12">
        <v>-5.6119999999999996E-2</v>
      </c>
      <c r="C12">
        <v>-3.5799999999999998E-2</v>
      </c>
      <c r="D12">
        <v>1.9E-3</v>
      </c>
      <c r="F12">
        <f t="shared" si="0"/>
        <v>-5.8019999999999995E-2</v>
      </c>
      <c r="G12">
        <f t="shared" si="1"/>
        <v>-3.7699999999999997E-2</v>
      </c>
    </row>
    <row r="13" spans="1:18">
      <c r="A13">
        <v>202209</v>
      </c>
      <c r="B13">
        <v>-0.16214000000000001</v>
      </c>
      <c r="C13">
        <v>-9.1600000000000001E-2</v>
      </c>
      <c r="D13">
        <v>1.9E-3</v>
      </c>
      <c r="F13">
        <f t="shared" si="0"/>
        <v>-0.16404000000000002</v>
      </c>
      <c r="G13">
        <f t="shared" si="1"/>
        <v>-9.35E-2</v>
      </c>
    </row>
    <row r="14" spans="1:18">
      <c r="A14">
        <v>202210</v>
      </c>
      <c r="B14">
        <v>0.16544</v>
      </c>
      <c r="C14">
        <v>8.0600000000000005E-2</v>
      </c>
      <c r="D14">
        <v>2.3E-3</v>
      </c>
      <c r="F14">
        <f t="shared" si="0"/>
        <v>0.16314000000000001</v>
      </c>
      <c r="G14">
        <f t="shared" si="1"/>
        <v>7.8300000000000008E-2</v>
      </c>
    </row>
    <row r="15" spans="1:18">
      <c r="A15">
        <v>202211</v>
      </c>
      <c r="B15">
        <v>0.106</v>
      </c>
      <c r="C15">
        <v>4.9000000000000002E-2</v>
      </c>
      <c r="D15">
        <v>2.8999999999999998E-3</v>
      </c>
      <c r="F15">
        <f t="shared" si="0"/>
        <v>0.1031</v>
      </c>
      <c r="G15">
        <f t="shared" si="1"/>
        <v>4.6100000000000002E-2</v>
      </c>
    </row>
    <row r="16" spans="1:18">
      <c r="A16">
        <v>202212</v>
      </c>
      <c r="B16">
        <v>-0.10221999999999999</v>
      </c>
      <c r="C16">
        <v>-6.08E-2</v>
      </c>
      <c r="D16">
        <v>3.3000000000000004E-3</v>
      </c>
      <c r="F16">
        <f t="shared" si="0"/>
        <v>-0.10551999999999999</v>
      </c>
      <c r="G16">
        <f t="shared" si="1"/>
        <v>-6.4100000000000004E-2</v>
      </c>
    </row>
    <row r="17" spans="1:7">
      <c r="A17">
        <v>202301</v>
      </c>
      <c r="B17">
        <v>0.14631</v>
      </c>
      <c r="C17">
        <v>6.989999999999999E-2</v>
      </c>
      <c r="D17">
        <v>3.4999999999999996E-3</v>
      </c>
      <c r="F17">
        <f t="shared" si="0"/>
        <v>0.14280999999999999</v>
      </c>
      <c r="G17">
        <f t="shared" si="1"/>
        <v>6.6399999999999987E-2</v>
      </c>
    </row>
    <row r="18" spans="1:7">
      <c r="A18">
        <v>202302</v>
      </c>
      <c r="B18">
        <v>-2.9349999999999994E-2</v>
      </c>
      <c r="C18">
        <v>-2.2499999999999999E-2</v>
      </c>
      <c r="D18">
        <v>3.4000000000000002E-3</v>
      </c>
      <c r="F18">
        <f t="shared" si="0"/>
        <v>-3.2749999999999994E-2</v>
      </c>
      <c r="G18">
        <f t="shared" si="1"/>
        <v>-2.5899999999999999E-2</v>
      </c>
    </row>
    <row r="19" spans="1:7">
      <c r="A19">
        <v>202303</v>
      </c>
      <c r="B19">
        <v>6.8129999999999996E-2</v>
      </c>
      <c r="C19">
        <v>2.8699999999999996E-2</v>
      </c>
      <c r="D19">
        <v>3.5999999999999999E-3</v>
      </c>
      <c r="F19">
        <f t="shared" si="0"/>
        <v>6.452999999999999E-2</v>
      </c>
      <c r="G19">
        <f t="shared" si="1"/>
        <v>2.5099999999999997E-2</v>
      </c>
    </row>
    <row r="20" spans="1:7">
      <c r="A20">
        <v>202304</v>
      </c>
      <c r="B20">
        <v>3.1739999999999997E-2</v>
      </c>
      <c r="C20">
        <v>9.5999999999999992E-3</v>
      </c>
      <c r="D20">
        <v>3.4999999999999996E-3</v>
      </c>
      <c r="F20">
        <f t="shared" si="0"/>
        <v>2.8239999999999998E-2</v>
      </c>
      <c r="G20">
        <f t="shared" si="1"/>
        <v>6.0999999999999995E-3</v>
      </c>
    </row>
    <row r="21" spans="1:7">
      <c r="A21">
        <v>202305</v>
      </c>
      <c r="B21">
        <v>2.7089999999999999E-2</v>
      </c>
      <c r="C21">
        <v>7.0999999999999995E-3</v>
      </c>
      <c r="D21">
        <v>3.5999999999999999E-3</v>
      </c>
      <c r="F21">
        <f t="shared" si="0"/>
        <v>2.349E-2</v>
      </c>
      <c r="G21">
        <f t="shared" si="1"/>
        <v>3.4999999999999996E-3</v>
      </c>
    </row>
    <row r="22" spans="1:7">
      <c r="A22">
        <v>202306</v>
      </c>
      <c r="B22">
        <v>0.14452999999999999</v>
      </c>
      <c r="C22">
        <v>6.8699999999999997E-2</v>
      </c>
      <c r="D22">
        <v>4.0000000000000001E-3</v>
      </c>
      <c r="F22">
        <f t="shared" si="0"/>
        <v>0.14052999999999999</v>
      </c>
      <c r="G22">
        <f t="shared" si="1"/>
        <v>6.4699999999999994E-2</v>
      </c>
    </row>
    <row r="23" spans="1:7">
      <c r="A23">
        <v>202307</v>
      </c>
      <c r="B23">
        <v>8.4040000000000004E-2</v>
      </c>
      <c r="C23">
        <v>3.6600000000000001E-2</v>
      </c>
      <c r="D23">
        <v>4.5000000000000005E-3</v>
      </c>
      <c r="F23">
        <f t="shared" si="0"/>
        <v>7.954E-2</v>
      </c>
      <c r="G23">
        <f t="shared" si="1"/>
        <v>3.2100000000000004E-2</v>
      </c>
    </row>
    <row r="24" spans="1:7">
      <c r="A24">
        <v>202308</v>
      </c>
      <c r="B24">
        <v>-2.2359999999999998E-2</v>
      </c>
      <c r="C24">
        <v>-1.9400000000000001E-2</v>
      </c>
      <c r="D24">
        <v>4.5000000000000005E-3</v>
      </c>
      <c r="F24">
        <f t="shared" si="0"/>
        <v>-2.6859999999999998E-2</v>
      </c>
      <c r="G24">
        <f t="shared" si="1"/>
        <v>-2.3900000000000001E-2</v>
      </c>
    </row>
    <row r="25" spans="1:7">
      <c r="A25">
        <v>202309</v>
      </c>
      <c r="B25">
        <v>-7.7089999999999992E-2</v>
      </c>
      <c r="C25">
        <v>-4.8100000000000004E-2</v>
      </c>
      <c r="D25">
        <v>4.3E-3</v>
      </c>
      <c r="F25">
        <f t="shared" si="0"/>
        <v>-8.138999999999999E-2</v>
      </c>
      <c r="G25">
        <f t="shared" si="1"/>
        <v>-5.2400000000000002E-2</v>
      </c>
    </row>
    <row r="26" spans="1:7">
      <c r="A26">
        <v>202310</v>
      </c>
      <c r="B26">
        <v>-3.6789999999999989E-2</v>
      </c>
      <c r="C26">
        <v>-2.7099999999999999E-2</v>
      </c>
      <c r="D26">
        <v>4.7000000000000002E-3</v>
      </c>
      <c r="F26">
        <f t="shared" si="0"/>
        <v>-4.1489999999999992E-2</v>
      </c>
      <c r="G26">
        <f t="shared" si="1"/>
        <v>-3.1800000000000002E-2</v>
      </c>
    </row>
    <row r="27" spans="1:7">
      <c r="A27">
        <v>202311</v>
      </c>
      <c r="B27">
        <v>0.19052999999999998</v>
      </c>
      <c r="C27">
        <v>9.2699999999999991E-2</v>
      </c>
      <c r="D27">
        <v>4.4000000000000003E-3</v>
      </c>
      <c r="F27">
        <f t="shared" si="0"/>
        <v>0.18612999999999999</v>
      </c>
      <c r="G27">
        <f t="shared" si="1"/>
        <v>8.829999999999999E-2</v>
      </c>
    </row>
    <row r="28" spans="1:7">
      <c r="A28">
        <v>202312</v>
      </c>
      <c r="B28">
        <v>0.11499999999999999</v>
      </c>
      <c r="C28">
        <v>5.2999999999999999E-2</v>
      </c>
      <c r="D28">
        <v>4.3E-3</v>
      </c>
      <c r="F28">
        <f t="shared" si="0"/>
        <v>0.11069999999999999</v>
      </c>
      <c r="G28">
        <f t="shared" si="1"/>
        <v>4.87E-2</v>
      </c>
    </row>
    <row r="29" spans="1:7">
      <c r="A29">
        <v>202401</v>
      </c>
      <c r="B29">
        <v>3.6930000000000004E-2</v>
      </c>
      <c r="C29">
        <v>1.17E-2</v>
      </c>
      <c r="D29">
        <v>4.7000000000000002E-3</v>
      </c>
      <c r="F29">
        <f t="shared" si="0"/>
        <v>3.2230000000000002E-2</v>
      </c>
      <c r="G29">
        <f t="shared" si="1"/>
        <v>7.0000000000000001E-3</v>
      </c>
    </row>
    <row r="30" spans="1:7">
      <c r="A30">
        <v>202402</v>
      </c>
      <c r="B30">
        <v>0.11851</v>
      </c>
      <c r="C30">
        <v>5.4900000000000004E-2</v>
      </c>
      <c r="D30">
        <v>4.1999999999999997E-3</v>
      </c>
      <c r="F30">
        <f t="shared" si="0"/>
        <v>0.11431000000000001</v>
      </c>
      <c r="G30">
        <f t="shared" si="1"/>
        <v>5.0700000000000002E-2</v>
      </c>
    </row>
    <row r="31" spans="1:7">
      <c r="A31">
        <v>202403</v>
      </c>
      <c r="B31">
        <v>7.6240000000000002E-2</v>
      </c>
      <c r="C31">
        <v>3.2600000000000004E-2</v>
      </c>
      <c r="D31">
        <v>4.3E-3</v>
      </c>
      <c r="F31">
        <f t="shared" si="0"/>
        <v>7.1940000000000004E-2</v>
      </c>
      <c r="G31">
        <f t="shared" si="1"/>
        <v>2.8300000000000006E-2</v>
      </c>
    </row>
    <row r="32" spans="1:7">
      <c r="A32">
        <v>202404</v>
      </c>
      <c r="B32">
        <v>-6.5099999999999991E-2</v>
      </c>
      <c r="C32">
        <v>-4.2000000000000003E-2</v>
      </c>
      <c r="D32">
        <v>4.7000000000000002E-3</v>
      </c>
      <c r="F32">
        <f t="shared" si="0"/>
        <v>-6.9799999999999987E-2</v>
      </c>
      <c r="G32">
        <f t="shared" si="1"/>
        <v>-4.6700000000000005E-2</v>
      </c>
    </row>
    <row r="33" spans="1:7">
      <c r="A33">
        <v>202405</v>
      </c>
      <c r="B33">
        <v>0.10521999999999999</v>
      </c>
      <c r="C33">
        <v>4.7800000000000002E-2</v>
      </c>
      <c r="D33">
        <v>4.4000000000000003E-3</v>
      </c>
      <c r="F33">
        <f t="shared" si="0"/>
        <v>0.10081999999999999</v>
      </c>
      <c r="G33">
        <f t="shared" si="1"/>
        <v>4.3400000000000001E-2</v>
      </c>
    </row>
    <row r="34" spans="1:7">
      <c r="A34">
        <v>202406</v>
      </c>
      <c r="B34">
        <v>7.4520000000000003E-2</v>
      </c>
      <c r="C34">
        <v>3.1800000000000002E-2</v>
      </c>
      <c r="D34">
        <v>4.0999999999999995E-3</v>
      </c>
      <c r="F34">
        <f t="shared" si="0"/>
        <v>7.042000000000001E-2</v>
      </c>
      <c r="G34">
        <f t="shared" si="1"/>
        <v>2.7700000000000002E-2</v>
      </c>
    </row>
    <row r="35" spans="1:7">
      <c r="A35">
        <v>202407</v>
      </c>
      <c r="B35">
        <v>4.6609999999999992E-2</v>
      </c>
      <c r="C35">
        <v>1.6899999999999998E-2</v>
      </c>
      <c r="D35">
        <v>4.5000000000000005E-3</v>
      </c>
      <c r="F35">
        <f t="shared" si="0"/>
        <v>4.2109999999999995E-2</v>
      </c>
      <c r="G35">
        <f t="shared" si="1"/>
        <v>1.2399999999999998E-2</v>
      </c>
    </row>
    <row r="36" spans="1:7">
      <c r="A36">
        <v>202408</v>
      </c>
      <c r="B36">
        <v>5.4509999999999996E-2</v>
      </c>
      <c r="C36">
        <v>2.0899999999999998E-2</v>
      </c>
      <c r="D36">
        <v>4.7999999999999996E-3</v>
      </c>
      <c r="F36">
        <f t="shared" si="0"/>
        <v>4.9709999999999997E-2</v>
      </c>
      <c r="G36">
        <f t="shared" si="1"/>
        <v>1.61E-2</v>
      </c>
    </row>
    <row r="37" spans="1:7">
      <c r="A37">
        <v>202409</v>
      </c>
      <c r="B37">
        <v>5.466E-2</v>
      </c>
      <c r="C37">
        <v>2.1400000000000002E-2</v>
      </c>
      <c r="D37">
        <v>4.0000000000000001E-3</v>
      </c>
      <c r="F37">
        <f t="shared" si="0"/>
        <v>5.0659999999999997E-2</v>
      </c>
      <c r="G37">
        <f t="shared" si="1"/>
        <v>1.7400000000000002E-2</v>
      </c>
    </row>
    <row r="38" spans="1:7">
      <c r="A38">
        <v>202410</v>
      </c>
      <c r="B38">
        <v>2.8800000000000023E-3</v>
      </c>
      <c r="C38">
        <v>-5.7999999999999996E-3</v>
      </c>
      <c r="D38">
        <v>3.9000000000000003E-3</v>
      </c>
      <c r="F38">
        <f t="shared" si="0"/>
        <v>-1.0199999999999979E-3</v>
      </c>
      <c r="G38">
        <f t="shared" si="1"/>
        <v>-9.7000000000000003E-3</v>
      </c>
    </row>
    <row r="39" spans="1:7">
      <c r="A39">
        <v>202411</v>
      </c>
      <c r="B39">
        <v>0.14529000000000003</v>
      </c>
      <c r="C39">
        <v>6.9100000000000009E-2</v>
      </c>
      <c r="D39">
        <v>4.0000000000000001E-3</v>
      </c>
      <c r="F39">
        <f t="shared" si="0"/>
        <v>0.14129000000000003</v>
      </c>
      <c r="G39">
        <f t="shared" si="1"/>
        <v>6.5100000000000005E-2</v>
      </c>
    </row>
    <row r="40" spans="1:7">
      <c r="A40">
        <v>202412</v>
      </c>
      <c r="B40">
        <v>-3.9499999999999993E-2</v>
      </c>
      <c r="C40">
        <v>-2.7999999999999997E-2</v>
      </c>
      <c r="D40">
        <v>3.7000000000000002E-3</v>
      </c>
      <c r="F40">
        <f t="shared" si="0"/>
        <v>-4.3199999999999995E-2</v>
      </c>
      <c r="G40">
        <f t="shared" si="1"/>
        <v>-3.1699999999999999E-2</v>
      </c>
    </row>
  </sheetData>
  <mergeCells count="6">
    <mergeCell ref="I1:J1"/>
    <mergeCell ref="L1:M1"/>
    <mergeCell ref="I2:J2"/>
    <mergeCell ref="L2:M2"/>
    <mergeCell ref="B3:C3"/>
    <mergeCell ref="F3:G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8"/>
  <dimension ref="A1:J61"/>
  <sheetViews>
    <sheetView workbookViewId="0">
      <selection activeCell="T32" sqref="T32"/>
    </sheetView>
  </sheetViews>
  <sheetFormatPr defaultRowHeight="14.5"/>
  <cols>
    <col min="1" max="1" width="10.54296875" bestFit="1" customWidth="1"/>
    <col min="5" max="5" width="3.81640625" customWidth="1"/>
    <col min="6" max="6" width="12.54296875" bestFit="1" customWidth="1"/>
  </cols>
  <sheetData>
    <row r="1" spans="1:9">
      <c r="B1" t="s">
        <v>53</v>
      </c>
      <c r="C1" t="s">
        <v>54</v>
      </c>
    </row>
    <row r="2" spans="1:9">
      <c r="A2" s="43">
        <v>42766</v>
      </c>
      <c r="B2">
        <v>3.5005350251831102E-2</v>
      </c>
      <c r="C2">
        <v>4.3127540545249497E-2</v>
      </c>
      <c r="F2" s="1" t="s">
        <v>46</v>
      </c>
      <c r="G2">
        <f>INTERCEPT(B2:B61,C2:C61)</f>
        <v>3.359634137927902E-3</v>
      </c>
    </row>
    <row r="3" spans="1:9">
      <c r="A3" s="43">
        <v>42794</v>
      </c>
      <c r="B3">
        <v>3.0163730551132101E-2</v>
      </c>
      <c r="C3">
        <v>4.9392658215118797E-2</v>
      </c>
      <c r="F3" s="1" t="s">
        <v>47</v>
      </c>
      <c r="G3">
        <f>SLOPE(B2:B61,C2:C61)</f>
        <v>0.83426613428840535</v>
      </c>
    </row>
    <row r="4" spans="1:9">
      <c r="A4" s="43">
        <v>42825</v>
      </c>
      <c r="B4">
        <v>3.3967253406387002E-3</v>
      </c>
      <c r="C4">
        <v>2.2534900259262001E-2</v>
      </c>
    </row>
    <row r="5" spans="1:9">
      <c r="A5" s="43">
        <v>42853</v>
      </c>
      <c r="B5">
        <v>9.0493079550522604E-2</v>
      </c>
      <c r="C5">
        <v>2.3372246451298501E-2</v>
      </c>
    </row>
    <row r="6" spans="1:9">
      <c r="A6" s="43">
        <v>42886</v>
      </c>
      <c r="B6">
        <v>6.7678369318538906E-2</v>
      </c>
      <c r="C6">
        <v>4.4092265437206998E-2</v>
      </c>
      <c r="F6" t="s">
        <v>55</v>
      </c>
      <c r="H6">
        <f>G3^2*VARP(C2:C61)</f>
        <v>1.91308062559842E-3</v>
      </c>
    </row>
    <row r="7" spans="1:9">
      <c r="A7" s="43">
        <v>42916</v>
      </c>
      <c r="B7">
        <v>-5.8160889703825901E-2</v>
      </c>
      <c r="C7">
        <v>-2.5369372697649901E-2</v>
      </c>
      <c r="F7" t="s">
        <v>56</v>
      </c>
      <c r="H7">
        <f>VARP(B2:B61)</f>
        <v>4.0184408458087848E-3</v>
      </c>
    </row>
    <row r="8" spans="1:9">
      <c r="A8" s="43">
        <v>42947</v>
      </c>
      <c r="B8">
        <v>1.7016615877347201E-2</v>
      </c>
      <c r="C8">
        <v>4.1323190188733497E-2</v>
      </c>
    </row>
    <row r="9" spans="1:9">
      <c r="A9" s="43">
        <v>42978</v>
      </c>
      <c r="B9">
        <v>1.03014174874405E-2</v>
      </c>
      <c r="C9">
        <v>3.1092807146359001E-2</v>
      </c>
      <c r="H9">
        <f>H6/H7</f>
        <v>0.47607534837641174</v>
      </c>
      <c r="I9" t="s">
        <v>57</v>
      </c>
    </row>
    <row r="10" spans="1:9">
      <c r="A10" s="43">
        <v>43007</v>
      </c>
      <c r="B10">
        <v>1.9345903288885299E-2</v>
      </c>
      <c r="C10">
        <v>7.9180278130502602E-3</v>
      </c>
      <c r="H10">
        <f>1-H9</f>
        <v>0.52392465162358826</v>
      </c>
      <c r="I10" t="s">
        <v>58</v>
      </c>
    </row>
    <row r="11" spans="1:9">
      <c r="A11" s="43">
        <v>43039</v>
      </c>
      <c r="B11">
        <v>6.0921076022031097E-2</v>
      </c>
      <c r="C11">
        <v>7.3952124414784506E-2</v>
      </c>
    </row>
    <row r="12" spans="1:9">
      <c r="A12" s="43">
        <v>43069</v>
      </c>
      <c r="B12">
        <v>3.0298969686141301E-3</v>
      </c>
      <c r="C12">
        <v>1.09049030122372E-2</v>
      </c>
    </row>
    <row r="13" spans="1:9">
      <c r="A13" s="43">
        <v>43098</v>
      </c>
      <c r="B13">
        <v>1.66285259542393E-2</v>
      </c>
      <c r="C13">
        <v>9.5124326992485195E-4</v>
      </c>
    </row>
    <row r="14" spans="1:9">
      <c r="A14" s="43">
        <v>43131</v>
      </c>
      <c r="B14">
        <v>0.122289674675787</v>
      </c>
      <c r="C14">
        <v>7.55178653347231E-2</v>
      </c>
    </row>
    <row r="15" spans="1:9">
      <c r="A15" s="43">
        <v>43159</v>
      </c>
      <c r="B15">
        <v>-6.6231267190693402E-2</v>
      </c>
      <c r="C15">
        <v>9.5943106815670701E-4</v>
      </c>
    </row>
    <row r="16" spans="1:9">
      <c r="A16" s="43">
        <v>43188</v>
      </c>
      <c r="B16">
        <v>-6.0493538153550498E-2</v>
      </c>
      <c r="C16">
        <v>-3.3752706022296797E-2</v>
      </c>
    </row>
    <row r="17" spans="1:10">
      <c r="A17" s="43">
        <v>43220</v>
      </c>
      <c r="B17">
        <v>-1.7895363496205501E-2</v>
      </c>
      <c r="C17">
        <v>-2.33787331550283E-4</v>
      </c>
    </row>
    <row r="18" spans="1:10">
      <c r="A18" s="43">
        <v>43251</v>
      </c>
      <c r="B18">
        <v>7.9934793088498796E-2</v>
      </c>
      <c r="C18">
        <v>7.04842712686128E-2</v>
      </c>
    </row>
    <row r="19" spans="1:10">
      <c r="A19" s="43">
        <v>43280</v>
      </c>
      <c r="B19">
        <v>2.6536310369318101E-2</v>
      </c>
      <c r="C19">
        <v>-6.0984965911461799E-3</v>
      </c>
    </row>
    <row r="20" spans="1:10">
      <c r="A20" s="43">
        <v>43312</v>
      </c>
      <c r="B20">
        <v>8.6814472660633205E-2</v>
      </c>
      <c r="C20">
        <v>2.6240213676486102E-2</v>
      </c>
    </row>
    <row r="21" spans="1:10">
      <c r="A21" s="43">
        <v>43343</v>
      </c>
      <c r="B21">
        <v>3.73207593938997E-3</v>
      </c>
      <c r="C21">
        <v>8.9385619366770697E-2</v>
      </c>
      <c r="I21" s="160"/>
    </row>
    <row r="22" spans="1:10">
      <c r="A22" s="43">
        <v>43371</v>
      </c>
      <c r="B22">
        <v>-2.0068267408298101E-2</v>
      </c>
      <c r="C22">
        <v>2.04473980356001E-3</v>
      </c>
      <c r="I22" s="160"/>
      <c r="J22" s="43"/>
    </row>
    <row r="23" spans="1:10">
      <c r="A23" s="43">
        <v>43404</v>
      </c>
      <c r="B23">
        <v>-9.6513904829285305E-2</v>
      </c>
      <c r="C23">
        <v>-8.4764961387139903E-2</v>
      </c>
    </row>
    <row r="24" spans="1:10">
      <c r="A24" s="43">
        <v>43434</v>
      </c>
      <c r="B24">
        <v>1.7486171695620899E-2</v>
      </c>
      <c r="C24">
        <v>-1.46718536047533E-2</v>
      </c>
    </row>
    <row r="25" spans="1:10">
      <c r="A25" s="43">
        <v>43465</v>
      </c>
      <c r="B25">
        <v>-5.8297717346260797E-2</v>
      </c>
      <c r="C25">
        <v>-8.3406341209425305E-2</v>
      </c>
    </row>
    <row r="26" spans="1:10">
      <c r="A26" s="43">
        <v>43496</v>
      </c>
      <c r="B26">
        <v>7.7447994886167701E-2</v>
      </c>
      <c r="C26">
        <v>7.9901977980030403E-2</v>
      </c>
    </row>
    <row r="27" spans="1:10">
      <c r="A27" s="43">
        <v>43524</v>
      </c>
      <c r="B27">
        <v>5.8623326532796101E-4</v>
      </c>
      <c r="C27">
        <v>7.3268312864934501E-2</v>
      </c>
    </row>
    <row r="28" spans="1:10">
      <c r="A28" s="43">
        <v>43553</v>
      </c>
      <c r="B28">
        <v>4.46850682512311E-2</v>
      </c>
      <c r="C28">
        <v>4.0712179807876302E-2</v>
      </c>
    </row>
    <row r="29" spans="1:10">
      <c r="A29" s="43">
        <v>43585</v>
      </c>
      <c r="B29">
        <v>1.8752768750149699E-2</v>
      </c>
      <c r="C29">
        <v>6.3699386428246796E-2</v>
      </c>
    </row>
    <row r="30" spans="1:10">
      <c r="A30" s="43">
        <v>43616</v>
      </c>
      <c r="B30">
        <v>-7.7116804522148502E-2</v>
      </c>
      <c r="C30">
        <v>-8.8796286850664097E-2</v>
      </c>
    </row>
    <row r="31" spans="1:10">
      <c r="A31" s="43">
        <v>43644</v>
      </c>
      <c r="B31">
        <v>-2.14188442583596E-2</v>
      </c>
      <c r="C31">
        <v>8.7745901381501595E-2</v>
      </c>
    </row>
    <row r="32" spans="1:10">
      <c r="A32" s="43">
        <v>43677</v>
      </c>
      <c r="B32">
        <v>0.12504608075174001</v>
      </c>
      <c r="C32">
        <v>3.5374023752935302E-2</v>
      </c>
    </row>
    <row r="33" spans="1:3">
      <c r="A33" s="43">
        <v>43707</v>
      </c>
      <c r="B33">
        <v>-2.2713776870851299E-2</v>
      </c>
      <c r="C33">
        <v>-2.1937242728503701E-2</v>
      </c>
    </row>
    <row r="34" spans="1:3">
      <c r="A34" s="43">
        <v>43738</v>
      </c>
      <c r="B34">
        <v>2.5711224915209101E-2</v>
      </c>
      <c r="C34">
        <v>1.3212469398426499E-2</v>
      </c>
    </row>
    <row r="35" spans="1:3">
      <c r="A35" s="43">
        <v>43769</v>
      </c>
      <c r="B35">
        <v>3.0840062341687902E-2</v>
      </c>
      <c r="C35">
        <v>3.75319632007097E-2</v>
      </c>
    </row>
    <row r="36" spans="1:3">
      <c r="A36" s="43">
        <v>43798</v>
      </c>
      <c r="B36">
        <v>3.5978642544818702E-2</v>
      </c>
      <c r="C36">
        <v>5.5938019282914503E-2</v>
      </c>
    </row>
    <row r="37" spans="1:3">
      <c r="A37" s="43">
        <v>43830</v>
      </c>
      <c r="B37">
        <v>2.70687220616103E-2</v>
      </c>
      <c r="C37">
        <v>3.9673335377829202E-2</v>
      </c>
    </row>
    <row r="38" spans="1:3">
      <c r="A38" s="43">
        <v>43861</v>
      </c>
      <c r="B38">
        <v>6.9725780860737899E-2</v>
      </c>
      <c r="C38">
        <v>3.8104921538053997E-2</v>
      </c>
    </row>
    <row r="39" spans="1:3">
      <c r="A39" s="43">
        <v>43889</v>
      </c>
      <c r="B39">
        <v>-6.5278708095040994E-2</v>
      </c>
      <c r="C39">
        <v>-7.2901141039972694E-2</v>
      </c>
    </row>
    <row r="40" spans="1:3">
      <c r="A40" s="43">
        <v>43921</v>
      </c>
      <c r="B40">
        <v>-0.13238756679344699</v>
      </c>
      <c r="C40">
        <v>-9.7297012926549797E-2</v>
      </c>
    </row>
    <row r="41" spans="1:3">
      <c r="A41" s="43">
        <v>43951</v>
      </c>
      <c r="B41">
        <v>0.158999963650475</v>
      </c>
      <c r="C41">
        <v>0.142048165001602</v>
      </c>
    </row>
    <row r="42" spans="1:3">
      <c r="A42" s="43">
        <v>43980</v>
      </c>
      <c r="B42">
        <v>6.4468754367909206E-2</v>
      </c>
      <c r="C42">
        <v>7.8636401191062896E-2</v>
      </c>
    </row>
    <row r="43" spans="1:3">
      <c r="A43" s="43">
        <v>44012</v>
      </c>
      <c r="B43">
        <v>-1.0791597251766E-2</v>
      </c>
      <c r="C43">
        <v>7.0382231008087895E-2</v>
      </c>
    </row>
    <row r="44" spans="1:3">
      <c r="A44" s="43">
        <v>44043</v>
      </c>
      <c r="B44">
        <v>4.9292972699740097E-2</v>
      </c>
      <c r="C44">
        <v>5.9416545349933798E-2</v>
      </c>
    </row>
    <row r="45" spans="1:3">
      <c r="A45" s="43">
        <v>44074</v>
      </c>
      <c r="B45">
        <v>9.5151102369736798E-2</v>
      </c>
      <c r="C45">
        <v>0.11135577449204501</v>
      </c>
    </row>
    <row r="46" spans="1:3">
      <c r="A46" s="43">
        <v>44104</v>
      </c>
      <c r="B46">
        <v>-0.1005995905345</v>
      </c>
      <c r="C46">
        <v>-4.8668409560885299E-2</v>
      </c>
    </row>
    <row r="47" spans="1:3">
      <c r="A47" s="43">
        <v>44134</v>
      </c>
      <c r="B47">
        <v>0.102695150295326</v>
      </c>
      <c r="C47">
        <v>-4.3217259726645099E-2</v>
      </c>
    </row>
    <row r="48" spans="1:3">
      <c r="A48" s="43">
        <v>44165</v>
      </c>
      <c r="B48">
        <v>8.5569695327646203E-2</v>
      </c>
      <c r="C48">
        <v>0.12530610384319901</v>
      </c>
    </row>
    <row r="49" spans="1:3">
      <c r="A49" s="43">
        <v>44196</v>
      </c>
      <c r="B49">
        <v>-1.0031975268655199E-3</v>
      </c>
      <c r="C49">
        <v>5.7149216161112897E-2</v>
      </c>
    </row>
    <row r="50" spans="1:3">
      <c r="A50" s="43">
        <v>44225</v>
      </c>
      <c r="B50">
        <v>4.2632811118439001E-2</v>
      </c>
      <c r="C50">
        <v>-7.03806751696369E-3</v>
      </c>
    </row>
    <row r="51" spans="1:3">
      <c r="A51" s="43">
        <v>44253</v>
      </c>
      <c r="B51">
        <v>0.106465091929161</v>
      </c>
      <c r="C51">
        <v>1.4802096038963E-2</v>
      </c>
    </row>
    <row r="52" spans="1:3">
      <c r="A52" s="43">
        <v>44286</v>
      </c>
      <c r="B52">
        <v>2.0084961578440499E-2</v>
      </c>
      <c r="C52">
        <v>7.3931208225715599E-3</v>
      </c>
    </row>
    <row r="53" spans="1:3">
      <c r="A53" s="43">
        <v>44316</v>
      </c>
      <c r="B53">
        <v>0.141079833268663</v>
      </c>
      <c r="C53">
        <v>5.1465859663854398E-2</v>
      </c>
    </row>
    <row r="54" spans="1:3">
      <c r="A54" s="43">
        <v>44344</v>
      </c>
      <c r="B54">
        <v>1.4234534337157401E-3</v>
      </c>
      <c r="C54">
        <v>-1.23626699029639E-2</v>
      </c>
    </row>
    <row r="55" spans="1:3">
      <c r="A55" s="43">
        <v>44377</v>
      </c>
      <c r="B55">
        <v>3.6039602811701002E-2</v>
      </c>
      <c r="C55">
        <v>7.2763620975501903E-2</v>
      </c>
    </row>
    <row r="56" spans="1:3">
      <c r="A56" s="43">
        <v>44407</v>
      </c>
      <c r="B56">
        <v>0.103506028852264</v>
      </c>
      <c r="C56">
        <v>3.3703647016591398E-2</v>
      </c>
    </row>
    <row r="57" spans="1:3">
      <c r="A57" s="43">
        <v>44439</v>
      </c>
      <c r="B57">
        <v>7.40091666104154E-2</v>
      </c>
      <c r="C57">
        <v>3.5103491551159403E-2</v>
      </c>
    </row>
    <row r="58" spans="1:3">
      <c r="A58" s="43">
        <v>44469</v>
      </c>
      <c r="B58">
        <v>-7.6169227305179901E-2</v>
      </c>
      <c r="C58">
        <v>-5.7443330662756198E-2</v>
      </c>
    </row>
    <row r="59" spans="1:3">
      <c r="A59" s="43">
        <v>44498</v>
      </c>
      <c r="B59">
        <v>0.107498690955805</v>
      </c>
      <c r="C59">
        <v>8.1910832208393097E-2</v>
      </c>
    </row>
    <row r="60" spans="1:3">
      <c r="A60" s="43">
        <v>44530</v>
      </c>
      <c r="B60">
        <v>-4.1531001833124297E-2</v>
      </c>
      <c r="C60">
        <v>3.1163573640935301E-2</v>
      </c>
    </row>
    <row r="61" spans="1:3">
      <c r="A61" s="43">
        <v>44560</v>
      </c>
      <c r="B61">
        <v>3.0324727382247601E-2</v>
      </c>
      <c r="C61">
        <v>3.03725384280767E-2</v>
      </c>
    </row>
  </sheetData>
  <pageMargins left="0.7" right="0.7" top="0.75" bottom="0.75" header="0.3" footer="0.3"/>
  <pageSetup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0"/>
  <dimension ref="A1:U62"/>
  <sheetViews>
    <sheetView workbookViewId="0">
      <selection activeCell="R10" sqref="R10"/>
    </sheetView>
  </sheetViews>
  <sheetFormatPr defaultRowHeight="14.5"/>
  <cols>
    <col min="1" max="1" width="10.54296875" bestFit="1" customWidth="1"/>
    <col min="3" max="3" width="13.81640625" customWidth="1"/>
    <col min="4" max="4" width="15.453125" bestFit="1" customWidth="1"/>
    <col min="10" max="10" width="13.54296875" bestFit="1" customWidth="1"/>
    <col min="13" max="13" width="10.1796875" customWidth="1"/>
    <col min="14" max="15" width="9.54296875" customWidth="1"/>
    <col min="16" max="16" width="8.453125" customWidth="1"/>
    <col min="17" max="17" width="8.1796875" customWidth="1"/>
    <col min="18" max="18" width="13.453125" bestFit="1" customWidth="1"/>
    <col min="19" max="19" width="11" bestFit="1" customWidth="1"/>
    <col min="20" max="20" width="12.453125" bestFit="1" customWidth="1"/>
    <col min="21" max="21" width="12.54296875" bestFit="1" customWidth="1"/>
  </cols>
  <sheetData>
    <row r="1" spans="1:18">
      <c r="B1" s="273" t="s">
        <v>61</v>
      </c>
      <c r="C1" s="275"/>
      <c r="D1" s="275"/>
      <c r="I1" s="273"/>
      <c r="J1" s="275"/>
      <c r="K1" s="275"/>
    </row>
    <row r="2" spans="1:18">
      <c r="A2" t="s">
        <v>210</v>
      </c>
      <c r="B2" t="s">
        <v>53</v>
      </c>
      <c r="C2" t="s">
        <v>54</v>
      </c>
      <c r="D2" t="s">
        <v>128</v>
      </c>
    </row>
    <row r="3" spans="1:18" ht="15.75" customHeight="1">
      <c r="A3" s="43">
        <v>42766</v>
      </c>
      <c r="B3">
        <v>3.5005350251831102E-2</v>
      </c>
      <c r="C3">
        <v>4.3127267082612698E-2</v>
      </c>
      <c r="D3">
        <v>-3.4677176673669499E-2</v>
      </c>
    </row>
    <row r="4" spans="1:18">
      <c r="A4" s="43">
        <v>42794</v>
      </c>
      <c r="B4">
        <v>3.0163730551132101E-2</v>
      </c>
      <c r="C4">
        <v>4.9392343922591599E-2</v>
      </c>
      <c r="D4">
        <v>-2.65215505729125E-2</v>
      </c>
      <c r="M4" s="25"/>
      <c r="N4" s="25"/>
    </row>
    <row r="5" spans="1:18">
      <c r="A5" s="43">
        <v>42825</v>
      </c>
      <c r="B5">
        <v>3.3967253406387002E-3</v>
      </c>
      <c r="C5">
        <v>2.2535271424309802E-2</v>
      </c>
      <c r="D5">
        <v>-1.0781433969765501E-2</v>
      </c>
    </row>
    <row r="6" spans="1:18">
      <c r="A6" s="43">
        <v>42853</v>
      </c>
      <c r="B6">
        <v>9.0493079550522604E-2</v>
      </c>
      <c r="C6">
        <v>2.3372246451298501E-2</v>
      </c>
      <c r="D6">
        <v>-3.4949718918888199E-2</v>
      </c>
    </row>
    <row r="7" spans="1:18">
      <c r="A7" s="43">
        <v>42886</v>
      </c>
      <c r="B7">
        <v>6.7678369318538906E-2</v>
      </c>
      <c r="C7">
        <v>4.4092149811142102E-2</v>
      </c>
      <c r="D7">
        <v>-4.0501514232138103E-2</v>
      </c>
    </row>
    <row r="8" spans="1:18">
      <c r="A8" s="43">
        <v>42916</v>
      </c>
      <c r="B8">
        <v>-5.8160889703825901E-2</v>
      </c>
      <c r="C8">
        <v>-2.5369264763973599E-2</v>
      </c>
      <c r="D8">
        <v>-5.0467743976806397E-3</v>
      </c>
    </row>
    <row r="9" spans="1:18" ht="15.75" customHeight="1">
      <c r="A9" s="43">
        <v>42947</v>
      </c>
      <c r="B9">
        <v>1.7016615877347201E-2</v>
      </c>
      <c r="C9">
        <v>4.1323644691784997E-2</v>
      </c>
      <c r="D9">
        <v>2.5762749737725001E-2</v>
      </c>
    </row>
    <row r="10" spans="1:18">
      <c r="A10" s="43">
        <v>42978</v>
      </c>
      <c r="B10">
        <v>1.03014174874405E-2</v>
      </c>
      <c r="C10">
        <v>3.1092247992062401E-2</v>
      </c>
      <c r="D10">
        <v>-5.5738965633776602E-2</v>
      </c>
    </row>
    <row r="11" spans="1:18" ht="15.75" customHeight="1">
      <c r="A11" s="43">
        <v>43007</v>
      </c>
      <c r="B11">
        <v>1.9345903288885299E-2</v>
      </c>
      <c r="C11">
        <v>7.9180286509857502E-3</v>
      </c>
      <c r="D11">
        <v>0.104575276140776</v>
      </c>
    </row>
    <row r="12" spans="1:18">
      <c r="A12" s="43">
        <v>43039</v>
      </c>
      <c r="B12">
        <v>6.0921076022031097E-2</v>
      </c>
      <c r="C12">
        <v>7.3952237174317495E-2</v>
      </c>
      <c r="D12">
        <v>-1.0685767909930401E-2</v>
      </c>
      <c r="M12" s="24"/>
      <c r="N12" s="24"/>
      <c r="O12" s="24"/>
      <c r="P12" s="24"/>
      <c r="Q12" s="24"/>
      <c r="R12" s="24"/>
    </row>
    <row r="13" spans="1:18">
      <c r="A13" s="43">
        <v>43069</v>
      </c>
      <c r="B13">
        <v>3.0298969686141301E-3</v>
      </c>
      <c r="C13">
        <v>1.09048052472427E-2</v>
      </c>
      <c r="D13">
        <v>2.0630668843657499E-2</v>
      </c>
    </row>
    <row r="14" spans="1:18">
      <c r="A14" s="43">
        <v>43098</v>
      </c>
      <c r="B14">
        <v>1.66285259542393E-2</v>
      </c>
      <c r="C14">
        <v>9.5153349307954905E-4</v>
      </c>
      <c r="D14">
        <v>5.3859603978132699E-2</v>
      </c>
    </row>
    <row r="15" spans="1:18" ht="15.75" customHeight="1">
      <c r="A15" s="43">
        <v>43131</v>
      </c>
      <c r="B15">
        <v>0.122289674675787</v>
      </c>
      <c r="C15">
        <v>7.5517657504983099E-2</v>
      </c>
      <c r="D15">
        <v>3.1531070814471797E-2</v>
      </c>
    </row>
    <row r="16" spans="1:18" ht="15.75" customHeight="1">
      <c r="A16" s="43">
        <v>43159</v>
      </c>
      <c r="B16">
        <v>-6.6231267190693402E-2</v>
      </c>
      <c r="C16">
        <v>9.5943106815670701E-4</v>
      </c>
      <c r="D16">
        <v>-0.107377325693796</v>
      </c>
    </row>
    <row r="17" spans="1:21">
      <c r="A17" s="43">
        <v>43188</v>
      </c>
      <c r="B17">
        <v>-6.0493538153550498E-2</v>
      </c>
      <c r="C17">
        <v>-3.3752347029247197E-2</v>
      </c>
      <c r="D17">
        <v>2.03968265453753E-2</v>
      </c>
      <c r="M17" s="24"/>
      <c r="N17" s="24"/>
      <c r="O17" s="24"/>
      <c r="P17" s="24"/>
      <c r="Q17" s="24"/>
      <c r="R17" s="24"/>
      <c r="S17" s="24"/>
      <c r="T17" s="24"/>
      <c r="U17" s="24"/>
    </row>
    <row r="18" spans="1:21">
      <c r="A18" s="43">
        <v>43220</v>
      </c>
      <c r="B18">
        <v>-1.7895363496205501E-2</v>
      </c>
      <c r="C18">
        <v>-2.34065894565017E-4</v>
      </c>
      <c r="D18">
        <v>9.68930751398768E-2</v>
      </c>
    </row>
    <row r="19" spans="1:21">
      <c r="A19" s="43">
        <v>43251</v>
      </c>
      <c r="B19">
        <v>7.9934793088498796E-2</v>
      </c>
      <c r="C19">
        <v>7.0484264720268905E-2</v>
      </c>
      <c r="D19">
        <v>3.5925665650232398E-2</v>
      </c>
    </row>
    <row r="20" spans="1:21" ht="15.75" customHeight="1">
      <c r="A20" s="43">
        <v>43280</v>
      </c>
      <c r="B20">
        <v>2.6536310369318101E-2</v>
      </c>
      <c r="C20">
        <v>-6.0987564254476202E-3</v>
      </c>
      <c r="D20">
        <v>7.3254034040275799E-3</v>
      </c>
    </row>
    <row r="21" spans="1:21">
      <c r="A21" s="43">
        <v>43312</v>
      </c>
      <c r="B21">
        <v>8.6814472660633205E-2</v>
      </c>
      <c r="C21">
        <v>2.6240218259098301E-2</v>
      </c>
      <c r="D21">
        <v>1.0848966565756599E-2</v>
      </c>
    </row>
    <row r="22" spans="1:21">
      <c r="A22" s="43">
        <v>43343</v>
      </c>
      <c r="B22">
        <v>3.73207593938997E-3</v>
      </c>
      <c r="C22">
        <v>8.9385974928743298E-2</v>
      </c>
      <c r="D22">
        <v>-2.9561312703496399E-2</v>
      </c>
    </row>
    <row r="23" spans="1:21">
      <c r="A23" s="43">
        <v>43371</v>
      </c>
      <c r="B23">
        <v>-2.0068267408298101E-2</v>
      </c>
      <c r="C23">
        <v>2.0445832719549598E-3</v>
      </c>
      <c r="D23">
        <v>2.6320660814520599E-2</v>
      </c>
    </row>
    <row r="24" spans="1:21">
      <c r="A24" s="43">
        <v>43404</v>
      </c>
      <c r="B24">
        <v>-9.6513904829285305E-2</v>
      </c>
      <c r="C24">
        <v>-8.4765039333867198E-2</v>
      </c>
      <c r="D24">
        <v>-0.12111141268735701</v>
      </c>
    </row>
    <row r="25" spans="1:21">
      <c r="A25" s="43">
        <v>43434</v>
      </c>
      <c r="B25">
        <v>1.7486171695620899E-2</v>
      </c>
      <c r="C25">
        <v>-1.4671940020104199E-2</v>
      </c>
      <c r="D25">
        <v>-2.8360942030534901E-2</v>
      </c>
    </row>
    <row r="26" spans="1:21">
      <c r="A26" s="43">
        <v>43465</v>
      </c>
      <c r="B26">
        <v>-5.8297717346260797E-2</v>
      </c>
      <c r="C26">
        <v>-8.3405923457884099E-2</v>
      </c>
      <c r="D26">
        <v>-0.13417878182968901</v>
      </c>
      <c r="N26" s="14"/>
    </row>
    <row r="27" spans="1:21">
      <c r="A27" s="43">
        <v>43496</v>
      </c>
      <c r="B27">
        <v>7.7447994886167701E-2</v>
      </c>
      <c r="C27">
        <v>7.9901766777854696E-2</v>
      </c>
      <c r="D27">
        <v>0.117105215951637</v>
      </c>
    </row>
    <row r="28" spans="1:21">
      <c r="A28" s="43">
        <v>43524</v>
      </c>
      <c r="B28">
        <v>5.8623326532796101E-4</v>
      </c>
      <c r="C28">
        <v>7.3268044501331703E-2</v>
      </c>
      <c r="D28">
        <v>2.1708988746172001E-2</v>
      </c>
    </row>
    <row r="29" spans="1:21">
      <c r="A29" s="43">
        <v>43553</v>
      </c>
      <c r="B29">
        <v>4.46850682512311E-2</v>
      </c>
      <c r="C29">
        <v>4.0712430514869502E-2</v>
      </c>
      <c r="D29">
        <v>2.3061007767803201E-2</v>
      </c>
      <c r="M29" s="25"/>
      <c r="N29" s="25"/>
    </row>
    <row r="30" spans="1:21">
      <c r="A30" s="43">
        <v>43585</v>
      </c>
      <c r="B30">
        <v>1.8752768750149699E-2</v>
      </c>
      <c r="C30">
        <v>6.3699303270425306E-2</v>
      </c>
      <c r="D30">
        <v>-1.9019573584762399E-3</v>
      </c>
    </row>
    <row r="31" spans="1:21">
      <c r="A31" s="43">
        <v>43616</v>
      </c>
      <c r="B31">
        <v>-7.7116804522148502E-2</v>
      </c>
      <c r="C31">
        <v>-8.8796213354390502E-2</v>
      </c>
      <c r="D31">
        <v>-0.11702724623807501</v>
      </c>
    </row>
    <row r="32" spans="1:21">
      <c r="A32" s="43">
        <v>43644</v>
      </c>
      <c r="B32">
        <v>-2.14188442583596E-2</v>
      </c>
      <c r="C32">
        <v>8.7745974962491799E-2</v>
      </c>
      <c r="D32">
        <v>8.8158408829731597E-2</v>
      </c>
    </row>
    <row r="33" spans="1:21">
      <c r="A33" s="43">
        <v>43677</v>
      </c>
      <c r="B33">
        <v>0.12504608075174001</v>
      </c>
      <c r="C33">
        <v>3.5373944354926599E-2</v>
      </c>
      <c r="D33">
        <v>-2.4111839290427501E-2</v>
      </c>
    </row>
    <row r="34" spans="1:21">
      <c r="A34" s="43">
        <v>43707</v>
      </c>
      <c r="B34">
        <v>-2.2713776870851299E-2</v>
      </c>
      <c r="C34">
        <v>-2.19373127758699E-2</v>
      </c>
      <c r="D34">
        <v>-8.71400003149259E-2</v>
      </c>
    </row>
    <row r="35" spans="1:21">
      <c r="A35" s="43">
        <v>43738</v>
      </c>
      <c r="B35">
        <v>2.5711224915209101E-2</v>
      </c>
      <c r="C35">
        <v>1.32123961735923E-2</v>
      </c>
      <c r="D35">
        <v>3.8816807779235497E-2</v>
      </c>
    </row>
    <row r="36" spans="1:21">
      <c r="A36" s="43">
        <v>43769</v>
      </c>
      <c r="B36">
        <v>3.0840062341687902E-2</v>
      </c>
      <c r="C36">
        <v>3.7532038183118302E-2</v>
      </c>
      <c r="D36">
        <v>-2.6275402589207901E-2</v>
      </c>
    </row>
    <row r="37" spans="1:21">
      <c r="A37" s="43">
        <v>43798</v>
      </c>
      <c r="B37">
        <v>3.5978642544818702E-2</v>
      </c>
      <c r="C37">
        <v>5.5938158594226198E-2</v>
      </c>
      <c r="D37">
        <v>1.0793950064773201E-2</v>
      </c>
      <c r="M37" s="24"/>
      <c r="N37" s="24"/>
      <c r="O37" s="24"/>
      <c r="P37" s="24"/>
      <c r="Q37" s="24"/>
      <c r="R37" s="24"/>
    </row>
    <row r="38" spans="1:21">
      <c r="A38" s="43">
        <v>43830</v>
      </c>
      <c r="B38">
        <v>2.70687220616103E-2</v>
      </c>
      <c r="C38">
        <v>3.9673264178015401E-2</v>
      </c>
      <c r="D38">
        <v>7.1443449579976906E-2</v>
      </c>
    </row>
    <row r="39" spans="1:21">
      <c r="A39" s="43">
        <v>43861</v>
      </c>
      <c r="B39">
        <v>6.9725780860737899E-2</v>
      </c>
      <c r="C39">
        <v>3.8104792223453199E-2</v>
      </c>
      <c r="D39">
        <v>-0.118051263885585</v>
      </c>
    </row>
    <row r="40" spans="1:21">
      <c r="A40" s="43">
        <v>43889</v>
      </c>
      <c r="B40">
        <v>-6.5278708095040994E-2</v>
      </c>
      <c r="C40">
        <v>-7.29010843761492E-2</v>
      </c>
      <c r="D40">
        <v>-0.149436423843996</v>
      </c>
    </row>
    <row r="41" spans="1:21">
      <c r="A41" s="43">
        <v>43921</v>
      </c>
      <c r="B41">
        <v>-0.13238756679344699</v>
      </c>
      <c r="C41">
        <v>-9.7297078852098998E-2</v>
      </c>
      <c r="D41">
        <v>-0.36529900027534201</v>
      </c>
    </row>
    <row r="42" spans="1:21">
      <c r="A42" s="43">
        <v>43951</v>
      </c>
      <c r="B42">
        <v>0.158999963650475</v>
      </c>
      <c r="C42">
        <v>0.142048175375561</v>
      </c>
      <c r="D42">
        <v>0.32208269339239398</v>
      </c>
      <c r="M42" s="24"/>
      <c r="N42" s="24"/>
      <c r="O42" s="24"/>
      <c r="P42" s="24"/>
      <c r="Q42" s="24"/>
      <c r="R42" s="24"/>
      <c r="S42" s="24"/>
      <c r="T42" s="24"/>
      <c r="U42" s="24"/>
    </row>
    <row r="43" spans="1:21">
      <c r="A43" s="43">
        <v>43980</v>
      </c>
      <c r="B43">
        <v>6.4468754367909206E-2</v>
      </c>
      <c r="C43">
        <v>7.8636342272040194E-2</v>
      </c>
      <c r="D43">
        <v>1.6623673585233801E-2</v>
      </c>
    </row>
    <row r="44" spans="1:21">
      <c r="A44" s="43">
        <v>44012</v>
      </c>
      <c r="B44">
        <v>-1.0791597251766E-2</v>
      </c>
      <c r="C44">
        <v>7.0382239353397699E-2</v>
      </c>
      <c r="D44">
        <v>-8.7906941700580006E-3</v>
      </c>
    </row>
    <row r="45" spans="1:21">
      <c r="A45" s="43">
        <v>44043</v>
      </c>
      <c r="B45">
        <v>4.9292972699740097E-2</v>
      </c>
      <c r="C45">
        <v>5.9416773481159903E-2</v>
      </c>
      <c r="D45">
        <v>-4.1948375311480601E-2</v>
      </c>
    </row>
    <row r="46" spans="1:21">
      <c r="A46" s="43">
        <v>44074</v>
      </c>
      <c r="B46">
        <v>9.5151102369736798E-2</v>
      </c>
      <c r="C46">
        <v>0.111355658286513</v>
      </c>
      <c r="D46">
        <v>-6.2251950924947699E-3</v>
      </c>
    </row>
    <row r="47" spans="1:21">
      <c r="A47" s="43">
        <v>44104</v>
      </c>
      <c r="B47">
        <v>-0.1005995905345</v>
      </c>
      <c r="C47">
        <v>-4.8668503645936799E-2</v>
      </c>
      <c r="D47">
        <v>-0.14746857466928501</v>
      </c>
    </row>
    <row r="48" spans="1:21">
      <c r="A48" s="43">
        <v>44134</v>
      </c>
      <c r="B48">
        <v>0.102695150295326</v>
      </c>
      <c r="C48">
        <v>-4.3217165102474898E-2</v>
      </c>
      <c r="D48">
        <v>-3.4730901352366797E-2</v>
      </c>
    </row>
    <row r="49" spans="1:4">
      <c r="A49" s="43">
        <v>44165</v>
      </c>
      <c r="B49">
        <v>8.5569695327646203E-2</v>
      </c>
      <c r="C49">
        <v>0.12530620720864399</v>
      </c>
      <c r="D49">
        <v>0.28039069228457902</v>
      </c>
    </row>
    <row r="50" spans="1:4">
      <c r="A50" s="43">
        <v>44196</v>
      </c>
      <c r="B50">
        <v>-1.0031975268655199E-3</v>
      </c>
      <c r="C50">
        <v>5.7149119056255603E-2</v>
      </c>
      <c r="D50">
        <v>5.2518358524331198E-2</v>
      </c>
    </row>
    <row r="51" spans="1:4">
      <c r="A51" s="43">
        <v>44225</v>
      </c>
      <c r="B51">
        <v>4.2632811118439001E-2</v>
      </c>
      <c r="C51">
        <v>-7.0381544066861297E-3</v>
      </c>
      <c r="D51">
        <v>4.9556525909363498E-2</v>
      </c>
    </row>
    <row r="52" spans="1:4">
      <c r="A52" s="43">
        <v>44253</v>
      </c>
      <c r="B52">
        <v>0.106465091929161</v>
      </c>
      <c r="C52">
        <v>1.4802272345430099E-2</v>
      </c>
      <c r="D52">
        <v>0.22450853736703</v>
      </c>
    </row>
    <row r="53" spans="1:4">
      <c r="A53" s="43">
        <v>44286</v>
      </c>
      <c r="B53">
        <v>2.0084961578440499E-2</v>
      </c>
      <c r="C53">
        <v>7.3930339558565001E-3</v>
      </c>
      <c r="D53">
        <v>3.0569804308272799E-2</v>
      </c>
    </row>
    <row r="54" spans="1:4">
      <c r="A54" s="43">
        <v>44316</v>
      </c>
      <c r="B54">
        <v>0.141079833268663</v>
      </c>
      <c r="C54">
        <v>5.1465859663854398E-2</v>
      </c>
      <c r="D54">
        <v>4.2647623891579403E-3</v>
      </c>
    </row>
    <row r="55" spans="1:4">
      <c r="A55" s="43">
        <v>44344</v>
      </c>
      <c r="B55">
        <v>1.4234534337157401E-3</v>
      </c>
      <c r="C55">
        <v>-1.23626699029639E-2</v>
      </c>
      <c r="D55">
        <v>6.5456078349101499E-2</v>
      </c>
    </row>
    <row r="56" spans="1:4">
      <c r="A56" s="43">
        <v>44377</v>
      </c>
      <c r="B56">
        <v>3.6039602811701002E-2</v>
      </c>
      <c r="C56">
        <v>7.2763620975501903E-2</v>
      </c>
      <c r="D56">
        <v>5.2424444327584703E-2</v>
      </c>
    </row>
    <row r="57" spans="1:4">
      <c r="A57" s="43">
        <v>44407</v>
      </c>
      <c r="B57">
        <v>0.103506028852264</v>
      </c>
      <c r="C57">
        <v>3.3703647016591398E-2</v>
      </c>
      <c r="D57">
        <v>-8.6967926211504898E-2</v>
      </c>
    </row>
    <row r="58" spans="1:4">
      <c r="A58" s="43">
        <v>44439</v>
      </c>
      <c r="B58">
        <v>7.40091666104154E-2</v>
      </c>
      <c r="C58">
        <v>3.5103491551159403E-2</v>
      </c>
      <c r="D58">
        <v>-1.8473071632237398E-2</v>
      </c>
    </row>
    <row r="59" spans="1:4">
      <c r="A59" s="43">
        <v>44469</v>
      </c>
      <c r="B59">
        <v>-7.6169227305179901E-2</v>
      </c>
      <c r="C59">
        <v>-5.7443330662756198E-2</v>
      </c>
      <c r="D59">
        <v>0.10000821982218699</v>
      </c>
    </row>
    <row r="60" spans="1:4">
      <c r="A60" s="43">
        <v>44498</v>
      </c>
      <c r="B60">
        <v>0.107498690955805</v>
      </c>
      <c r="C60">
        <v>8.1910832208393097E-2</v>
      </c>
      <c r="D60">
        <v>9.9052767937811995E-2</v>
      </c>
    </row>
    <row r="61" spans="1:4">
      <c r="A61" s="43">
        <v>44530</v>
      </c>
      <c r="B61">
        <v>-4.1531001833124297E-2</v>
      </c>
      <c r="C61">
        <v>3.1163573640935301E-2</v>
      </c>
      <c r="D61">
        <v>-5.74980539515196E-2</v>
      </c>
    </row>
    <row r="62" spans="1:4">
      <c r="A62" s="43"/>
    </row>
  </sheetData>
  <mergeCells count="2">
    <mergeCell ref="B1:D1"/>
    <mergeCell ref="I1:K1"/>
  </mergeCells>
  <pageMargins left="0.7" right="0.7" top="0.75" bottom="0.75" header="0.3" footer="0.3"/>
  <pageSetup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97181-12D3-4EB7-900E-65F36B9EECCA}">
  <dimension ref="A1:L55"/>
  <sheetViews>
    <sheetView topLeftCell="A19" workbookViewId="0">
      <selection sqref="A1:D55"/>
    </sheetView>
  </sheetViews>
  <sheetFormatPr defaultRowHeight="14.5"/>
  <cols>
    <col min="1" max="1" width="14.453125" customWidth="1"/>
    <col min="2" max="2" width="24.54296875" customWidth="1"/>
    <col min="3" max="3" width="10.453125" style="210" bestFit="1" customWidth="1"/>
    <col min="4" max="4" width="14.54296875" style="158" customWidth="1"/>
    <col min="11" max="11" width="17" bestFit="1" customWidth="1"/>
    <col min="12" max="12" width="12.54296875" bestFit="1" customWidth="1"/>
  </cols>
  <sheetData>
    <row r="1" spans="1:12">
      <c r="B1" s="1" t="s">
        <v>660</v>
      </c>
    </row>
    <row r="2" spans="1:12">
      <c r="B2" s="1"/>
      <c r="C2" s="3" t="s">
        <v>667</v>
      </c>
      <c r="D2" s="216" t="s">
        <v>666</v>
      </c>
    </row>
    <row r="3" spans="1:12">
      <c r="D3" s="215" t="s">
        <v>661</v>
      </c>
    </row>
    <row r="4" spans="1:12">
      <c r="A4" s="208" t="s">
        <v>593</v>
      </c>
      <c r="B4" s="208" t="s">
        <v>645</v>
      </c>
      <c r="C4" s="211" t="s">
        <v>591</v>
      </c>
      <c r="D4" s="213" t="s">
        <v>592</v>
      </c>
      <c r="I4" s="1" t="s">
        <v>665</v>
      </c>
    </row>
    <row r="5" spans="1:12">
      <c r="A5" s="209" t="s">
        <v>594</v>
      </c>
      <c r="B5" s="209" t="s">
        <v>646</v>
      </c>
      <c r="C5" s="212">
        <v>30</v>
      </c>
      <c r="D5" s="214">
        <v>36.6</v>
      </c>
      <c r="F5" s="274" t="s">
        <v>662</v>
      </c>
      <c r="G5" s="274"/>
      <c r="I5">
        <f>D5-$G$6-$G$7*C5</f>
        <v>-28.823515647060841</v>
      </c>
      <c r="K5" t="s">
        <v>664</v>
      </c>
      <c r="L5">
        <f>AVERAGE(I5:I55)</f>
        <v>8.0806820929580018E-15</v>
      </c>
    </row>
    <row r="6" spans="1:12">
      <c r="A6" s="209" t="s">
        <v>595</v>
      </c>
      <c r="B6" s="209" t="s">
        <v>646</v>
      </c>
      <c r="C6" s="210">
        <v>27.7</v>
      </c>
      <c r="D6" s="214">
        <v>48.8</v>
      </c>
      <c r="F6" t="s">
        <v>67</v>
      </c>
      <c r="G6">
        <f>INTERCEPT(D5:D55,C5:C55)</f>
        <v>34.894176754316554</v>
      </c>
      <c r="I6">
        <f t="shared" ref="I6:I55" si="0">D6-$G$6-$G$7*C6</f>
        <v>-14.282932998617117</v>
      </c>
      <c r="K6" t="s">
        <v>668</v>
      </c>
      <c r="L6">
        <f>COVAR(I5:I55,C5:C55)</f>
        <v>-4.640623397538583E-15</v>
      </c>
    </row>
    <row r="7" spans="1:12">
      <c r="A7" s="209" t="s">
        <v>596</v>
      </c>
      <c r="B7" s="209" t="s">
        <v>646</v>
      </c>
      <c r="C7" s="210">
        <v>26.2</v>
      </c>
      <c r="D7" s="214">
        <v>64.600000000000009</v>
      </c>
      <c r="F7" t="s">
        <v>70</v>
      </c>
      <c r="G7">
        <f>SLOPE(D5:D55,C5:C55)</f>
        <v>1.017644629758143</v>
      </c>
      <c r="I7">
        <f t="shared" si="0"/>
        <v>3.0435339460201085</v>
      </c>
    </row>
    <row r="8" spans="1:12">
      <c r="A8" s="209" t="s">
        <v>597</v>
      </c>
      <c r="B8" s="209" t="s">
        <v>646</v>
      </c>
      <c r="C8" s="210">
        <v>25.8</v>
      </c>
      <c r="D8" s="214">
        <v>54.900000000000006</v>
      </c>
      <c r="I8">
        <f t="shared" si="0"/>
        <v>-6.2494082020766371</v>
      </c>
    </row>
    <row r="9" spans="1:12">
      <c r="A9" s="209" t="s">
        <v>598</v>
      </c>
      <c r="B9" s="209" t="s">
        <v>646</v>
      </c>
      <c r="C9" s="210">
        <v>23.8</v>
      </c>
      <c r="D9" s="214">
        <v>57.3</v>
      </c>
      <c r="F9" s="274" t="s">
        <v>663</v>
      </c>
      <c r="G9" s="274"/>
      <c r="I9">
        <f t="shared" si="0"/>
        <v>-1.8141189425603592</v>
      </c>
    </row>
    <row r="10" spans="1:12">
      <c r="A10" s="209" t="s">
        <v>599</v>
      </c>
      <c r="B10" s="209" t="s">
        <v>646</v>
      </c>
      <c r="C10" s="210">
        <v>24.8</v>
      </c>
      <c r="D10" s="214">
        <v>73.2</v>
      </c>
      <c r="F10" t="s">
        <v>67</v>
      </c>
      <c r="G10">
        <f>AVERAGE(D5:D55)-G11*AVERAGE(C5:C55)</f>
        <v>34.894176754316582</v>
      </c>
      <c r="I10">
        <f t="shared" si="0"/>
        <v>13.068236427681502</v>
      </c>
    </row>
    <row r="11" spans="1:12">
      <c r="A11" s="209" t="s">
        <v>600</v>
      </c>
      <c r="B11" s="209" t="s">
        <v>646</v>
      </c>
      <c r="C11" s="210">
        <v>26.2</v>
      </c>
      <c r="D11" s="214">
        <v>65.900000000000006</v>
      </c>
      <c r="F11" t="s">
        <v>70</v>
      </c>
      <c r="G11">
        <f>COVAR(C5:C55,D5:D55)/VARP(C5:C55)</f>
        <v>1.0176446297581418</v>
      </c>
      <c r="I11">
        <f t="shared" si="0"/>
        <v>4.3435339460201057</v>
      </c>
    </row>
    <row r="12" spans="1:12">
      <c r="A12" s="209" t="s">
        <v>601</v>
      </c>
      <c r="B12" s="209" t="s">
        <v>646</v>
      </c>
      <c r="C12" s="210">
        <v>23.9</v>
      </c>
      <c r="D12" s="214">
        <v>69.5</v>
      </c>
      <c r="I12">
        <f t="shared" si="0"/>
        <v>10.284116594463832</v>
      </c>
    </row>
    <row r="13" spans="1:12">
      <c r="A13" s="209" t="s">
        <v>602</v>
      </c>
      <c r="B13" s="209" t="s">
        <v>646</v>
      </c>
      <c r="C13" s="210">
        <v>21.8</v>
      </c>
      <c r="D13" s="214">
        <v>70.7</v>
      </c>
      <c r="I13">
        <f t="shared" si="0"/>
        <v>13.621170316955933</v>
      </c>
    </row>
    <row r="14" spans="1:12">
      <c r="A14" s="209" t="s">
        <v>603</v>
      </c>
      <c r="B14" s="209" t="s">
        <v>646</v>
      </c>
      <c r="C14" s="210">
        <v>21.5</v>
      </c>
      <c r="D14" s="214">
        <v>65.900000000000006</v>
      </c>
      <c r="I14">
        <f t="shared" si="0"/>
        <v>9.1264637058833777</v>
      </c>
    </row>
    <row r="15" spans="1:12">
      <c r="A15" s="209" t="s">
        <v>604</v>
      </c>
      <c r="B15" s="209" t="s">
        <v>646</v>
      </c>
      <c r="C15" s="212">
        <v>22</v>
      </c>
      <c r="D15" s="214">
        <v>75.599999999999994</v>
      </c>
      <c r="I15">
        <f t="shared" si="0"/>
        <v>18.317641391004294</v>
      </c>
    </row>
    <row r="16" spans="1:12">
      <c r="A16" s="209" t="s">
        <v>605</v>
      </c>
      <c r="B16" s="209" t="s">
        <v>646</v>
      </c>
      <c r="C16" s="210">
        <v>23.4</v>
      </c>
      <c r="D16" s="214">
        <v>75.599999999999994</v>
      </c>
      <c r="I16">
        <f t="shared" si="0"/>
        <v>16.892938909342895</v>
      </c>
    </row>
    <row r="17" spans="1:9">
      <c r="A17" s="209" t="s">
        <v>606</v>
      </c>
      <c r="B17" s="209" t="s">
        <v>647</v>
      </c>
      <c r="C17" s="210">
        <v>23.9</v>
      </c>
      <c r="D17" s="214">
        <v>79.3</v>
      </c>
      <c r="I17">
        <f t="shared" si="0"/>
        <v>20.084116594463829</v>
      </c>
    </row>
    <row r="18" spans="1:9">
      <c r="A18" s="209" t="s">
        <v>607</v>
      </c>
      <c r="B18" s="209" t="s">
        <v>647</v>
      </c>
      <c r="C18" s="210">
        <v>19.600000000000001</v>
      </c>
      <c r="D18" s="214">
        <v>75.599999999999994</v>
      </c>
      <c r="I18">
        <f t="shared" si="0"/>
        <v>20.759988502423838</v>
      </c>
    </row>
    <row r="19" spans="1:9">
      <c r="A19" s="209" t="s">
        <v>608</v>
      </c>
      <c r="B19" s="209" t="s">
        <v>647</v>
      </c>
      <c r="C19" s="210">
        <v>22.5</v>
      </c>
      <c r="D19" s="214">
        <v>69.5</v>
      </c>
      <c r="I19">
        <f t="shared" si="0"/>
        <v>11.708819076125231</v>
      </c>
    </row>
    <row r="20" spans="1:9">
      <c r="A20" s="209" t="s">
        <v>609</v>
      </c>
      <c r="B20" s="209" t="s">
        <v>647</v>
      </c>
      <c r="C20" s="210">
        <v>22.3</v>
      </c>
      <c r="D20" s="214">
        <v>76.8</v>
      </c>
      <c r="I20">
        <f t="shared" si="0"/>
        <v>19.212348002076855</v>
      </c>
    </row>
    <row r="21" spans="1:9">
      <c r="A21" s="209" t="s">
        <v>610</v>
      </c>
      <c r="B21" s="209" t="s">
        <v>647</v>
      </c>
      <c r="C21" s="210">
        <v>19.399999999999999</v>
      </c>
      <c r="D21" s="214">
        <v>70.7</v>
      </c>
      <c r="I21">
        <f t="shared" si="0"/>
        <v>16.063517428375476</v>
      </c>
    </row>
    <row r="22" spans="1:9">
      <c r="A22" s="209" t="s">
        <v>611</v>
      </c>
      <c r="B22" s="209" t="s">
        <v>648</v>
      </c>
      <c r="C22" s="210">
        <v>19.899999999999999</v>
      </c>
      <c r="D22" s="214">
        <v>52.400000000000006</v>
      </c>
      <c r="I22">
        <f t="shared" si="0"/>
        <v>-2.7453048865035932</v>
      </c>
    </row>
    <row r="23" spans="1:9">
      <c r="A23" s="209" t="s">
        <v>612</v>
      </c>
      <c r="B23" s="209" t="s">
        <v>649</v>
      </c>
      <c r="C23" s="210">
        <v>15.1</v>
      </c>
      <c r="D23" s="214">
        <v>47.599999999999994</v>
      </c>
      <c r="I23">
        <f t="shared" si="0"/>
        <v>-2.6606106636645173</v>
      </c>
    </row>
    <row r="24" spans="1:9">
      <c r="A24" s="209" t="s">
        <v>613</v>
      </c>
      <c r="B24" s="209" t="s">
        <v>650</v>
      </c>
      <c r="C24" s="210">
        <v>14.2</v>
      </c>
      <c r="D24" s="214">
        <v>40.200000000000003</v>
      </c>
      <c r="I24">
        <f t="shared" si="0"/>
        <v>-9.1447304968821808</v>
      </c>
    </row>
    <row r="25" spans="1:9">
      <c r="A25" s="209" t="s">
        <v>614</v>
      </c>
      <c r="B25" s="209" t="s">
        <v>651</v>
      </c>
      <c r="C25" s="210">
        <v>21.7</v>
      </c>
      <c r="D25" s="214">
        <v>58.5</v>
      </c>
      <c r="I25">
        <f t="shared" si="0"/>
        <v>1.5229347799317452</v>
      </c>
    </row>
    <row r="26" spans="1:9">
      <c r="A26" s="209" t="s">
        <v>615</v>
      </c>
      <c r="B26" s="209" t="s">
        <v>651</v>
      </c>
      <c r="C26" s="210">
        <v>21.2</v>
      </c>
      <c r="D26" s="214">
        <v>64.600000000000009</v>
      </c>
      <c r="I26">
        <f t="shared" si="0"/>
        <v>8.1317570948108262</v>
      </c>
    </row>
    <row r="27" spans="1:9">
      <c r="A27" s="209" t="s">
        <v>616</v>
      </c>
      <c r="B27" s="209" t="s">
        <v>652</v>
      </c>
      <c r="C27" s="210">
        <v>26.2</v>
      </c>
      <c r="D27" s="214">
        <v>68.300000000000011</v>
      </c>
      <c r="I27">
        <f t="shared" si="0"/>
        <v>6.7435339460201114</v>
      </c>
    </row>
    <row r="28" spans="1:9">
      <c r="A28" s="209" t="s">
        <v>617</v>
      </c>
      <c r="B28" s="209" t="s">
        <v>652</v>
      </c>
      <c r="C28" s="210">
        <v>28.3</v>
      </c>
      <c r="D28" s="214">
        <v>74.400000000000006</v>
      </c>
      <c r="I28">
        <f t="shared" si="0"/>
        <v>10.706480223528004</v>
      </c>
    </row>
    <row r="29" spans="1:9">
      <c r="A29" s="209" t="s">
        <v>618</v>
      </c>
      <c r="B29" s="209" t="s">
        <v>652</v>
      </c>
      <c r="C29" s="210">
        <v>26.3</v>
      </c>
      <c r="D29" s="214">
        <v>62</v>
      </c>
      <c r="I29">
        <f t="shared" si="0"/>
        <v>0.34176948304428478</v>
      </c>
    </row>
    <row r="30" spans="1:9">
      <c r="A30" s="209" t="s">
        <v>619</v>
      </c>
      <c r="B30" s="209" t="s">
        <v>652</v>
      </c>
      <c r="C30" s="210">
        <v>29.7</v>
      </c>
      <c r="D30" s="214">
        <v>81.699999999999989</v>
      </c>
      <c r="I30">
        <f t="shared" si="0"/>
        <v>16.581777741866588</v>
      </c>
    </row>
    <row r="31" spans="1:9">
      <c r="A31" s="209" t="s">
        <v>620</v>
      </c>
      <c r="B31" s="209" t="s">
        <v>652</v>
      </c>
      <c r="C31" s="210">
        <v>28.7</v>
      </c>
      <c r="D31" s="214">
        <v>68.300000000000011</v>
      </c>
      <c r="I31">
        <f t="shared" si="0"/>
        <v>4.1994223716247561</v>
      </c>
    </row>
    <row r="32" spans="1:9">
      <c r="A32" s="209" t="s">
        <v>621</v>
      </c>
      <c r="B32" s="209" t="s">
        <v>652</v>
      </c>
      <c r="C32" s="210">
        <v>27.2</v>
      </c>
      <c r="D32" s="214">
        <v>70.7</v>
      </c>
      <c r="I32">
        <f t="shared" si="0"/>
        <v>8.1258893162619614</v>
      </c>
    </row>
    <row r="33" spans="1:9">
      <c r="A33" s="209" t="s">
        <v>622</v>
      </c>
      <c r="B33" s="209" t="s">
        <v>653</v>
      </c>
      <c r="C33" s="212">
        <v>30</v>
      </c>
      <c r="D33" s="214">
        <v>61</v>
      </c>
      <c r="I33">
        <f t="shared" si="0"/>
        <v>-4.4235156470608423</v>
      </c>
    </row>
    <row r="34" spans="1:9">
      <c r="A34" s="209" t="s">
        <v>623</v>
      </c>
      <c r="B34" s="209" t="s">
        <v>653</v>
      </c>
      <c r="C34" s="212">
        <v>24</v>
      </c>
      <c r="D34" s="214">
        <v>68.300000000000011</v>
      </c>
      <c r="I34">
        <f t="shared" si="0"/>
        <v>8.9823521314880281</v>
      </c>
    </row>
    <row r="35" spans="1:9">
      <c r="A35" s="209" t="s">
        <v>624</v>
      </c>
      <c r="B35" s="209" t="s">
        <v>653</v>
      </c>
      <c r="C35" s="210">
        <v>27.6</v>
      </c>
      <c r="D35" s="214">
        <v>41.5</v>
      </c>
      <c r="I35">
        <f t="shared" si="0"/>
        <v>-21.481168535641302</v>
      </c>
    </row>
    <row r="36" spans="1:9">
      <c r="A36" s="209" t="s">
        <v>625</v>
      </c>
      <c r="B36" s="209" t="s">
        <v>653</v>
      </c>
      <c r="C36" s="210">
        <v>35.4</v>
      </c>
      <c r="D36" s="214">
        <v>54.900000000000006</v>
      </c>
      <c r="I36">
        <f t="shared" si="0"/>
        <v>-16.018796647754804</v>
      </c>
    </row>
    <row r="37" spans="1:9">
      <c r="A37" s="209" t="s">
        <v>626</v>
      </c>
      <c r="B37" s="209" t="s">
        <v>653</v>
      </c>
      <c r="C37" s="210">
        <v>31.6</v>
      </c>
      <c r="D37" s="214">
        <v>51.2</v>
      </c>
      <c r="I37">
        <f t="shared" si="0"/>
        <v>-15.851747054673872</v>
      </c>
    </row>
    <row r="38" spans="1:9">
      <c r="A38" s="209" t="s">
        <v>627</v>
      </c>
      <c r="B38" s="209" t="s">
        <v>653</v>
      </c>
      <c r="C38" s="210">
        <v>28.3</v>
      </c>
      <c r="D38" s="214">
        <v>69.5</v>
      </c>
      <c r="I38">
        <f t="shared" si="0"/>
        <v>5.8064802235279984</v>
      </c>
    </row>
    <row r="39" spans="1:9">
      <c r="A39" s="209" t="s">
        <v>628</v>
      </c>
      <c r="B39" s="209" t="s">
        <v>653</v>
      </c>
      <c r="C39" s="210">
        <v>26.8</v>
      </c>
      <c r="D39" s="214">
        <v>79.3</v>
      </c>
      <c r="I39">
        <f t="shared" si="0"/>
        <v>17.132947168165209</v>
      </c>
    </row>
    <row r="40" spans="1:9">
      <c r="A40" s="209" t="s">
        <v>629</v>
      </c>
      <c r="B40" s="209" t="s">
        <v>653</v>
      </c>
      <c r="C40" s="212">
        <v>27</v>
      </c>
      <c r="D40" s="214">
        <v>69.5</v>
      </c>
      <c r="I40">
        <f t="shared" si="0"/>
        <v>7.1294182422135854</v>
      </c>
    </row>
    <row r="41" spans="1:9">
      <c r="A41" s="209" t="s">
        <v>630</v>
      </c>
      <c r="B41" s="209" t="s">
        <v>653</v>
      </c>
      <c r="C41" s="210">
        <v>25.3</v>
      </c>
      <c r="D41" s="214">
        <v>69.5</v>
      </c>
      <c r="I41">
        <f t="shared" si="0"/>
        <v>8.8594141128024297</v>
      </c>
    </row>
    <row r="42" spans="1:9">
      <c r="A42" s="209" t="s">
        <v>631</v>
      </c>
      <c r="B42" s="209" t="s">
        <v>653</v>
      </c>
      <c r="C42" s="210">
        <v>27.9</v>
      </c>
      <c r="D42" s="214">
        <v>62.1</v>
      </c>
      <c r="I42">
        <f t="shared" si="0"/>
        <v>-1.1864619245687393</v>
      </c>
    </row>
    <row r="43" spans="1:9">
      <c r="A43" s="209" t="s">
        <v>632</v>
      </c>
      <c r="B43" s="209" t="s">
        <v>653</v>
      </c>
      <c r="C43" s="210">
        <v>27.3</v>
      </c>
      <c r="D43" s="214">
        <v>54.900000000000006</v>
      </c>
      <c r="I43">
        <f t="shared" si="0"/>
        <v>-7.7758751467138509</v>
      </c>
    </row>
    <row r="44" spans="1:9">
      <c r="A44" s="209" t="s">
        <v>633</v>
      </c>
      <c r="B44" s="209" t="s">
        <v>654</v>
      </c>
      <c r="C44" s="210">
        <v>17.399999999999999</v>
      </c>
      <c r="D44" s="214">
        <v>32.9</v>
      </c>
      <c r="I44">
        <f t="shared" si="0"/>
        <v>-19.701193312108241</v>
      </c>
    </row>
    <row r="45" spans="1:9">
      <c r="A45" s="209" t="s">
        <v>634</v>
      </c>
      <c r="B45" s="209" t="s">
        <v>655</v>
      </c>
      <c r="C45" s="212">
        <v>12</v>
      </c>
      <c r="D45" s="214">
        <v>25.6</v>
      </c>
      <c r="I45">
        <f t="shared" si="0"/>
        <v>-21.505912311414267</v>
      </c>
    </row>
    <row r="46" spans="1:9">
      <c r="A46" s="209" t="s">
        <v>635</v>
      </c>
      <c r="B46" s="209" t="s">
        <v>653</v>
      </c>
      <c r="C46" s="210">
        <v>17.600000000000001</v>
      </c>
      <c r="D46" s="214">
        <v>20.7</v>
      </c>
      <c r="I46">
        <f t="shared" si="0"/>
        <v>-32.104722238059871</v>
      </c>
    </row>
    <row r="47" spans="1:9">
      <c r="A47" s="209" t="s">
        <v>636</v>
      </c>
      <c r="B47" s="209" t="s">
        <v>656</v>
      </c>
      <c r="C47" s="210">
        <v>15.6</v>
      </c>
      <c r="D47" s="214">
        <v>31.7</v>
      </c>
      <c r="I47">
        <f t="shared" si="0"/>
        <v>-19.069432978543585</v>
      </c>
    </row>
    <row r="48" spans="1:9">
      <c r="A48" s="209" t="s">
        <v>637</v>
      </c>
      <c r="B48" s="209" t="s">
        <v>657</v>
      </c>
      <c r="C48" s="210">
        <v>16.100000000000001</v>
      </c>
      <c r="D48" s="214">
        <v>42.699999999999996</v>
      </c>
      <c r="I48">
        <f t="shared" si="0"/>
        <v>-8.5782552934226608</v>
      </c>
    </row>
    <row r="49" spans="1:9">
      <c r="A49" s="209" t="s">
        <v>638</v>
      </c>
      <c r="B49" s="209" t="s">
        <v>658</v>
      </c>
      <c r="C49" s="210">
        <v>27.4</v>
      </c>
      <c r="D49" s="214">
        <v>45.1</v>
      </c>
      <c r="I49">
        <f t="shared" si="0"/>
        <v>-17.677639609689667</v>
      </c>
    </row>
    <row r="50" spans="1:9">
      <c r="A50" s="209" t="s">
        <v>639</v>
      </c>
      <c r="B50" s="209" t="s">
        <v>659</v>
      </c>
      <c r="C50" s="210">
        <v>26.1</v>
      </c>
      <c r="D50" s="214">
        <v>73.2</v>
      </c>
      <c r="I50">
        <f t="shared" si="0"/>
        <v>11.745298408995914</v>
      </c>
    </row>
    <row r="51" spans="1:9">
      <c r="A51" s="209" t="s">
        <v>640</v>
      </c>
      <c r="B51" s="209" t="s">
        <v>658</v>
      </c>
      <c r="C51" s="212">
        <v>25</v>
      </c>
      <c r="D51" s="214">
        <v>58.3</v>
      </c>
      <c r="I51">
        <f t="shared" si="0"/>
        <v>-2.035292498270131</v>
      </c>
    </row>
    <row r="52" spans="1:9">
      <c r="A52" s="209" t="s">
        <v>641</v>
      </c>
      <c r="B52" s="209" t="s">
        <v>658</v>
      </c>
      <c r="C52" s="210">
        <v>30.3</v>
      </c>
      <c r="D52" s="214">
        <v>40.200000000000003</v>
      </c>
      <c r="I52">
        <f t="shared" si="0"/>
        <v>-25.528809035988285</v>
      </c>
    </row>
    <row r="53" spans="1:9">
      <c r="A53" s="209" t="s">
        <v>642</v>
      </c>
      <c r="B53" s="209" t="s">
        <v>658</v>
      </c>
      <c r="C53" s="210">
        <v>28.9</v>
      </c>
      <c r="D53" s="214">
        <v>52.400000000000006</v>
      </c>
      <c r="I53">
        <f t="shared" si="0"/>
        <v>-11.90410655432688</v>
      </c>
    </row>
    <row r="54" spans="1:9">
      <c r="A54" s="209" t="s">
        <v>643</v>
      </c>
      <c r="B54" s="209" t="s">
        <v>658</v>
      </c>
      <c r="C54" s="210">
        <v>25.7</v>
      </c>
      <c r="D54" s="214">
        <v>57.3</v>
      </c>
      <c r="I54">
        <f t="shared" si="0"/>
        <v>-3.7476437391008304</v>
      </c>
    </row>
    <row r="55" spans="1:9">
      <c r="A55" s="209" t="s">
        <v>644</v>
      </c>
      <c r="B55" s="209" t="s">
        <v>658</v>
      </c>
      <c r="C55" s="210">
        <v>24.4</v>
      </c>
      <c r="D55" s="214">
        <v>61.5</v>
      </c>
      <c r="I55">
        <f t="shared" si="0"/>
        <v>1.7752942795847595</v>
      </c>
    </row>
  </sheetData>
  <mergeCells count="2">
    <mergeCell ref="F5:G5"/>
    <mergeCell ref="F9:G9"/>
  </mergeCells>
  <pageMargins left="0.7" right="0.7" top="0.75" bottom="0.75" header="0.3" footer="0.3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5"/>
  <dimension ref="A1:L122"/>
  <sheetViews>
    <sheetView workbookViewId="0">
      <selection activeCell="J11" sqref="J11"/>
    </sheetView>
  </sheetViews>
  <sheetFormatPr defaultColWidth="9.1796875" defaultRowHeight="14.5"/>
  <cols>
    <col min="1" max="1" width="13.453125" customWidth="1"/>
    <col min="2" max="2" width="18.1796875" style="4" bestFit="1" customWidth="1"/>
    <col min="3" max="3" width="13.453125" style="4" customWidth="1"/>
    <col min="4" max="4" width="3.453125" customWidth="1"/>
    <col min="5" max="5" width="12.453125" bestFit="1" customWidth="1"/>
    <col min="6" max="6" width="14.1796875" bestFit="1" customWidth="1"/>
    <col min="7" max="7" width="6.1796875" customWidth="1"/>
    <col min="8" max="8" width="10.1796875" customWidth="1"/>
    <col min="10" max="10" width="9.54296875" bestFit="1" customWidth="1"/>
    <col min="11" max="11" width="7.453125" bestFit="1" customWidth="1"/>
  </cols>
  <sheetData>
    <row r="1" spans="1:12">
      <c r="A1" t="s">
        <v>43</v>
      </c>
      <c r="B1" s="273" t="s">
        <v>61</v>
      </c>
      <c r="C1" s="273"/>
      <c r="E1" s="273" t="s">
        <v>60</v>
      </c>
      <c r="F1" s="273"/>
      <c r="G1" s="3"/>
      <c r="H1" s="3"/>
      <c r="I1" s="164" t="s">
        <v>159</v>
      </c>
      <c r="J1" s="1">
        <v>3.0000000000000001E-3</v>
      </c>
    </row>
    <row r="2" spans="1:12" ht="18" customHeight="1">
      <c r="B2" s="4" t="s">
        <v>44</v>
      </c>
      <c r="C2" s="4" t="s">
        <v>45</v>
      </c>
      <c r="E2" s="4" t="s">
        <v>490</v>
      </c>
      <c r="F2" s="4" t="s">
        <v>230</v>
      </c>
      <c r="G2" s="4"/>
      <c r="H2" s="3" t="s">
        <v>488</v>
      </c>
    </row>
    <row r="3" spans="1:12">
      <c r="A3" s="43">
        <v>43496</v>
      </c>
      <c r="B3" s="4">
        <v>2.5182962346577898E-2</v>
      </c>
      <c r="C3" s="4">
        <v>1.152141169120342E-2</v>
      </c>
      <c r="E3">
        <f>B3-$J$1</f>
        <v>2.2182962346577899E-2</v>
      </c>
      <c r="F3">
        <f>C3-$J$1</f>
        <v>8.5214116912034205E-3</v>
      </c>
      <c r="H3">
        <f t="shared" ref="H3:H34" si="0">E3-($J$5+$K$5*F3)</f>
        <v>1.549916346433756E-2</v>
      </c>
      <c r="J3" s="3" t="s">
        <v>66</v>
      </c>
      <c r="K3" s="3" t="s">
        <v>69</v>
      </c>
    </row>
    <row r="4" spans="1:12">
      <c r="A4" s="43">
        <f>EDATE(A3,1)</f>
        <v>43524</v>
      </c>
      <c r="B4" s="4">
        <v>-8.6761985707725198E-2</v>
      </c>
      <c r="C4" s="4">
        <v>2.5410062150882498E-2</v>
      </c>
      <c r="E4">
        <f t="shared" ref="E4:E62" si="1">B4-$J$1</f>
        <v>-8.97619857077252E-2</v>
      </c>
      <c r="F4">
        <f t="shared" ref="F4:F62" si="2">C4-$J$1</f>
        <v>2.2410062150882499E-2</v>
      </c>
      <c r="H4">
        <f t="shared" si="0"/>
        <v>-0.1116928659663398</v>
      </c>
      <c r="J4" s="5">
        <f>INTERCEPT(E3:E62,F3:F62)</f>
        <v>-2.6710810518873872E-3</v>
      </c>
      <c r="K4" s="6">
        <f>SLOPE(E3:E62,F3:F62)</f>
        <v>1.0978087050746166</v>
      </c>
      <c r="L4" t="s">
        <v>50</v>
      </c>
    </row>
    <row r="5" spans="1:12">
      <c r="A5" s="43">
        <f t="shared" ref="A5:A62" si="3">EDATE(A4,1)</f>
        <v>43552</v>
      </c>
      <c r="B5" s="4">
        <v>-2.0304467045389501E-2</v>
      </c>
      <c r="C5" s="4">
        <v>-4.54728549219015E-2</v>
      </c>
      <c r="E5">
        <f t="shared" si="1"/>
        <v>-2.33044670453895E-2</v>
      </c>
      <c r="F5">
        <f t="shared" si="2"/>
        <v>-4.8472854921901502E-2</v>
      </c>
      <c r="H5">
        <f t="shared" si="0"/>
        <v>3.2580536099580303E-2</v>
      </c>
      <c r="J5" s="5">
        <f>AVERAGE(E3:E62)-K5*AVERAGE(F3:F62)</f>
        <v>-2.671081051887382E-3</v>
      </c>
      <c r="K5" s="6">
        <f>COVAR(E3:E62,F3:F62)/VARP(F3:F62)</f>
        <v>1.0978087050746161</v>
      </c>
      <c r="L5" t="s">
        <v>669</v>
      </c>
    </row>
    <row r="6" spans="1:12">
      <c r="A6" s="43">
        <f t="shared" si="3"/>
        <v>43583</v>
      </c>
      <c r="B6" s="4">
        <v>-1.72427921787313E-2</v>
      </c>
      <c r="C6" s="4">
        <v>2.2103700473733699E-2</v>
      </c>
      <c r="E6">
        <f t="shared" si="1"/>
        <v>-2.02427921787313E-2</v>
      </c>
      <c r="F6">
        <f t="shared" si="2"/>
        <v>1.9103700473733699E-2</v>
      </c>
      <c r="H6">
        <f t="shared" si="0"/>
        <v>-3.8543919806046836E-2</v>
      </c>
    </row>
    <row r="7" spans="1:12">
      <c r="A7" s="43">
        <f t="shared" si="3"/>
        <v>43613</v>
      </c>
      <c r="B7" s="4">
        <v>0.116609432892105</v>
      </c>
      <c r="C7" s="4">
        <v>-2.0756659839374601E-2</v>
      </c>
      <c r="E7">
        <f t="shared" si="1"/>
        <v>0.113609432892105</v>
      </c>
      <c r="F7">
        <f t="shared" si="2"/>
        <v>-2.37566598393746E-2</v>
      </c>
      <c r="H7">
        <f t="shared" si="0"/>
        <v>0.14236078191915436</v>
      </c>
      <c r="J7" s="3" t="s">
        <v>48</v>
      </c>
      <c r="K7" s="3" t="s">
        <v>49</v>
      </c>
    </row>
    <row r="8" spans="1:12">
      <c r="A8" s="43">
        <f t="shared" si="3"/>
        <v>43644</v>
      </c>
      <c r="B8" s="4">
        <v>-7.0972345326888999E-3</v>
      </c>
      <c r="C8" s="4">
        <v>5.8078852746478102E-2</v>
      </c>
      <c r="E8">
        <f t="shared" si="1"/>
        <v>-1.00972345326889E-2</v>
      </c>
      <c r="F8">
        <f t="shared" si="2"/>
        <v>5.5078852746478099E-2</v>
      </c>
      <c r="H8">
        <f t="shared" si="0"/>
        <v>-6.789219749140811E-2</v>
      </c>
      <c r="J8" s="18">
        <f>AVERAGE(E3:E62)</f>
        <v>1.1062205905242491E-2</v>
      </c>
      <c r="K8" s="18">
        <f>AVERAGE(F3:F62)</f>
        <v>1.2509726779946098E-2</v>
      </c>
    </row>
    <row r="9" spans="1:12">
      <c r="A9" s="43">
        <f t="shared" si="3"/>
        <v>43674</v>
      </c>
      <c r="B9" s="4">
        <v>-9.8414784852537997E-3</v>
      </c>
      <c r="C9" s="4">
        <v>-1.7397045101593102E-2</v>
      </c>
      <c r="E9">
        <f t="shared" si="1"/>
        <v>-1.2841478485253799E-2</v>
      </c>
      <c r="F9">
        <f t="shared" si="2"/>
        <v>-2.0397045101593101E-2</v>
      </c>
      <c r="H9">
        <f t="shared" si="0"/>
        <v>1.2221656236962048E-2</v>
      </c>
    </row>
    <row r="10" spans="1:12">
      <c r="A10" s="43">
        <f t="shared" si="3"/>
        <v>43705</v>
      </c>
      <c r="B10" s="4">
        <v>1.0854735804716961E-2</v>
      </c>
      <c r="C10" s="4">
        <v>4.88817497411013E-2</v>
      </c>
      <c r="E10">
        <f t="shared" si="1"/>
        <v>7.8547358047169613E-3</v>
      </c>
      <c r="F10">
        <f t="shared" si="2"/>
        <v>4.5881749741101298E-2</v>
      </c>
      <c r="H10">
        <f t="shared" si="0"/>
        <v>-3.9843567413231674E-2</v>
      </c>
      <c r="J10" s="1" t="s">
        <v>489</v>
      </c>
      <c r="K10" s="3"/>
    </row>
    <row r="11" spans="1:12">
      <c r="A11" s="43">
        <f t="shared" si="3"/>
        <v>43736</v>
      </c>
      <c r="B11" s="4">
        <v>0.14091204483654501</v>
      </c>
      <c r="C11" s="4">
        <v>6.2528386729888696E-2</v>
      </c>
      <c r="E11">
        <f t="shared" si="1"/>
        <v>0.13791204483654501</v>
      </c>
      <c r="F11">
        <f t="shared" si="2"/>
        <v>5.9528386729888694E-2</v>
      </c>
      <c r="H11">
        <f t="shared" si="0"/>
        <v>7.5232344737312329E-2</v>
      </c>
      <c r="J11" s="19">
        <f>COVAR(F3:F62,H3:H62)</f>
        <v>7.9508159315603655E-19</v>
      </c>
      <c r="K11" s="16"/>
    </row>
    <row r="12" spans="1:12">
      <c r="A12" s="43">
        <f t="shared" si="3"/>
        <v>43766</v>
      </c>
      <c r="B12" s="4">
        <v>1.31942546426576E-2</v>
      </c>
      <c r="C12" s="4">
        <v>5.3322150458580998E-3</v>
      </c>
      <c r="E12">
        <f t="shared" si="1"/>
        <v>1.0194254642657601E-2</v>
      </c>
      <c r="F12">
        <f t="shared" si="2"/>
        <v>2.3322150458580998E-3</v>
      </c>
      <c r="H12">
        <f t="shared" si="0"/>
        <v>1.0305009715095965E-2</v>
      </c>
      <c r="J12" s="15"/>
      <c r="K12" s="16"/>
    </row>
    <row r="13" spans="1:12">
      <c r="A13" s="43">
        <f t="shared" si="3"/>
        <v>43797</v>
      </c>
      <c r="B13" s="4">
        <v>3.2527548292968098E-2</v>
      </c>
      <c r="C13" s="4">
        <v>5.6016302358620006E-2</v>
      </c>
      <c r="E13">
        <f t="shared" si="1"/>
        <v>2.9527548292968098E-2</v>
      </c>
      <c r="F13">
        <f t="shared" si="2"/>
        <v>5.3016302358620003E-2</v>
      </c>
      <c r="H13">
        <f t="shared" si="0"/>
        <v>-2.6003128895305466E-2</v>
      </c>
    </row>
    <row r="14" spans="1:12" ht="18" customHeight="1">
      <c r="A14" s="43">
        <f t="shared" si="3"/>
        <v>43827</v>
      </c>
      <c r="B14" s="4">
        <v>-3.5665874941507103E-3</v>
      </c>
      <c r="C14" s="4">
        <v>3.3058622845351E-2</v>
      </c>
      <c r="E14">
        <f t="shared" si="1"/>
        <v>-6.5665874941507104E-3</v>
      </c>
      <c r="F14">
        <f t="shared" si="2"/>
        <v>3.0058622845351001E-2</v>
      </c>
      <c r="H14">
        <f t="shared" si="0"/>
        <v>-3.6894124264444383E-2</v>
      </c>
    </row>
    <row r="15" spans="1:12">
      <c r="A15" s="43">
        <f t="shared" si="3"/>
        <v>43858</v>
      </c>
      <c r="B15" s="4">
        <v>0.20074955650706899</v>
      </c>
      <c r="C15" s="4">
        <v>3.0172383828114401E-2</v>
      </c>
      <c r="E15">
        <f t="shared" si="1"/>
        <v>0.19774955650706899</v>
      </c>
      <c r="F15">
        <f t="shared" si="2"/>
        <v>2.7172383828114401E-2</v>
      </c>
      <c r="H15">
        <f t="shared" si="0"/>
        <v>0.17059055805482365</v>
      </c>
      <c r="K15" s="4"/>
    </row>
    <row r="16" spans="1:12">
      <c r="A16" s="43">
        <f t="shared" si="3"/>
        <v>43889</v>
      </c>
      <c r="B16" s="4">
        <v>-5.0696073159361199E-2</v>
      </c>
      <c r="C16" s="4">
        <v>-5.8276268537547894E-2</v>
      </c>
      <c r="E16">
        <f t="shared" si="1"/>
        <v>-5.3696073159361202E-2</v>
      </c>
      <c r="F16">
        <f t="shared" si="2"/>
        <v>-6.1276268537547897E-2</v>
      </c>
      <c r="H16">
        <f t="shared" si="0"/>
        <v>1.6244628907536085E-2</v>
      </c>
    </row>
    <row r="17" spans="1:8">
      <c r="A17" s="43">
        <f t="shared" si="3"/>
        <v>43918</v>
      </c>
      <c r="B17" s="4">
        <v>2.0428722300300999E-2</v>
      </c>
      <c r="C17" s="4">
        <v>4.7956631716191299E-3</v>
      </c>
      <c r="E17">
        <f t="shared" si="1"/>
        <v>1.7428722300301E-2</v>
      </c>
      <c r="F17">
        <f t="shared" si="2"/>
        <v>1.7956631716191298E-3</v>
      </c>
      <c r="H17">
        <f t="shared" si="0"/>
        <v>1.8128508691003006E-2</v>
      </c>
    </row>
    <row r="18" spans="1:8">
      <c r="A18" s="43">
        <f t="shared" si="3"/>
        <v>43949</v>
      </c>
      <c r="B18" s="4">
        <v>-7.8471835351294997E-2</v>
      </c>
      <c r="C18" s="4">
        <v>-1.00573600590446E-2</v>
      </c>
      <c r="E18">
        <f t="shared" si="1"/>
        <v>-8.1471835351294999E-2</v>
      </c>
      <c r="F18">
        <f t="shared" si="2"/>
        <v>-1.30573600590446E-2</v>
      </c>
      <c r="H18">
        <f t="shared" si="0"/>
        <v>-6.4466270761294853E-2</v>
      </c>
    </row>
    <row r="19" spans="1:8">
      <c r="A19" s="43">
        <f t="shared" si="3"/>
        <v>43979</v>
      </c>
      <c r="B19" s="4">
        <v>0.111397417852964</v>
      </c>
      <c r="C19" s="4">
        <v>4.4465168433367799E-2</v>
      </c>
      <c r="E19">
        <f t="shared" si="1"/>
        <v>0.108397417852964</v>
      </c>
      <c r="F19">
        <f t="shared" si="2"/>
        <v>4.1465168433367797E-2</v>
      </c>
      <c r="H19">
        <f t="shared" si="0"/>
        <v>6.5547676041315034E-2</v>
      </c>
    </row>
    <row r="20" spans="1:8">
      <c r="A20" s="43">
        <f t="shared" si="3"/>
        <v>44010</v>
      </c>
      <c r="B20" s="4">
        <v>-2.9100945040153901E-2</v>
      </c>
      <c r="C20" s="4">
        <v>-1.7268801009020202E-2</v>
      </c>
      <c r="E20">
        <f t="shared" si="1"/>
        <v>-3.21009450401539E-2</v>
      </c>
      <c r="F20">
        <f t="shared" si="2"/>
        <v>-2.0268801009020201E-2</v>
      </c>
      <c r="H20">
        <f t="shared" si="0"/>
        <v>-7.1785977991389791E-3</v>
      </c>
    </row>
    <row r="21" spans="1:8">
      <c r="A21" s="43">
        <f t="shared" si="3"/>
        <v>44040</v>
      </c>
      <c r="B21" s="4">
        <v>-4.0209193258418496E-3</v>
      </c>
      <c r="C21" s="4">
        <v>4.11812462563712E-2</v>
      </c>
      <c r="E21">
        <f t="shared" si="1"/>
        <v>-7.0209193258418496E-3</v>
      </c>
      <c r="F21">
        <f t="shared" si="2"/>
        <v>3.8181246256371197E-2</v>
      </c>
      <c r="H21">
        <f t="shared" si="0"/>
        <v>-4.6265542784796367E-2</v>
      </c>
    </row>
    <row r="22" spans="1:8">
      <c r="A22" s="43">
        <f t="shared" si="3"/>
        <v>44071</v>
      </c>
      <c r="B22" s="4">
        <v>-0.12168195120830999</v>
      </c>
      <c r="C22" s="4">
        <v>3.6724892539691904E-2</v>
      </c>
      <c r="E22">
        <f t="shared" si="1"/>
        <v>-0.12468195120830999</v>
      </c>
      <c r="F22">
        <f t="shared" si="2"/>
        <v>3.3724892539691902E-2</v>
      </c>
      <c r="H22">
        <f t="shared" si="0"/>
        <v>-0.15903435076420236</v>
      </c>
    </row>
    <row r="23" spans="1:8">
      <c r="A23" s="43">
        <f t="shared" si="3"/>
        <v>44102</v>
      </c>
      <c r="B23" s="4">
        <v>-2.40514146945804E-2</v>
      </c>
      <c r="C23" s="4">
        <v>-5.6383629338677905E-3</v>
      </c>
      <c r="E23">
        <f t="shared" si="1"/>
        <v>-2.7051414694580399E-2</v>
      </c>
      <c r="F23">
        <f t="shared" si="2"/>
        <v>-8.6383629338677905E-3</v>
      </c>
      <c r="H23">
        <f t="shared" si="0"/>
        <v>-1.4897063616299056E-2</v>
      </c>
    </row>
    <row r="24" spans="1:8">
      <c r="A24" s="43">
        <f t="shared" si="3"/>
        <v>44132</v>
      </c>
      <c r="B24" s="4">
        <v>-3.5532505894619294E-2</v>
      </c>
      <c r="C24" s="4">
        <v>-0.11381330040516499</v>
      </c>
      <c r="E24">
        <f t="shared" si="1"/>
        <v>-3.8532505894619297E-2</v>
      </c>
      <c r="F24">
        <f t="shared" si="2"/>
        <v>-0.11681330040516499</v>
      </c>
      <c r="H24">
        <f t="shared" si="0"/>
        <v>9.237723321055441E-2</v>
      </c>
    </row>
    <row r="25" spans="1:8">
      <c r="A25" s="43">
        <f t="shared" si="3"/>
        <v>44163</v>
      </c>
      <c r="B25" s="4">
        <v>4.1395944931969006E-2</v>
      </c>
      <c r="C25" s="4">
        <v>7.9351350854721697E-2</v>
      </c>
      <c r="E25">
        <f t="shared" si="1"/>
        <v>3.8395944931969003E-2</v>
      </c>
      <c r="F25">
        <f t="shared" si="2"/>
        <v>7.6351350854721695E-2</v>
      </c>
      <c r="H25">
        <f t="shared" si="0"/>
        <v>-4.2752151628663318E-2</v>
      </c>
    </row>
    <row r="26" spans="1:8">
      <c r="A26" s="43">
        <f t="shared" si="3"/>
        <v>44193</v>
      </c>
      <c r="B26" s="4">
        <v>-0.17951663949211799</v>
      </c>
      <c r="C26" s="4">
        <v>-0.15604308819707799</v>
      </c>
      <c r="E26">
        <f t="shared" si="1"/>
        <v>-0.18251663949211799</v>
      </c>
      <c r="F26">
        <f t="shared" si="2"/>
        <v>-0.15904308819707799</v>
      </c>
      <c r="H26">
        <f t="shared" si="0"/>
        <v>-5.246671735528452E-3</v>
      </c>
    </row>
    <row r="27" spans="1:8">
      <c r="A27" s="43">
        <f t="shared" si="3"/>
        <v>44224</v>
      </c>
      <c r="B27" s="4">
        <v>0.139978193081642</v>
      </c>
      <c r="C27" s="4">
        <v>0.12725161326137099</v>
      </c>
      <c r="E27">
        <f t="shared" si="1"/>
        <v>0.136978193081642</v>
      </c>
      <c r="F27">
        <f t="shared" si="2"/>
        <v>0.12425161326137099</v>
      </c>
      <c r="H27">
        <f t="shared" si="0"/>
        <v>3.2447714756316803E-3</v>
      </c>
    </row>
    <row r="28" spans="1:8">
      <c r="A28" s="43">
        <f t="shared" si="3"/>
        <v>44255</v>
      </c>
      <c r="B28" s="4">
        <v>3.5278712118949201E-2</v>
      </c>
      <c r="C28" s="4">
        <v>3.2127668980815899E-2</v>
      </c>
      <c r="E28">
        <f t="shared" si="1"/>
        <v>3.2278712118949199E-2</v>
      </c>
      <c r="F28">
        <f t="shared" si="2"/>
        <v>2.91276689808159E-2</v>
      </c>
      <c r="H28">
        <f t="shared" si="0"/>
        <v>2.9731846051650121E-3</v>
      </c>
    </row>
    <row r="29" spans="1:8">
      <c r="A29" s="43">
        <f t="shared" si="3"/>
        <v>44283</v>
      </c>
      <c r="B29" s="4">
        <v>-9.8210280176986992E-2</v>
      </c>
      <c r="C29" s="4">
        <v>-1.7509789707263503E-2</v>
      </c>
      <c r="E29">
        <f t="shared" si="1"/>
        <v>-0.10121028017698699</v>
      </c>
      <c r="F29">
        <f t="shared" si="2"/>
        <v>-2.0509789707263502E-2</v>
      </c>
      <c r="H29">
        <f t="shared" si="0"/>
        <v>-7.602337344521598E-2</v>
      </c>
    </row>
    <row r="30" spans="1:8">
      <c r="A30" s="43">
        <f t="shared" si="3"/>
        <v>44314</v>
      </c>
      <c r="B30" s="4">
        <v>7.0455354082571003E-2</v>
      </c>
      <c r="C30" s="4">
        <v>4.9334655915087899E-2</v>
      </c>
      <c r="E30">
        <f t="shared" si="1"/>
        <v>6.7455354082571001E-2</v>
      </c>
      <c r="F30">
        <f t="shared" si="2"/>
        <v>4.6334655915087897E-2</v>
      </c>
      <c r="H30">
        <f t="shared" si="0"/>
        <v>1.9259846524237838E-2</v>
      </c>
    </row>
    <row r="31" spans="1:8">
      <c r="A31" s="43">
        <f t="shared" si="3"/>
        <v>44344</v>
      </c>
      <c r="B31" s="4">
        <v>-0.205267293915469</v>
      </c>
      <c r="C31" s="4">
        <v>-0.10628361826774199</v>
      </c>
      <c r="E31">
        <f t="shared" si="1"/>
        <v>-0.208267293915469</v>
      </c>
      <c r="F31">
        <f t="shared" si="2"/>
        <v>-0.10928361826774199</v>
      </c>
      <c r="H31">
        <f t="shared" si="0"/>
        <v>-8.5623705407203099E-2</v>
      </c>
    </row>
    <row r="32" spans="1:8">
      <c r="A32" s="43">
        <f t="shared" si="3"/>
        <v>44375</v>
      </c>
      <c r="B32" s="4">
        <v>0.148200561793421</v>
      </c>
      <c r="C32" s="4">
        <v>9.5683179806197699E-2</v>
      </c>
      <c r="E32">
        <f t="shared" si="1"/>
        <v>0.145200561793421</v>
      </c>
      <c r="F32">
        <f t="shared" si="2"/>
        <v>9.2683179806197696E-2</v>
      </c>
      <c r="H32">
        <f t="shared" si="0"/>
        <v>4.6123241240068669E-2</v>
      </c>
    </row>
    <row r="33" spans="1:8">
      <c r="A33" s="43">
        <f t="shared" si="3"/>
        <v>44405</v>
      </c>
      <c r="B33" s="4">
        <v>2.6259047724647298E-2</v>
      </c>
      <c r="C33" s="4">
        <v>3.3218774014539501E-2</v>
      </c>
      <c r="E33">
        <f t="shared" si="1"/>
        <v>2.3259047724647298E-2</v>
      </c>
      <c r="F33">
        <f t="shared" si="2"/>
        <v>3.0218774014539502E-2</v>
      </c>
      <c r="H33">
        <f t="shared" si="0"/>
        <v>-7.244304393309392E-3</v>
      </c>
    </row>
    <row r="34" spans="1:8">
      <c r="A34" s="43">
        <f t="shared" si="3"/>
        <v>44436</v>
      </c>
      <c r="B34" s="4">
        <v>-4.0010916760900496E-2</v>
      </c>
      <c r="C34" s="4">
        <v>-6.0580023358719592E-2</v>
      </c>
      <c r="E34">
        <f t="shared" si="1"/>
        <v>-4.3010916760900499E-2</v>
      </c>
      <c r="F34">
        <f t="shared" si="2"/>
        <v>-6.3580023358719595E-2</v>
      </c>
      <c r="H34">
        <f t="shared" si="0"/>
        <v>2.945886740303668E-2</v>
      </c>
    </row>
    <row r="35" spans="1:8">
      <c r="A35" s="43">
        <f t="shared" si="3"/>
        <v>44467</v>
      </c>
      <c r="B35" s="4">
        <v>0.15621641507971101</v>
      </c>
      <c r="C35" s="4">
        <v>3.8969584991114303E-2</v>
      </c>
      <c r="E35">
        <f t="shared" si="1"/>
        <v>0.15321641507971101</v>
      </c>
      <c r="F35">
        <f t="shared" si="2"/>
        <v>3.5969584991114301E-2</v>
      </c>
      <c r="H35">
        <f t="shared" ref="H35:H62" si="4">E35-($J$5+$K$5*F35)</f>
        <v>0.11639977261043186</v>
      </c>
    </row>
    <row r="36" spans="1:8">
      <c r="A36" s="43">
        <f t="shared" si="3"/>
        <v>44497</v>
      </c>
      <c r="B36" s="4">
        <v>-1.01846453490003E-2</v>
      </c>
      <c r="C36" s="4">
        <v>2.5120292168954898E-2</v>
      </c>
      <c r="E36">
        <f t="shared" si="1"/>
        <v>-1.3184645349000299E-2</v>
      </c>
      <c r="F36">
        <f t="shared" si="2"/>
        <v>2.2120292168954898E-2</v>
      </c>
      <c r="H36">
        <f t="shared" si="4"/>
        <v>-3.4797413598985465E-2</v>
      </c>
    </row>
    <row r="37" spans="1:8">
      <c r="A37" s="43">
        <f t="shared" si="3"/>
        <v>44528</v>
      </c>
      <c r="B37" s="4">
        <v>6.0822730391026605E-2</v>
      </c>
      <c r="C37" s="4">
        <v>3.7466271098565505E-2</v>
      </c>
      <c r="E37">
        <f t="shared" si="1"/>
        <v>5.7822730391026603E-2</v>
      </c>
      <c r="F37">
        <f t="shared" si="2"/>
        <v>3.4466271098565503E-2</v>
      </c>
      <c r="H37">
        <f t="shared" si="4"/>
        <v>2.2656438999447123E-2</v>
      </c>
    </row>
    <row r="38" spans="1:8">
      <c r="A38" s="43">
        <f t="shared" si="3"/>
        <v>44558</v>
      </c>
      <c r="B38" s="4">
        <v>3.5917244416862303E-2</v>
      </c>
      <c r="C38" s="4">
        <v>2.0970125023636989E-3</v>
      </c>
      <c r="E38">
        <f t="shared" si="1"/>
        <v>3.29172444168623E-2</v>
      </c>
      <c r="F38">
        <f t="shared" si="2"/>
        <v>-9.0298749763630115E-4</v>
      </c>
      <c r="H38">
        <f t="shared" si="4"/>
        <v>3.6579633004228354E-2</v>
      </c>
    </row>
    <row r="39" spans="1:8">
      <c r="A39" s="43">
        <f t="shared" si="3"/>
        <v>44589</v>
      </c>
      <c r="B39" s="4">
        <v>-8.9169167509448991E-2</v>
      </c>
      <c r="C39" s="4">
        <v>-1.76778248467599E-2</v>
      </c>
      <c r="E39">
        <f t="shared" si="1"/>
        <v>-9.2169167509448993E-2</v>
      </c>
      <c r="F39">
        <f t="shared" si="2"/>
        <v>-2.0677824846759899E-2</v>
      </c>
      <c r="H39">
        <f t="shared" si="4"/>
        <v>-6.6797790338780402E-2</v>
      </c>
    </row>
    <row r="40" spans="1:8">
      <c r="A40" s="43">
        <f t="shared" si="3"/>
        <v>44620</v>
      </c>
      <c r="B40" s="4">
        <v>-0.11915761434178899</v>
      </c>
      <c r="C40" s="4">
        <v>-0.119083004887131</v>
      </c>
      <c r="E40">
        <f t="shared" si="1"/>
        <v>-0.122157614341789</v>
      </c>
      <c r="F40">
        <f t="shared" si="2"/>
        <v>-0.122083004887131</v>
      </c>
      <c r="H40">
        <f t="shared" si="4"/>
        <v>1.4537252216857685E-2</v>
      </c>
    </row>
    <row r="41" spans="1:8">
      <c r="A41" s="43">
        <f t="shared" si="3"/>
        <v>44648</v>
      </c>
      <c r="B41" s="4">
        <v>-0.30750511603481301</v>
      </c>
      <c r="C41" s="4">
        <v>-0.20472408929437599</v>
      </c>
      <c r="E41">
        <f t="shared" si="1"/>
        <v>-0.31050511603481301</v>
      </c>
      <c r="F41">
        <f t="shared" si="2"/>
        <v>-0.207724089294376</v>
      </c>
      <c r="H41">
        <f t="shared" si="4"/>
        <v>-7.9792721501862784E-2</v>
      </c>
    </row>
    <row r="42" spans="1:8">
      <c r="A42" s="43">
        <f t="shared" si="3"/>
        <v>44679</v>
      </c>
      <c r="B42" s="4">
        <v>0.30749909757289101</v>
      </c>
      <c r="C42" s="4">
        <v>0.10458215762091601</v>
      </c>
      <c r="E42">
        <f t="shared" si="1"/>
        <v>0.30449909757289101</v>
      </c>
      <c r="F42">
        <f t="shared" si="2"/>
        <v>0.10158215762091601</v>
      </c>
      <c r="H42">
        <f t="shared" si="4"/>
        <v>0.19565240170827505</v>
      </c>
    </row>
    <row r="43" spans="1:8">
      <c r="A43" s="43">
        <f t="shared" si="3"/>
        <v>44709</v>
      </c>
      <c r="B43" s="4">
        <v>6.2313587502138106E-2</v>
      </c>
      <c r="C43" s="4">
        <v>8.95944395031298E-2</v>
      </c>
      <c r="E43">
        <f t="shared" si="1"/>
        <v>5.9313587502138103E-2</v>
      </c>
      <c r="F43">
        <f t="shared" si="2"/>
        <v>8.6594439503129797E-2</v>
      </c>
      <c r="H43">
        <f t="shared" si="4"/>
        <v>-3.3079460943567625E-2</v>
      </c>
    </row>
    <row r="44" spans="1:8">
      <c r="A44" s="43">
        <f t="shared" si="3"/>
        <v>44740</v>
      </c>
      <c r="B44" s="4">
        <v>1.7627240298858E-2</v>
      </c>
      <c r="C44" s="4">
        <v>1.7412456887686199E-2</v>
      </c>
      <c r="E44">
        <f t="shared" si="1"/>
        <v>1.4627240298858001E-2</v>
      </c>
      <c r="F44">
        <f t="shared" si="2"/>
        <v>1.4412456887686199E-2</v>
      </c>
      <c r="H44">
        <f t="shared" si="4"/>
        <v>1.4762007179308645E-3</v>
      </c>
    </row>
    <row r="45" spans="1:8">
      <c r="A45" s="43">
        <f t="shared" si="3"/>
        <v>44770</v>
      </c>
      <c r="B45" s="4">
        <v>1.1060620643366149E-2</v>
      </c>
      <c r="C45" s="4">
        <v>3.4025284296987798E-2</v>
      </c>
      <c r="E45">
        <f t="shared" si="1"/>
        <v>8.0606206433661495E-3</v>
      </c>
      <c r="F45">
        <f t="shared" si="2"/>
        <v>3.1025284296987799E-2</v>
      </c>
      <c r="H45">
        <f t="shared" si="4"/>
        <v>-2.3328125483394468E-2</v>
      </c>
    </row>
    <row r="46" spans="1:8">
      <c r="A46" s="43">
        <f t="shared" si="3"/>
        <v>44801</v>
      </c>
      <c r="B46" s="4">
        <v>0.20767488447538801</v>
      </c>
      <c r="C46" s="4">
        <v>0.113275207392195</v>
      </c>
      <c r="E46">
        <f t="shared" si="1"/>
        <v>0.20467488447538801</v>
      </c>
      <c r="F46">
        <f t="shared" si="2"/>
        <v>0.110275207392195</v>
      </c>
      <c r="H46">
        <f t="shared" si="4"/>
        <v>8.6284882898215065E-2</v>
      </c>
    </row>
    <row r="47" spans="1:8">
      <c r="A47" s="43">
        <f t="shared" si="3"/>
        <v>44832</v>
      </c>
      <c r="B47" s="4">
        <v>-6.6696210673137898E-2</v>
      </c>
      <c r="C47" s="4">
        <v>-3.49213608069492E-2</v>
      </c>
      <c r="E47">
        <f t="shared" si="1"/>
        <v>-6.9696210673137901E-2</v>
      </c>
      <c r="F47">
        <f t="shared" si="2"/>
        <v>-3.7921360806949203E-2</v>
      </c>
      <c r="H47">
        <f t="shared" si="4"/>
        <v>-2.5394729619106313E-2</v>
      </c>
    </row>
    <row r="48" spans="1:8">
      <c r="A48" s="43">
        <f t="shared" si="3"/>
        <v>44862</v>
      </c>
      <c r="B48" s="4">
        <v>4.30659762997758E-2</v>
      </c>
      <c r="C48" s="4">
        <v>1.022264608694963E-2</v>
      </c>
      <c r="E48">
        <f t="shared" si="1"/>
        <v>4.0065976299775798E-2</v>
      </c>
      <c r="F48">
        <f t="shared" si="2"/>
        <v>7.2226460869496299E-3</v>
      </c>
      <c r="H48">
        <f t="shared" si="4"/>
        <v>3.4807973603736761E-2</v>
      </c>
    </row>
    <row r="49" spans="1:8">
      <c r="A49" s="43">
        <f t="shared" si="3"/>
        <v>44893</v>
      </c>
      <c r="B49" s="4">
        <v>0.17780208468268902</v>
      </c>
      <c r="C49" s="4">
        <v>0.19183377549150502</v>
      </c>
      <c r="E49">
        <f t="shared" si="1"/>
        <v>0.17480208468268901</v>
      </c>
      <c r="F49">
        <f t="shared" si="2"/>
        <v>0.18883377549150501</v>
      </c>
      <c r="H49">
        <f t="shared" si="4"/>
        <v>-2.9830196812103527E-2</v>
      </c>
    </row>
    <row r="50" spans="1:8">
      <c r="A50" s="43">
        <f t="shared" si="3"/>
        <v>44923</v>
      </c>
      <c r="B50" s="4">
        <v>3.7250300036556501E-2</v>
      </c>
      <c r="C50" s="4">
        <v>3.0847262593279499E-2</v>
      </c>
      <c r="E50">
        <f t="shared" si="1"/>
        <v>3.4250300036556498E-2</v>
      </c>
      <c r="F50">
        <f t="shared" si="2"/>
        <v>2.78472625932795E-2</v>
      </c>
      <c r="H50">
        <f t="shared" si="4"/>
        <v>6.3504138010429152E-3</v>
      </c>
    </row>
    <row r="51" spans="1:8">
      <c r="A51" s="43">
        <f t="shared" si="3"/>
        <v>44954</v>
      </c>
      <c r="B51" s="4">
        <v>-3.3807792603636096E-2</v>
      </c>
      <c r="C51" s="4">
        <v>-1.8297554450621402E-2</v>
      </c>
      <c r="E51">
        <f t="shared" si="1"/>
        <v>-3.6807792603636098E-2</v>
      </c>
      <c r="F51">
        <f t="shared" si="2"/>
        <v>-2.1297554450621401E-2</v>
      </c>
      <c r="H51">
        <f t="shared" si="4"/>
        <v>-1.0756070879055907E-2</v>
      </c>
    </row>
    <row r="52" spans="1:8">
      <c r="A52" s="43">
        <f t="shared" si="3"/>
        <v>44985</v>
      </c>
      <c r="B52" s="4">
        <v>1.7541854403936501E-2</v>
      </c>
      <c r="C52" s="4">
        <v>0.16692286144094601</v>
      </c>
      <c r="E52">
        <f t="shared" si="1"/>
        <v>1.4541854403936502E-2</v>
      </c>
      <c r="F52">
        <f t="shared" si="2"/>
        <v>0.163922861440946</v>
      </c>
      <c r="H52">
        <f t="shared" si="4"/>
        <v>-0.16274300879478676</v>
      </c>
    </row>
    <row r="53" spans="1:8">
      <c r="A53" s="43">
        <f t="shared" si="3"/>
        <v>45013</v>
      </c>
      <c r="B53" s="4">
        <v>3.41110423352858E-2</v>
      </c>
      <c r="C53" s="4">
        <v>8.7808081720470096E-2</v>
      </c>
      <c r="E53">
        <f t="shared" si="1"/>
        <v>3.1111042335285801E-2</v>
      </c>
      <c r="F53">
        <f t="shared" si="2"/>
        <v>8.4808081720470094E-2</v>
      </c>
      <c r="H53">
        <f t="shared" si="4"/>
        <v>-5.9320926986238309E-2</v>
      </c>
    </row>
    <row r="54" spans="1:8">
      <c r="A54" s="43">
        <f t="shared" si="3"/>
        <v>45044</v>
      </c>
      <c r="B54" s="4">
        <v>8.7698268543993096E-2</v>
      </c>
      <c r="C54" s="4">
        <v>1.8998161872748599E-2</v>
      </c>
      <c r="E54">
        <f t="shared" si="1"/>
        <v>8.4698268543993094E-2</v>
      </c>
      <c r="F54">
        <f t="shared" si="2"/>
        <v>1.5998161872748599E-2</v>
      </c>
      <c r="H54">
        <f t="shared" si="4"/>
        <v>6.9806428226784234E-2</v>
      </c>
    </row>
    <row r="55" spans="1:8">
      <c r="A55" s="43">
        <f t="shared" si="3"/>
        <v>45074</v>
      </c>
      <c r="B55" s="4">
        <v>6.2716272016876198E-2</v>
      </c>
      <c r="C55" s="4">
        <v>2.5494705495016499E-2</v>
      </c>
      <c r="E55">
        <f t="shared" si="1"/>
        <v>5.9716272016876196E-2</v>
      </c>
      <c r="F55">
        <f t="shared" si="2"/>
        <v>2.24947054950165E-2</v>
      </c>
      <c r="H55">
        <f t="shared" si="4"/>
        <v>3.7692469558244665E-2</v>
      </c>
    </row>
    <row r="56" spans="1:8">
      <c r="A56" s="43">
        <f t="shared" si="3"/>
        <v>45105</v>
      </c>
      <c r="B56" s="4">
        <v>-7.4996714670177003E-2</v>
      </c>
      <c r="C56" s="4">
        <v>-6.1983278600026198E-2</v>
      </c>
      <c r="E56">
        <f t="shared" si="1"/>
        <v>-7.7996714670177006E-2</v>
      </c>
      <c r="F56">
        <f t="shared" si="2"/>
        <v>-6.4983278600026201E-2</v>
      </c>
      <c r="H56">
        <f t="shared" si="4"/>
        <v>-3.9864246868918513E-3</v>
      </c>
    </row>
    <row r="57" spans="1:8">
      <c r="A57" s="43">
        <f t="shared" si="3"/>
        <v>45135</v>
      </c>
      <c r="B57" s="4">
        <v>3.4914764853626302E-2</v>
      </c>
      <c r="C57" s="4">
        <v>-2.04255249240731E-2</v>
      </c>
      <c r="E57">
        <f t="shared" si="1"/>
        <v>3.19147648536263E-2</v>
      </c>
      <c r="F57">
        <f t="shared" si="2"/>
        <v>-2.3425524924073099E-2</v>
      </c>
      <c r="H57">
        <f t="shared" si="4"/>
        <v>6.0302591088103513E-2</v>
      </c>
    </row>
    <row r="58" spans="1:8">
      <c r="A58" s="43">
        <f t="shared" si="3"/>
        <v>45166</v>
      </c>
      <c r="B58" s="4">
        <v>-0.120810441573471</v>
      </c>
      <c r="C58" s="4">
        <v>3.8559426867563001E-2</v>
      </c>
      <c r="E58">
        <f t="shared" si="1"/>
        <v>-0.123810441573471</v>
      </c>
      <c r="F58">
        <f t="shared" si="2"/>
        <v>3.5559426867562999E-2</v>
      </c>
      <c r="H58">
        <f t="shared" si="4"/>
        <v>-0.16017680888425848</v>
      </c>
    </row>
    <row r="59" spans="1:8">
      <c r="A59" s="43">
        <f t="shared" si="3"/>
        <v>45197</v>
      </c>
      <c r="B59" s="4">
        <v>-2.0262231664763101E-2</v>
      </c>
      <c r="C59" s="4">
        <v>1.142773211254949E-2</v>
      </c>
      <c r="E59">
        <f t="shared" si="1"/>
        <v>-2.32622316647631E-2</v>
      </c>
      <c r="F59">
        <f t="shared" si="2"/>
        <v>8.4277321125494908E-3</v>
      </c>
      <c r="H59">
        <f t="shared" si="4"/>
        <v>-2.9843188290069433E-2</v>
      </c>
    </row>
    <row r="60" spans="1:8">
      <c r="A60" s="43">
        <f t="shared" si="3"/>
        <v>45227</v>
      </c>
      <c r="B60" s="4">
        <v>0.13284128292273001</v>
      </c>
      <c r="C60" s="4">
        <v>5.2237200231539903E-2</v>
      </c>
      <c r="E60">
        <f t="shared" si="1"/>
        <v>0.12984128292273001</v>
      </c>
      <c r="F60">
        <f t="shared" si="2"/>
        <v>4.92372002315399E-2</v>
      </c>
      <c r="H60">
        <f t="shared" si="4"/>
        <v>7.8459336946930983E-2</v>
      </c>
    </row>
    <row r="61" spans="1:8">
      <c r="A61" s="43">
        <f t="shared" si="3"/>
        <v>45258</v>
      </c>
      <c r="B61" s="4">
        <v>4.6901995383704896E-3</v>
      </c>
      <c r="C61" s="4">
        <v>-1.8469465894238399E-3</v>
      </c>
      <c r="E61">
        <f t="shared" si="1"/>
        <v>1.6901995383704896E-3</v>
      </c>
      <c r="F61">
        <f t="shared" si="2"/>
        <v>-4.84694658942384E-3</v>
      </c>
      <c r="H61">
        <f t="shared" si="4"/>
        <v>9.6823007491590833E-3</v>
      </c>
    </row>
    <row r="62" spans="1:8">
      <c r="A62" s="43">
        <f t="shared" si="3"/>
        <v>45288</v>
      </c>
      <c r="B62" s="4">
        <v>7.2509253975176505E-2</v>
      </c>
      <c r="C62" s="4">
        <v>4.45079023149485E-2</v>
      </c>
      <c r="E62">
        <f t="shared" si="1"/>
        <v>6.9509253975176502E-2</v>
      </c>
      <c r="F62">
        <f t="shared" si="2"/>
        <v>4.1507902314948497E-2</v>
      </c>
      <c r="H62">
        <f t="shared" si="4"/>
        <v>2.6612598536326609E-2</v>
      </c>
    </row>
    <row r="63" spans="1:8">
      <c r="F63" s="6"/>
      <c r="G63" s="6"/>
      <c r="H63" s="6"/>
    </row>
    <row r="64" spans="1:8">
      <c r="E64" s="8"/>
      <c r="F64" s="9"/>
      <c r="G64" s="9"/>
      <c r="H64" s="9"/>
    </row>
    <row r="65" spans="5:8">
      <c r="E65" s="10"/>
      <c r="F65" s="11"/>
      <c r="G65" s="11"/>
      <c r="H65" s="11"/>
    </row>
    <row r="66" spans="5:8">
      <c r="E66" s="12"/>
      <c r="F66" s="11"/>
      <c r="G66" s="11"/>
      <c r="H66" s="11"/>
    </row>
    <row r="67" spans="5:8">
      <c r="E67" s="12"/>
      <c r="F67" s="12"/>
      <c r="G67" s="12"/>
      <c r="H67" s="12"/>
    </row>
    <row r="68" spans="5:8">
      <c r="E68" s="12"/>
      <c r="F68" s="11"/>
      <c r="G68" s="11"/>
      <c r="H68" s="11"/>
    </row>
    <row r="69" spans="5:8">
      <c r="E69" s="12"/>
      <c r="F69" s="11"/>
      <c r="G69" s="11"/>
      <c r="H69" s="11"/>
    </row>
    <row r="70" spans="5:8">
      <c r="E70" s="12"/>
      <c r="F70" s="13"/>
      <c r="G70" s="13"/>
      <c r="H70" s="13"/>
    </row>
    <row r="71" spans="5:8">
      <c r="F71" s="6"/>
      <c r="G71" s="6"/>
      <c r="H71" s="6"/>
    </row>
    <row r="72" spans="5:8">
      <c r="F72" s="6"/>
      <c r="G72" s="6"/>
      <c r="H72" s="6"/>
    </row>
    <row r="73" spans="5:8">
      <c r="F73" s="6"/>
      <c r="G73" s="6"/>
      <c r="H73" s="6"/>
    </row>
    <row r="74" spans="5:8">
      <c r="F74" s="6"/>
      <c r="G74" s="6"/>
      <c r="H74" s="6"/>
    </row>
    <row r="75" spans="5:8">
      <c r="F75" s="6"/>
      <c r="G75" s="6"/>
      <c r="H75" s="6"/>
    </row>
    <row r="76" spans="5:8">
      <c r="F76" s="6"/>
      <c r="G76" s="6"/>
      <c r="H76" s="6"/>
    </row>
    <row r="77" spans="5:8">
      <c r="F77" s="6"/>
      <c r="G77" s="6"/>
      <c r="H77" s="6"/>
    </row>
    <row r="78" spans="5:8">
      <c r="F78" s="6"/>
      <c r="G78" s="6"/>
      <c r="H78" s="6"/>
    </row>
    <row r="79" spans="5:8">
      <c r="F79" s="6"/>
      <c r="G79" s="6"/>
      <c r="H79" s="6"/>
    </row>
    <row r="80" spans="5:8">
      <c r="F80" s="6"/>
      <c r="G80" s="6"/>
      <c r="H80" s="6"/>
    </row>
    <row r="81" spans="6:8">
      <c r="F81" s="6"/>
      <c r="G81" s="6"/>
      <c r="H81" s="6"/>
    </row>
    <row r="82" spans="6:8">
      <c r="F82" s="6"/>
      <c r="G82" s="6"/>
      <c r="H82" s="6"/>
    </row>
    <row r="83" spans="6:8">
      <c r="F83" s="6"/>
      <c r="G83" s="6"/>
      <c r="H83" s="6"/>
    </row>
    <row r="84" spans="6:8">
      <c r="F84" s="6"/>
      <c r="G84" s="6"/>
      <c r="H84" s="6"/>
    </row>
    <row r="85" spans="6:8">
      <c r="F85" s="6"/>
      <c r="G85" s="6"/>
      <c r="H85" s="6"/>
    </row>
    <row r="86" spans="6:8">
      <c r="F86" s="6"/>
      <c r="G86" s="6"/>
      <c r="H86" s="6"/>
    </row>
    <row r="87" spans="6:8">
      <c r="F87" s="6"/>
      <c r="G87" s="6"/>
      <c r="H87" s="6"/>
    </row>
    <row r="88" spans="6:8">
      <c r="F88" s="6"/>
      <c r="G88" s="6"/>
      <c r="H88" s="6"/>
    </row>
    <row r="89" spans="6:8">
      <c r="F89" s="6"/>
      <c r="G89" s="6"/>
      <c r="H89" s="6"/>
    </row>
    <row r="90" spans="6:8">
      <c r="F90" s="6"/>
      <c r="G90" s="6"/>
      <c r="H90" s="6"/>
    </row>
    <row r="91" spans="6:8">
      <c r="F91" s="6"/>
      <c r="G91" s="6"/>
      <c r="H91" s="6"/>
    </row>
    <row r="92" spans="6:8">
      <c r="F92" s="6"/>
      <c r="G92" s="6"/>
      <c r="H92" s="6"/>
    </row>
    <row r="93" spans="6:8">
      <c r="F93" s="6"/>
      <c r="G93" s="6"/>
      <c r="H93" s="6"/>
    </row>
    <row r="94" spans="6:8">
      <c r="F94" s="6"/>
      <c r="G94" s="6"/>
      <c r="H94" s="6"/>
    </row>
    <row r="95" spans="6:8">
      <c r="F95" s="6"/>
      <c r="G95" s="6"/>
      <c r="H95" s="6"/>
    </row>
    <row r="96" spans="6:8">
      <c r="F96" s="6"/>
      <c r="G96" s="6"/>
      <c r="H96" s="6"/>
    </row>
    <row r="97" spans="6:8">
      <c r="F97" s="6"/>
      <c r="G97" s="6"/>
      <c r="H97" s="6"/>
    </row>
    <row r="98" spans="6:8">
      <c r="F98" s="6"/>
      <c r="G98" s="6"/>
      <c r="H98" s="6"/>
    </row>
    <row r="99" spans="6:8">
      <c r="F99" s="6"/>
      <c r="G99" s="6"/>
      <c r="H99" s="6"/>
    </row>
    <row r="100" spans="6:8">
      <c r="F100" s="6"/>
      <c r="G100" s="6"/>
      <c r="H100" s="6"/>
    </row>
    <row r="101" spans="6:8">
      <c r="F101" s="6"/>
      <c r="G101" s="6"/>
      <c r="H101" s="6"/>
    </row>
    <row r="102" spans="6:8">
      <c r="F102" s="6"/>
      <c r="G102" s="6"/>
      <c r="H102" s="6"/>
    </row>
    <row r="103" spans="6:8">
      <c r="F103" s="6"/>
      <c r="G103" s="6"/>
      <c r="H103" s="6"/>
    </row>
    <row r="104" spans="6:8">
      <c r="F104" s="6"/>
      <c r="G104" s="6"/>
      <c r="H104" s="6"/>
    </row>
    <row r="105" spans="6:8">
      <c r="F105" s="6"/>
      <c r="G105" s="6"/>
      <c r="H105" s="6"/>
    </row>
    <row r="106" spans="6:8">
      <c r="F106" s="6"/>
      <c r="G106" s="6"/>
      <c r="H106" s="6"/>
    </row>
    <row r="107" spans="6:8">
      <c r="F107" s="6"/>
      <c r="G107" s="6"/>
      <c r="H107" s="6"/>
    </row>
    <row r="108" spans="6:8">
      <c r="F108" s="6"/>
      <c r="G108" s="6"/>
      <c r="H108" s="6"/>
    </row>
    <row r="109" spans="6:8">
      <c r="F109" s="6"/>
      <c r="G109" s="6"/>
      <c r="H109" s="6"/>
    </row>
    <row r="110" spans="6:8">
      <c r="F110" s="6"/>
      <c r="G110" s="6"/>
      <c r="H110" s="6"/>
    </row>
    <row r="111" spans="6:8">
      <c r="F111" s="6"/>
      <c r="G111" s="6"/>
      <c r="H111" s="6"/>
    </row>
    <row r="112" spans="6:8">
      <c r="F112" s="6"/>
      <c r="G112" s="6"/>
      <c r="H112" s="6"/>
    </row>
    <row r="113" spans="6:8">
      <c r="F113" s="6"/>
      <c r="G113" s="6"/>
      <c r="H113" s="6"/>
    </row>
    <row r="114" spans="6:8">
      <c r="F114" s="6"/>
      <c r="G114" s="6"/>
      <c r="H114" s="6"/>
    </row>
    <row r="115" spans="6:8">
      <c r="F115" s="6"/>
      <c r="G115" s="6"/>
      <c r="H115" s="6"/>
    </row>
    <row r="116" spans="6:8">
      <c r="F116" s="6"/>
      <c r="G116" s="6"/>
      <c r="H116" s="6"/>
    </row>
    <row r="117" spans="6:8">
      <c r="F117" s="6"/>
      <c r="G117" s="6"/>
      <c r="H117" s="6"/>
    </row>
    <row r="118" spans="6:8">
      <c r="F118" s="6"/>
      <c r="G118" s="6"/>
      <c r="H118" s="6"/>
    </row>
    <row r="119" spans="6:8">
      <c r="F119" s="6"/>
      <c r="G119" s="6"/>
      <c r="H119" s="6"/>
    </row>
    <row r="120" spans="6:8">
      <c r="F120" s="6"/>
      <c r="G120" s="6"/>
      <c r="H120" s="6"/>
    </row>
    <row r="121" spans="6:8">
      <c r="F121" s="6"/>
      <c r="G121" s="6"/>
      <c r="H121" s="6"/>
    </row>
    <row r="122" spans="6:8">
      <c r="F122" s="6"/>
      <c r="G122" s="6"/>
      <c r="H122" s="6"/>
    </row>
  </sheetData>
  <mergeCells count="2">
    <mergeCell ref="B1:C1"/>
    <mergeCell ref="E1:F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3F187-6321-47F4-8B74-B7AE85E4BF39}">
  <dimension ref="A1:E55"/>
  <sheetViews>
    <sheetView workbookViewId="0">
      <selection activeCell="B8" sqref="B8"/>
    </sheetView>
  </sheetViews>
  <sheetFormatPr defaultRowHeight="14.5"/>
  <cols>
    <col min="2" max="2" width="45.453125" customWidth="1"/>
    <col min="5" max="5" width="34.453125" customWidth="1"/>
  </cols>
  <sheetData>
    <row r="1" spans="1:5">
      <c r="B1" s="1" t="s">
        <v>660</v>
      </c>
      <c r="C1" s="210"/>
      <c r="D1" s="210"/>
      <c r="E1" s="158"/>
    </row>
    <row r="2" spans="1:5">
      <c r="B2" s="1"/>
      <c r="E2" s="216" t="s">
        <v>666</v>
      </c>
    </row>
    <row r="3" spans="1:5">
      <c r="C3" s="3" t="s">
        <v>671</v>
      </c>
      <c r="D3" s="3" t="s">
        <v>672</v>
      </c>
      <c r="E3" s="216" t="s">
        <v>661</v>
      </c>
    </row>
    <row r="4" spans="1:5">
      <c r="A4" s="208" t="s">
        <v>593</v>
      </c>
      <c r="B4" s="208" t="s">
        <v>645</v>
      </c>
      <c r="C4" s="211" t="s">
        <v>591</v>
      </c>
      <c r="D4" s="208" t="s">
        <v>670</v>
      </c>
      <c r="E4" s="213" t="s">
        <v>592</v>
      </c>
    </row>
    <row r="5" spans="1:5">
      <c r="A5" s="209" t="s">
        <v>594</v>
      </c>
      <c r="B5" s="209" t="s">
        <v>646</v>
      </c>
      <c r="C5" s="212">
        <v>30</v>
      </c>
      <c r="D5">
        <v>106.4</v>
      </c>
      <c r="E5" s="214">
        <v>36.6</v>
      </c>
    </row>
    <row r="6" spans="1:5">
      <c r="A6" s="209" t="s">
        <v>595</v>
      </c>
      <c r="B6" s="209" t="s">
        <v>646</v>
      </c>
      <c r="C6" s="210">
        <v>27.7</v>
      </c>
      <c r="D6">
        <v>108</v>
      </c>
      <c r="E6" s="214">
        <v>48.8</v>
      </c>
    </row>
    <row r="7" spans="1:5">
      <c r="A7" s="209" t="s">
        <v>596</v>
      </c>
      <c r="B7" s="209" t="s">
        <v>646</v>
      </c>
      <c r="C7" s="210">
        <v>26.2</v>
      </c>
      <c r="D7">
        <v>104.7</v>
      </c>
      <c r="E7" s="214">
        <v>64.600000000000009</v>
      </c>
    </row>
    <row r="8" spans="1:5">
      <c r="A8" s="209" t="s">
        <v>597</v>
      </c>
      <c r="B8" s="209" t="s">
        <v>646</v>
      </c>
      <c r="C8" s="210">
        <v>25.8</v>
      </c>
      <c r="D8">
        <v>106.1</v>
      </c>
      <c r="E8" s="214">
        <v>54.900000000000006</v>
      </c>
    </row>
    <row r="9" spans="1:5">
      <c r="A9" s="209" t="s">
        <v>598</v>
      </c>
      <c r="B9" s="209" t="s">
        <v>646</v>
      </c>
      <c r="C9" s="210">
        <v>23.8</v>
      </c>
      <c r="D9">
        <v>105.9</v>
      </c>
      <c r="E9" s="214">
        <v>57.3</v>
      </c>
    </row>
    <row r="10" spans="1:5">
      <c r="A10" s="209" t="s">
        <v>599</v>
      </c>
      <c r="B10" s="209" t="s">
        <v>646</v>
      </c>
      <c r="C10" s="210">
        <v>24.8</v>
      </c>
      <c r="D10">
        <v>104.1</v>
      </c>
      <c r="E10" s="214">
        <v>73.2</v>
      </c>
    </row>
    <row r="11" spans="1:5">
      <c r="A11" s="209" t="s">
        <v>600</v>
      </c>
      <c r="B11" s="209" t="s">
        <v>646</v>
      </c>
      <c r="C11" s="210">
        <v>26.2</v>
      </c>
      <c r="D11">
        <v>102.7</v>
      </c>
      <c r="E11" s="214">
        <v>65.900000000000006</v>
      </c>
    </row>
    <row r="12" spans="1:5">
      <c r="A12" s="209" t="s">
        <v>601</v>
      </c>
      <c r="B12" s="209" t="s">
        <v>646</v>
      </c>
      <c r="C12" s="210">
        <v>23.9</v>
      </c>
      <c r="D12">
        <v>103.1</v>
      </c>
      <c r="E12" s="214">
        <v>69.5</v>
      </c>
    </row>
    <row r="13" spans="1:5">
      <c r="A13" s="209" t="s">
        <v>602</v>
      </c>
      <c r="B13" s="209" t="s">
        <v>646</v>
      </c>
      <c r="C13" s="210">
        <v>21.8</v>
      </c>
      <c r="D13">
        <v>103.8</v>
      </c>
      <c r="E13" s="214">
        <v>70.7</v>
      </c>
    </row>
    <row r="14" spans="1:5">
      <c r="A14" s="209" t="s">
        <v>603</v>
      </c>
      <c r="B14" s="209" t="s">
        <v>646</v>
      </c>
      <c r="C14" s="210">
        <v>21.5</v>
      </c>
      <c r="D14">
        <v>103.7</v>
      </c>
      <c r="E14" s="214">
        <v>65.900000000000006</v>
      </c>
    </row>
    <row r="15" spans="1:5">
      <c r="A15" s="209" t="s">
        <v>604</v>
      </c>
      <c r="B15" s="209" t="s">
        <v>646</v>
      </c>
      <c r="C15" s="212">
        <v>22</v>
      </c>
      <c r="D15">
        <v>103.2</v>
      </c>
      <c r="E15" s="214">
        <v>75.599999999999994</v>
      </c>
    </row>
    <row r="16" spans="1:5">
      <c r="A16" s="209" t="s">
        <v>605</v>
      </c>
      <c r="B16" s="209" t="s">
        <v>646</v>
      </c>
      <c r="C16" s="210">
        <v>23.4</v>
      </c>
      <c r="D16">
        <v>102.7</v>
      </c>
      <c r="E16" s="214">
        <v>75.599999999999994</v>
      </c>
    </row>
    <row r="17" spans="1:5">
      <c r="A17" s="209" t="s">
        <v>606</v>
      </c>
      <c r="B17" s="209" t="s">
        <v>647</v>
      </c>
      <c r="C17" s="210">
        <v>23.9</v>
      </c>
      <c r="D17">
        <v>101.6</v>
      </c>
      <c r="E17" s="214">
        <v>79.3</v>
      </c>
    </row>
    <row r="18" spans="1:5">
      <c r="A18" s="209" t="s">
        <v>607</v>
      </c>
      <c r="B18" s="209" t="s">
        <v>647</v>
      </c>
      <c r="C18" s="210">
        <v>19.600000000000001</v>
      </c>
      <c r="D18">
        <v>99.1</v>
      </c>
      <c r="E18" s="214">
        <v>75.599999999999994</v>
      </c>
    </row>
    <row r="19" spans="1:5">
      <c r="A19" s="209" t="s">
        <v>608</v>
      </c>
      <c r="B19" s="209" t="s">
        <v>647</v>
      </c>
      <c r="C19" s="210">
        <v>22.5</v>
      </c>
      <c r="D19">
        <v>100.1</v>
      </c>
      <c r="E19" s="214">
        <v>69.5</v>
      </c>
    </row>
    <row r="20" spans="1:5">
      <c r="A20" s="209" t="s">
        <v>609</v>
      </c>
      <c r="B20" s="209" t="s">
        <v>647</v>
      </c>
      <c r="C20" s="210">
        <v>22.3</v>
      </c>
      <c r="D20">
        <v>96.3</v>
      </c>
      <c r="E20" s="214">
        <v>76.8</v>
      </c>
    </row>
    <row r="21" spans="1:5">
      <c r="A21" s="209" t="s">
        <v>610</v>
      </c>
      <c r="B21" s="209" t="s">
        <v>647</v>
      </c>
      <c r="C21" s="210">
        <v>19.399999999999999</v>
      </c>
      <c r="D21">
        <v>94.1</v>
      </c>
      <c r="E21" s="214">
        <v>70.7</v>
      </c>
    </row>
    <row r="22" spans="1:5">
      <c r="A22" s="209" t="s">
        <v>611</v>
      </c>
      <c r="B22" s="209" t="s">
        <v>648</v>
      </c>
      <c r="C22" s="210">
        <v>19.899999999999999</v>
      </c>
      <c r="D22">
        <v>92.5</v>
      </c>
      <c r="E22" s="214">
        <v>52.400000000000006</v>
      </c>
    </row>
    <row r="23" spans="1:5">
      <c r="A23" s="209" t="s">
        <v>612</v>
      </c>
      <c r="B23" s="209" t="s">
        <v>649</v>
      </c>
      <c r="C23" s="210">
        <v>15.1</v>
      </c>
      <c r="D23">
        <v>96.2</v>
      </c>
      <c r="E23" s="214">
        <v>47.599999999999994</v>
      </c>
    </row>
    <row r="24" spans="1:5">
      <c r="A24" s="209" t="s">
        <v>613</v>
      </c>
      <c r="B24" s="209" t="s">
        <v>650</v>
      </c>
      <c r="C24" s="210">
        <v>14.2</v>
      </c>
      <c r="D24">
        <v>95.5</v>
      </c>
      <c r="E24" s="214">
        <v>40.200000000000003</v>
      </c>
    </row>
    <row r="25" spans="1:5">
      <c r="A25" s="209" t="s">
        <v>614</v>
      </c>
      <c r="B25" s="209" t="s">
        <v>651</v>
      </c>
      <c r="C25" s="210">
        <v>21.7</v>
      </c>
      <c r="D25">
        <v>95.2</v>
      </c>
      <c r="E25" s="214">
        <v>58.5</v>
      </c>
    </row>
    <row r="26" spans="1:5">
      <c r="A26" s="209" t="s">
        <v>615</v>
      </c>
      <c r="B26" s="209" t="s">
        <v>651</v>
      </c>
      <c r="C26" s="210">
        <v>21.2</v>
      </c>
      <c r="D26">
        <v>92.4</v>
      </c>
      <c r="E26" s="214">
        <v>64.600000000000009</v>
      </c>
    </row>
    <row r="27" spans="1:5">
      <c r="A27" s="209" t="s">
        <v>616</v>
      </c>
      <c r="B27" s="209" t="s">
        <v>652</v>
      </c>
      <c r="C27" s="210">
        <v>26.2</v>
      </c>
      <c r="D27">
        <v>91.1</v>
      </c>
      <c r="E27" s="214">
        <v>68.300000000000011</v>
      </c>
    </row>
    <row r="28" spans="1:5">
      <c r="A28" s="209" t="s">
        <v>617</v>
      </c>
      <c r="B28" s="209" t="s">
        <v>652</v>
      </c>
      <c r="C28" s="210">
        <v>28.3</v>
      </c>
      <c r="D28">
        <v>93.6</v>
      </c>
      <c r="E28" s="214">
        <v>74.400000000000006</v>
      </c>
    </row>
    <row r="29" spans="1:5">
      <c r="A29" s="209" t="s">
        <v>618</v>
      </c>
      <c r="B29" s="209" t="s">
        <v>652</v>
      </c>
      <c r="C29" s="210">
        <v>26.3</v>
      </c>
      <c r="D29">
        <v>91.6</v>
      </c>
      <c r="E29" s="214">
        <v>62</v>
      </c>
    </row>
    <row r="30" spans="1:5">
      <c r="A30" s="209" t="s">
        <v>619</v>
      </c>
      <c r="B30" s="209" t="s">
        <v>652</v>
      </c>
      <c r="C30" s="210">
        <v>29.7</v>
      </c>
      <c r="D30">
        <v>93.3</v>
      </c>
      <c r="E30" s="214">
        <v>81.699999999999989</v>
      </c>
    </row>
    <row r="31" spans="1:5">
      <c r="A31" s="209" t="s">
        <v>620</v>
      </c>
      <c r="B31" s="209" t="s">
        <v>652</v>
      </c>
      <c r="C31" s="210">
        <v>28.7</v>
      </c>
      <c r="D31">
        <v>91.7</v>
      </c>
      <c r="E31" s="214">
        <v>68.300000000000011</v>
      </c>
    </row>
    <row r="32" spans="1:5">
      <c r="A32" s="209" t="s">
        <v>621</v>
      </c>
      <c r="B32" s="209" t="s">
        <v>652</v>
      </c>
      <c r="C32" s="210">
        <v>27.2</v>
      </c>
      <c r="D32">
        <v>92.1</v>
      </c>
      <c r="E32" s="214">
        <v>70.7</v>
      </c>
    </row>
    <row r="33" spans="1:5">
      <c r="A33" s="209" t="s">
        <v>622</v>
      </c>
      <c r="B33" s="209" t="s">
        <v>653</v>
      </c>
      <c r="C33" s="212">
        <v>30</v>
      </c>
      <c r="D33">
        <v>92.5</v>
      </c>
      <c r="E33" s="214">
        <v>61</v>
      </c>
    </row>
    <row r="34" spans="1:5">
      <c r="A34" s="209" t="s">
        <v>623</v>
      </c>
      <c r="B34" s="209" t="s">
        <v>653</v>
      </c>
      <c r="C34" s="212">
        <v>24</v>
      </c>
      <c r="D34">
        <v>92.3</v>
      </c>
      <c r="E34" s="214">
        <v>68.300000000000011</v>
      </c>
    </row>
    <row r="35" spans="1:5">
      <c r="A35" s="209" t="s">
        <v>624</v>
      </c>
      <c r="B35" s="209" t="s">
        <v>653</v>
      </c>
      <c r="C35" s="210">
        <v>27.6</v>
      </c>
      <c r="D35">
        <v>90.8</v>
      </c>
      <c r="E35" s="214">
        <v>41.5</v>
      </c>
    </row>
    <row r="36" spans="1:5">
      <c r="A36" s="209" t="s">
        <v>625</v>
      </c>
      <c r="B36" s="209" t="s">
        <v>653</v>
      </c>
      <c r="C36" s="210">
        <v>35.4</v>
      </c>
      <c r="D36">
        <v>90.9</v>
      </c>
      <c r="E36" s="214">
        <v>54.900000000000006</v>
      </c>
    </row>
    <row r="37" spans="1:5">
      <c r="A37" s="209" t="s">
        <v>626</v>
      </c>
      <c r="B37" s="209" t="s">
        <v>653</v>
      </c>
      <c r="C37" s="210">
        <v>31.6</v>
      </c>
      <c r="D37">
        <v>93.5</v>
      </c>
      <c r="E37" s="214">
        <v>51.2</v>
      </c>
    </row>
    <row r="38" spans="1:5">
      <c r="A38" s="209" t="s">
        <v>627</v>
      </c>
      <c r="B38" s="209" t="s">
        <v>653</v>
      </c>
      <c r="C38" s="210">
        <v>28.3</v>
      </c>
      <c r="D38">
        <v>95.6</v>
      </c>
      <c r="E38" s="214">
        <v>69.5</v>
      </c>
    </row>
    <row r="39" spans="1:5">
      <c r="A39" s="209" t="s">
        <v>628</v>
      </c>
      <c r="B39" s="209" t="s">
        <v>653</v>
      </c>
      <c r="C39" s="210">
        <v>26.8</v>
      </c>
      <c r="D39">
        <v>94.3</v>
      </c>
      <c r="E39" s="214">
        <v>79.3</v>
      </c>
    </row>
    <row r="40" spans="1:5">
      <c r="A40" s="209" t="s">
        <v>629</v>
      </c>
      <c r="B40" s="209" t="s">
        <v>653</v>
      </c>
      <c r="C40" s="212">
        <v>27</v>
      </c>
      <c r="D40">
        <v>92.8</v>
      </c>
      <c r="E40" s="214">
        <v>69.5</v>
      </c>
    </row>
    <row r="41" spans="1:5">
      <c r="A41" s="209" t="s">
        <v>630</v>
      </c>
      <c r="B41" s="209" t="s">
        <v>653</v>
      </c>
      <c r="C41" s="210">
        <v>25.3</v>
      </c>
      <c r="D41">
        <v>90.7</v>
      </c>
      <c r="E41" s="214">
        <v>69.5</v>
      </c>
    </row>
    <row r="42" spans="1:5">
      <c r="A42" s="209" t="s">
        <v>631</v>
      </c>
      <c r="B42" s="209" t="s">
        <v>653</v>
      </c>
      <c r="C42" s="210">
        <v>27.9</v>
      </c>
      <c r="D42">
        <v>90.5</v>
      </c>
      <c r="E42" s="214">
        <v>62.1</v>
      </c>
    </row>
    <row r="43" spans="1:5">
      <c r="A43" s="209" t="s">
        <v>632</v>
      </c>
      <c r="B43" s="209" t="s">
        <v>653</v>
      </c>
      <c r="C43" s="210">
        <v>27.3</v>
      </c>
      <c r="D43">
        <v>94.4</v>
      </c>
      <c r="E43" s="214">
        <v>54.900000000000006</v>
      </c>
    </row>
    <row r="44" spans="1:5">
      <c r="A44" s="209" t="s">
        <v>633</v>
      </c>
      <c r="B44" s="209" t="s">
        <v>654</v>
      </c>
      <c r="C44" s="210">
        <v>17.399999999999999</v>
      </c>
      <c r="D44">
        <v>98.7</v>
      </c>
      <c r="E44" s="214">
        <v>32.9</v>
      </c>
    </row>
    <row r="45" spans="1:5">
      <c r="A45" s="209" t="s">
        <v>634</v>
      </c>
      <c r="B45" s="209" t="s">
        <v>655</v>
      </c>
      <c r="C45" s="212">
        <v>12</v>
      </c>
      <c r="D45">
        <v>94</v>
      </c>
      <c r="E45" s="214">
        <v>25.6</v>
      </c>
    </row>
    <row r="46" spans="1:5">
      <c r="A46" s="209" t="s">
        <v>635</v>
      </c>
      <c r="B46" s="209" t="s">
        <v>653</v>
      </c>
      <c r="C46" s="210">
        <v>17.600000000000001</v>
      </c>
      <c r="D46">
        <v>95.6</v>
      </c>
      <c r="E46" s="214">
        <v>20.7</v>
      </c>
    </row>
    <row r="47" spans="1:5">
      <c r="A47" s="209" t="s">
        <v>636</v>
      </c>
      <c r="B47" s="209" t="s">
        <v>656</v>
      </c>
      <c r="C47" s="210">
        <v>15.6</v>
      </c>
      <c r="D47">
        <v>98.5</v>
      </c>
      <c r="E47" s="214">
        <v>31.7</v>
      </c>
    </row>
    <row r="48" spans="1:5">
      <c r="A48" s="209" t="s">
        <v>637</v>
      </c>
      <c r="B48" s="209" t="s">
        <v>657</v>
      </c>
      <c r="C48" s="210">
        <v>16.100000000000001</v>
      </c>
      <c r="D48">
        <v>100.3</v>
      </c>
      <c r="E48" s="214">
        <v>42.699999999999996</v>
      </c>
    </row>
    <row r="49" spans="1:5">
      <c r="A49" s="209" t="s">
        <v>638</v>
      </c>
      <c r="B49" s="209" t="s">
        <v>658</v>
      </c>
      <c r="C49" s="210">
        <v>27.4</v>
      </c>
      <c r="D49">
        <v>103.2</v>
      </c>
      <c r="E49" s="214">
        <v>45.1</v>
      </c>
    </row>
    <row r="50" spans="1:5">
      <c r="A50" s="209" t="s">
        <v>639</v>
      </c>
      <c r="B50" s="209" t="s">
        <v>659</v>
      </c>
      <c r="C50" s="210">
        <v>26.1</v>
      </c>
      <c r="D50">
        <v>100.9</v>
      </c>
      <c r="E50" s="214">
        <v>73.2</v>
      </c>
    </row>
    <row r="51" spans="1:5">
      <c r="A51" s="209" t="s">
        <v>640</v>
      </c>
      <c r="B51" s="209" t="s">
        <v>658</v>
      </c>
      <c r="C51" s="212">
        <v>25</v>
      </c>
      <c r="D51">
        <v>98.7</v>
      </c>
      <c r="E51" s="214">
        <v>58.3</v>
      </c>
    </row>
    <row r="52" spans="1:5">
      <c r="A52" s="209" t="s">
        <v>641</v>
      </c>
      <c r="B52" s="209" t="s">
        <v>658</v>
      </c>
      <c r="C52" s="210">
        <v>30.3</v>
      </c>
      <c r="D52">
        <v>100.1</v>
      </c>
      <c r="E52" s="214">
        <v>40.200000000000003</v>
      </c>
    </row>
    <row r="53" spans="1:5">
      <c r="A53" s="209" t="s">
        <v>642</v>
      </c>
      <c r="B53" s="209" t="s">
        <v>658</v>
      </c>
      <c r="C53" s="210">
        <v>28.9</v>
      </c>
      <c r="D53">
        <v>101.3</v>
      </c>
      <c r="E53" s="214">
        <v>52.400000000000006</v>
      </c>
    </row>
    <row r="54" spans="1:5">
      <c r="A54" s="209" t="s">
        <v>643</v>
      </c>
      <c r="B54" s="209" t="s">
        <v>658</v>
      </c>
      <c r="C54" s="210">
        <v>25.7</v>
      </c>
      <c r="D54">
        <v>100.9</v>
      </c>
      <c r="E54" s="214">
        <v>57.3</v>
      </c>
    </row>
    <row r="55" spans="1:5">
      <c r="A55" s="209" t="s">
        <v>644</v>
      </c>
      <c r="B55" s="209" t="s">
        <v>658</v>
      </c>
      <c r="C55" s="210">
        <v>24.4</v>
      </c>
      <c r="D55">
        <v>97.6</v>
      </c>
      <c r="E55" s="214">
        <v>61.5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1"/>
  <dimension ref="A1:M63"/>
  <sheetViews>
    <sheetView workbookViewId="0">
      <selection activeCell="Q22" sqref="Q22"/>
    </sheetView>
  </sheetViews>
  <sheetFormatPr defaultRowHeight="14.5"/>
  <cols>
    <col min="2" max="2" width="10.54296875" bestFit="1" customWidth="1"/>
  </cols>
  <sheetData>
    <row r="1" spans="1:13">
      <c r="C1" t="s">
        <v>151</v>
      </c>
      <c r="D1" t="s">
        <v>152</v>
      </c>
      <c r="E1" t="s">
        <v>153</v>
      </c>
      <c r="F1" t="s">
        <v>154</v>
      </c>
    </row>
    <row r="2" spans="1:13">
      <c r="A2" t="s">
        <v>6</v>
      </c>
      <c r="C2">
        <v>0.3</v>
      </c>
      <c r="D2">
        <v>0.4</v>
      </c>
      <c r="E2">
        <v>0.2</v>
      </c>
      <c r="F2">
        <f>1-SUM(C2:E2)</f>
        <v>0.10000000000000009</v>
      </c>
      <c r="H2" t="s">
        <v>17</v>
      </c>
    </row>
    <row r="3" spans="1:13">
      <c r="A3" t="s">
        <v>155</v>
      </c>
      <c r="J3" t="s">
        <v>156</v>
      </c>
    </row>
    <row r="4" spans="1:13">
      <c r="B4" s="43">
        <v>42766</v>
      </c>
      <c r="C4">
        <v>4.7746403768711601E-2</v>
      </c>
      <c r="D4">
        <v>2.3983598019761899E-2</v>
      </c>
      <c r="E4">
        <v>6.16964450752297E-2</v>
      </c>
      <c r="F4">
        <v>-6.0126418749018397E-2</v>
      </c>
      <c r="H4">
        <f t="shared" ref="H4:H35" si="0">SUMPRODUCT($C$2:$F$2,C4:F4)</f>
        <v>3.0244007478662335E-2</v>
      </c>
      <c r="J4" s="1">
        <f>_xlfn.VAR.P(H4:H63)</f>
        <v>2.627153820584587E-3</v>
      </c>
    </row>
    <row r="5" spans="1:13">
      <c r="B5" s="43">
        <v>42794</v>
      </c>
      <c r="C5">
        <v>0.13377804564668</v>
      </c>
      <c r="D5">
        <v>8.3606234552071598E-2</v>
      </c>
      <c r="E5">
        <v>-5.0609577233732802E-3</v>
      </c>
      <c r="F5">
        <v>1.1709111738542799E-2</v>
      </c>
      <c r="H5">
        <f t="shared" si="0"/>
        <v>7.3734627144012257E-2</v>
      </c>
    </row>
    <row r="6" spans="1:13">
      <c r="B6" s="43">
        <v>42825</v>
      </c>
      <c r="C6">
        <v>4.8689558775611201E-2</v>
      </c>
      <c r="D6">
        <v>-5.3561450448209903E-2</v>
      </c>
      <c r="E6">
        <v>2.99754186311968E-2</v>
      </c>
      <c r="F6">
        <v>-3.35374898130141E-4</v>
      </c>
      <c r="H6">
        <f t="shared" si="0"/>
        <v>-8.5616631017425542E-4</v>
      </c>
      <c r="J6" t="s">
        <v>157</v>
      </c>
    </row>
    <row r="7" spans="1:13">
      <c r="B7" s="43">
        <v>42853</v>
      </c>
      <c r="C7" s="50">
        <v>-6.9522777878212001E-5</v>
      </c>
      <c r="D7">
        <v>5.86202862760744E-2</v>
      </c>
      <c r="E7">
        <v>1.9490324713444199E-2</v>
      </c>
      <c r="F7">
        <v>-2.7181231351792502E-2</v>
      </c>
      <c r="H7">
        <f t="shared" si="0"/>
        <v>2.4607199484575883E-2</v>
      </c>
      <c r="J7">
        <f>COVAR($C4:$C63,C4:C63)</f>
        <v>7.1147561271710374E-3</v>
      </c>
      <c r="K7">
        <f>COVAR($C4:$C63,D4:D63)</f>
        <v>1.9869033645906987E-3</v>
      </c>
      <c r="L7">
        <f>COVAR($C4:$C63,E4:E63)</f>
        <v>2.1582929486784566E-3</v>
      </c>
      <c r="M7">
        <f>COVAR($C4:$C63,F4:F63)</f>
        <v>1.8624485342145826E-3</v>
      </c>
    </row>
    <row r="8" spans="1:13">
      <c r="B8" s="43">
        <v>42886</v>
      </c>
      <c r="C8">
        <v>6.7807309512063499E-2</v>
      </c>
      <c r="D8">
        <v>6.0541295677034097E-2</v>
      </c>
      <c r="E8">
        <v>-6.6263127603027105E-2</v>
      </c>
      <c r="F8">
        <v>-5.5536526465738402E-2</v>
      </c>
      <c r="H8">
        <f t="shared" si="0"/>
        <v>2.5752432957253418E-2</v>
      </c>
      <c r="J8">
        <f>K7</f>
        <v>1.9869033645906987E-3</v>
      </c>
      <c r="K8">
        <f>COVAR($D4:$D63,D4:D63)</f>
        <v>2.7845672803871288E-3</v>
      </c>
      <c r="L8">
        <f>COVAR($D4:$D63,E4:E63)</f>
        <v>8.6286553524680097E-4</v>
      </c>
      <c r="M8">
        <f>COVAR($D4:$D63,F4:F63)</f>
        <v>3.599235529205223E-4</v>
      </c>
    </row>
    <row r="9" spans="1:13">
      <c r="B9" s="43">
        <v>42916</v>
      </c>
      <c r="C9">
        <v>-5.7213875833608603E-2</v>
      </c>
      <c r="D9">
        <v>-0.113617485185197</v>
      </c>
      <c r="E9">
        <v>-1.5656695569378501E-2</v>
      </c>
      <c r="F9">
        <v>-5.1914659545268301E-3</v>
      </c>
      <c r="H9">
        <f t="shared" si="0"/>
        <v>-6.6261642533489762E-2</v>
      </c>
      <c r="J9">
        <f>L7</f>
        <v>2.1582929486784566E-3</v>
      </c>
      <c r="K9">
        <f>L8</f>
        <v>8.6286553524680097E-4</v>
      </c>
      <c r="L9">
        <f>COVAR($E4:$E63,E4:E63)</f>
        <v>6.4682229895124347E-3</v>
      </c>
      <c r="M9">
        <f>COVAR($E4:$E63,F4:F63)</f>
        <v>3.5497931676605901E-3</v>
      </c>
    </row>
    <row r="10" spans="1:13">
      <c r="B10" s="43">
        <v>42947</v>
      </c>
      <c r="C10">
        <v>3.27035552944984E-2</v>
      </c>
      <c r="D10">
        <v>-8.8786523477403408E-3</v>
      </c>
      <c r="E10">
        <v>4.2332064081507997E-2</v>
      </c>
      <c r="F10">
        <v>-5.1832606214159402E-2</v>
      </c>
      <c r="H10">
        <f t="shared" si="0"/>
        <v>9.5427578441390389E-3</v>
      </c>
      <c r="J10">
        <f>M7</f>
        <v>1.8624485342145826E-3</v>
      </c>
      <c r="K10">
        <f>M8</f>
        <v>3.599235529205223E-4</v>
      </c>
      <c r="L10">
        <f>M9</f>
        <v>3.5497931676605901E-3</v>
      </c>
      <c r="M10">
        <f>COVAR(F4:F63,F4:F63)</f>
        <v>1.2612311472114444E-2</v>
      </c>
    </row>
    <row r="11" spans="1:13">
      <c r="B11" s="43">
        <v>42978</v>
      </c>
      <c r="C11">
        <v>0.106999762251848</v>
      </c>
      <c r="D11">
        <v>-8.00482339408062E-3</v>
      </c>
      <c r="E11">
        <v>-7.94142647822218E-2</v>
      </c>
      <c r="F11">
        <v>-4.1390041272620803E-2</v>
      </c>
      <c r="H11">
        <f t="shared" si="0"/>
        <v>8.8761422342157024E-3</v>
      </c>
    </row>
    <row r="12" spans="1:13">
      <c r="B12" s="43">
        <v>43007</v>
      </c>
      <c r="C12">
        <v>-6.0243945975822E-2</v>
      </c>
      <c r="D12">
        <v>4.8168645199623099E-2</v>
      </c>
      <c r="E12">
        <v>-2.5988068611345502E-2</v>
      </c>
      <c r="F12">
        <v>-5.2303014304847899E-3</v>
      </c>
      <c r="H12">
        <f t="shared" si="0"/>
        <v>-4.5263695782149409E-3</v>
      </c>
      <c r="J12" t="s">
        <v>158</v>
      </c>
    </row>
    <row r="13" spans="1:13">
      <c r="B13" s="43">
        <v>43039</v>
      </c>
      <c r="C13">
        <v>9.6807487240683998E-2</v>
      </c>
      <c r="D13">
        <v>-1.9538481866689699E-2</v>
      </c>
      <c r="E13">
        <v>-7.7103599095943703E-3</v>
      </c>
      <c r="F13">
        <v>-0.166253352658772</v>
      </c>
      <c r="H13">
        <f t="shared" si="0"/>
        <v>3.0594461777332278E-3</v>
      </c>
      <c r="J13" s="1">
        <f>SUMPRODUCT(MMULT(C2:F2,J7:M10),C2:F2)</f>
        <v>2.6271538205845874E-3</v>
      </c>
    </row>
    <row r="14" spans="1:13">
      <c r="B14" s="43">
        <v>43069</v>
      </c>
      <c r="C14">
        <v>2.0277951072523202E-2</v>
      </c>
      <c r="D14">
        <v>0.14835648008223201</v>
      </c>
      <c r="E14">
        <v>7.1669726269013995E-2</v>
      </c>
      <c r="F14">
        <v>-9.27578247793963E-2</v>
      </c>
      <c r="H14">
        <f t="shared" si="0"/>
        <v>7.0484140130512921E-2</v>
      </c>
    </row>
    <row r="15" spans="1:13">
      <c r="B15" s="43">
        <v>43098</v>
      </c>
      <c r="C15">
        <v>-1.52458326845807E-2</v>
      </c>
      <c r="D15">
        <v>9.1633851489976992E-3</v>
      </c>
      <c r="E15">
        <v>3.3913992649186799E-2</v>
      </c>
      <c r="F15">
        <v>-3.9339168002106198E-2</v>
      </c>
      <c r="H15">
        <f t="shared" si="0"/>
        <v>1.9404859838516066E-3</v>
      </c>
    </row>
    <row r="16" spans="1:13">
      <c r="B16" s="43">
        <v>43131</v>
      </c>
      <c r="C16">
        <v>-1.0636302528655101E-2</v>
      </c>
      <c r="D16">
        <v>4.7012628044018699E-2</v>
      </c>
      <c r="E16">
        <v>1.0789614556340201E-2</v>
      </c>
      <c r="F16">
        <v>-7.3352560204376596E-2</v>
      </c>
      <c r="H16">
        <f t="shared" si="0"/>
        <v>1.0436827349841322E-2</v>
      </c>
    </row>
    <row r="17" spans="2:8">
      <c r="B17" s="43">
        <v>43159</v>
      </c>
      <c r="C17">
        <v>6.8184988380074099E-2</v>
      </c>
      <c r="D17">
        <v>-1.7751152412137899E-2</v>
      </c>
      <c r="E17">
        <v>-5.0703921739340102E-2</v>
      </c>
      <c r="F17">
        <v>-0.12017490690120899</v>
      </c>
      <c r="H17">
        <f t="shared" si="0"/>
        <v>-8.8032394888218641E-3</v>
      </c>
    </row>
    <row r="18" spans="2:8">
      <c r="B18" s="43">
        <v>43188</v>
      </c>
      <c r="C18">
        <v>-5.80511067106474E-2</v>
      </c>
      <c r="D18">
        <v>-1.29385860208083E-2</v>
      </c>
      <c r="E18">
        <v>-2.6366851597274601E-2</v>
      </c>
      <c r="F18">
        <v>-4.4649067862533601E-2</v>
      </c>
      <c r="H18">
        <f t="shared" si="0"/>
        <v>-3.232904352722582E-2</v>
      </c>
    </row>
    <row r="19" spans="2:8">
      <c r="B19" s="43">
        <v>43220</v>
      </c>
      <c r="C19">
        <v>-1.5019350717845501E-2</v>
      </c>
      <c r="D19">
        <v>4.6330347875034199E-2</v>
      </c>
      <c r="E19">
        <v>-1.09506414287447E-3</v>
      </c>
      <c r="F19">
        <v>4.3768339010464598E-2</v>
      </c>
      <c r="H19">
        <f t="shared" si="0"/>
        <v>1.8184155007131601E-2</v>
      </c>
    </row>
    <row r="20" spans="2:8">
      <c r="B20" s="43">
        <v>43251</v>
      </c>
      <c r="C20">
        <v>0.13512385595337401</v>
      </c>
      <c r="D20">
        <v>8.4095106693512396E-3</v>
      </c>
      <c r="E20">
        <v>-8.5718979523074796E-3</v>
      </c>
      <c r="F20">
        <v>7.10751037361007E-4</v>
      </c>
      <c r="H20">
        <f t="shared" si="0"/>
        <v>4.2257656567027298E-2</v>
      </c>
    </row>
    <row r="21" spans="2:8">
      <c r="B21" s="43">
        <v>43280</v>
      </c>
      <c r="C21">
        <v>-9.4180635930681406E-3</v>
      </c>
      <c r="D21">
        <v>5.4176974685832401E-2</v>
      </c>
      <c r="E21">
        <v>5.3684529489028403E-2</v>
      </c>
      <c r="F21">
        <v>-2.4801091419947699E-2</v>
      </c>
      <c r="H21">
        <f t="shared" si="0"/>
        <v>2.710216755222343E-2</v>
      </c>
    </row>
    <row r="22" spans="2:8">
      <c r="B22" s="43">
        <v>43312</v>
      </c>
      <c r="C22">
        <v>2.7983009612315601E-2</v>
      </c>
      <c r="D22">
        <v>4.65595153778589E-2</v>
      </c>
      <c r="E22">
        <v>9.2193841019322098E-2</v>
      </c>
      <c r="F22">
        <v>1.46951982460921E-3</v>
      </c>
      <c r="H22">
        <f t="shared" si="0"/>
        <v>4.5604429221163582E-2</v>
      </c>
    </row>
    <row r="23" spans="2:8">
      <c r="B23" s="43">
        <v>43343</v>
      </c>
      <c r="C23">
        <v>0.20042229199345901</v>
      </c>
      <c r="D23">
        <v>6.8577992538515195E-2</v>
      </c>
      <c r="E23">
        <v>-1.35611879732246E-2</v>
      </c>
      <c r="F23">
        <v>-5.0623705817781597E-2</v>
      </c>
      <c r="H23">
        <f t="shared" si="0"/>
        <v>7.9783276437020698E-2</v>
      </c>
    </row>
    <row r="24" spans="2:8">
      <c r="B24" s="43">
        <v>43371</v>
      </c>
      <c r="C24">
        <v>-8.3028869169447603E-3</v>
      </c>
      <c r="D24">
        <v>7.5065556431532501E-3</v>
      </c>
      <c r="E24">
        <v>4.3920831815893499E-2</v>
      </c>
      <c r="F24">
        <v>-0.119195587365908</v>
      </c>
      <c r="H24">
        <f t="shared" si="0"/>
        <v>-2.6236361912342389E-3</v>
      </c>
    </row>
    <row r="25" spans="2:8">
      <c r="B25" s="43">
        <v>43404</v>
      </c>
      <c r="C25">
        <v>-3.0477636608424299E-2</v>
      </c>
      <c r="D25">
        <v>-2.66093726757138E-2</v>
      </c>
      <c r="E25">
        <v>-1.8043453897218301E-2</v>
      </c>
      <c r="F25">
        <v>-0.105402950700576</v>
      </c>
      <c r="H25">
        <f t="shared" si="0"/>
        <v>-3.3936025902314079E-2</v>
      </c>
    </row>
    <row r="26" spans="2:8">
      <c r="B26" s="43">
        <v>43434</v>
      </c>
      <c r="C26">
        <v>-0.18119753568915301</v>
      </c>
      <c r="D26">
        <v>1.39954485371078E-2</v>
      </c>
      <c r="E26">
        <v>5.7476102059610496E-3</v>
      </c>
      <c r="F26">
        <v>-0.25742582289952498</v>
      </c>
      <c r="H26">
        <f t="shared" si="0"/>
        <v>-7.3354141540663081E-2</v>
      </c>
    </row>
    <row r="27" spans="2:8">
      <c r="B27" s="43">
        <v>43465</v>
      </c>
      <c r="C27">
        <v>-0.116698237536439</v>
      </c>
      <c r="D27">
        <v>-0.119206261082009</v>
      </c>
      <c r="E27">
        <v>-4.3202618285775603E-2</v>
      </c>
      <c r="F27">
        <v>1.07218833998782E-2</v>
      </c>
      <c r="H27">
        <f t="shared" si="0"/>
        <v>-9.0260311010902608E-2</v>
      </c>
    </row>
    <row r="28" spans="2:8">
      <c r="B28" s="43">
        <v>43496</v>
      </c>
      <c r="C28">
        <v>5.5153715712633999E-2</v>
      </c>
      <c r="D28">
        <v>5.3605619002455002E-2</v>
      </c>
      <c r="E28">
        <v>1.7054239870882299E-2</v>
      </c>
      <c r="F28">
        <v>0.34213988678103102</v>
      </c>
      <c r="H28">
        <f t="shared" si="0"/>
        <v>7.5613198967051792E-2</v>
      </c>
    </row>
    <row r="29" spans="2:8">
      <c r="B29" s="43">
        <v>43524</v>
      </c>
      <c r="C29">
        <v>4.47766373519679E-2</v>
      </c>
      <c r="D29">
        <v>2.1902139806061E-2</v>
      </c>
      <c r="E29">
        <v>1.18364338710947E-2</v>
      </c>
      <c r="F29">
        <v>6.3543302659148496E-2</v>
      </c>
      <c r="H29">
        <f t="shared" si="0"/>
        <v>3.0915464168148565E-2</v>
      </c>
    </row>
    <row r="30" spans="2:8">
      <c r="B30" s="43">
        <v>43553</v>
      </c>
      <c r="C30">
        <v>9.7025546195032106E-2</v>
      </c>
      <c r="D30">
        <v>0.106976123430523</v>
      </c>
      <c r="E30">
        <v>-1.60404139370703E-2</v>
      </c>
      <c r="F30">
        <v>-3.7479889448296E-2</v>
      </c>
      <c r="H30">
        <f t="shared" si="0"/>
        <v>6.494204149847517E-2</v>
      </c>
    </row>
    <row r="31" spans="2:8">
      <c r="B31" s="43">
        <v>43585</v>
      </c>
      <c r="C31">
        <v>5.6436227927869599E-2</v>
      </c>
      <c r="D31">
        <v>1.4000239804132101E-2</v>
      </c>
      <c r="E31">
        <v>0.23363054198875899</v>
      </c>
      <c r="F31">
        <v>1.8017934528891302E-2</v>
      </c>
      <c r="H31">
        <f t="shared" si="0"/>
        <v>7.105886615065464E-2</v>
      </c>
    </row>
    <row r="32" spans="2:8">
      <c r="B32" s="43">
        <v>43616</v>
      </c>
      <c r="C32">
        <v>-0.124212968736785</v>
      </c>
      <c r="D32">
        <v>-2.15980754763575E-2</v>
      </c>
      <c r="E32">
        <v>-3.59933320455696E-2</v>
      </c>
      <c r="F32">
        <v>-7.1779765325261702E-2</v>
      </c>
      <c r="H32">
        <f t="shared" si="0"/>
        <v>-6.0279763753218606E-2</v>
      </c>
    </row>
    <row r="33" spans="2:8">
      <c r="B33" s="43">
        <v>43644</v>
      </c>
      <c r="C33">
        <v>0.130519113189659</v>
      </c>
      <c r="D33">
        <v>0.103013204063035</v>
      </c>
      <c r="E33">
        <v>5.7558316016280399E-2</v>
      </c>
      <c r="F33">
        <v>0.113358624413162</v>
      </c>
      <c r="H33">
        <f t="shared" si="0"/>
        <v>0.10320854122668399</v>
      </c>
    </row>
    <row r="34" spans="2:8">
      <c r="B34" s="43">
        <v>43677</v>
      </c>
      <c r="C34">
        <v>7.6394545932954194E-2</v>
      </c>
      <c r="D34">
        <v>4.3026077353929097E-2</v>
      </c>
      <c r="E34">
        <v>3.0475873400542301E-2</v>
      </c>
      <c r="F34">
        <v>-4.7618313561493099E-3</v>
      </c>
      <c r="H34">
        <f t="shared" si="0"/>
        <v>4.5747786265951419E-2</v>
      </c>
    </row>
    <row r="35" spans="2:8">
      <c r="B35" s="43">
        <v>43707</v>
      </c>
      <c r="C35">
        <v>-1.6461184885826499E-2</v>
      </c>
      <c r="D35">
        <v>7.1770474964687206E-2</v>
      </c>
      <c r="E35">
        <v>-4.02070050875405E-2</v>
      </c>
      <c r="F35">
        <v>-0.21052628182244601</v>
      </c>
      <c r="H35">
        <f t="shared" si="0"/>
        <v>-5.3241946796257836E-3</v>
      </c>
    </row>
    <row r="36" spans="2:8">
      <c r="B36" s="43">
        <v>43738</v>
      </c>
      <c r="C36">
        <v>7.2961525913540798E-2</v>
      </c>
      <c r="D36">
        <v>-2.2560953672651301E-2</v>
      </c>
      <c r="E36">
        <v>-5.0560965915737298E-2</v>
      </c>
      <c r="F36">
        <v>8.4807694710703804E-2</v>
      </c>
      <c r="H36">
        <f t="shared" ref="H36:H63" si="1">SUMPRODUCT($C$2:$F$2,C36:F36)</f>
        <v>1.1232652592924644E-2</v>
      </c>
    </row>
    <row r="37" spans="2:8">
      <c r="B37" s="43">
        <v>43769</v>
      </c>
      <c r="C37">
        <v>0.110684500124604</v>
      </c>
      <c r="D37">
        <v>3.3478529838269697E-2</v>
      </c>
      <c r="E37">
        <v>-3.06933495504657E-3</v>
      </c>
      <c r="F37">
        <v>0.116331055737003</v>
      </c>
      <c r="H37">
        <f t="shared" si="1"/>
        <v>5.7616000555380076E-2</v>
      </c>
    </row>
    <row r="38" spans="2:8">
      <c r="B38" s="43">
        <v>43798</v>
      </c>
      <c r="C38">
        <v>7.7554248325560904E-2</v>
      </c>
      <c r="D38">
        <v>9.0874909554722206E-3</v>
      </c>
      <c r="E38">
        <v>0.16671800337652501</v>
      </c>
      <c r="F38">
        <v>0.12925872526555199</v>
      </c>
      <c r="H38">
        <f t="shared" si="1"/>
        <v>7.3170744081717365E-2</v>
      </c>
    </row>
    <row r="39" spans="2:8">
      <c r="B39" s="43">
        <v>43830</v>
      </c>
      <c r="C39">
        <v>9.8783686831878006E-2</v>
      </c>
      <c r="D39">
        <v>-1.9645786681929601E-2</v>
      </c>
      <c r="E39">
        <v>-4.0133835825286297E-2</v>
      </c>
      <c r="F39">
        <v>-8.8627114889550003E-3</v>
      </c>
      <c r="H39">
        <f t="shared" si="1"/>
        <v>1.2863753062838799E-2</v>
      </c>
    </row>
    <row r="40" spans="2:8">
      <c r="B40" s="43">
        <v>43861</v>
      </c>
      <c r="C40">
        <v>5.4009854880235499E-2</v>
      </c>
      <c r="D40">
        <v>3.9466388891509399E-2</v>
      </c>
      <c r="E40">
        <v>-4.3697760567315003E-2</v>
      </c>
      <c r="F40">
        <v>0.11559146409024899</v>
      </c>
      <c r="H40">
        <f t="shared" si="1"/>
        <v>3.4809106316236314E-2</v>
      </c>
    </row>
    <row r="41" spans="2:8">
      <c r="B41" s="43">
        <v>43889</v>
      </c>
      <c r="C41">
        <v>-0.11470141556911601</v>
      </c>
      <c r="D41">
        <v>-7.78581860668906E-2</v>
      </c>
      <c r="E41">
        <v>-0.14937456725760101</v>
      </c>
      <c r="F41">
        <v>-0.12610438845279801</v>
      </c>
      <c r="H41">
        <f t="shared" si="1"/>
        <v>-0.10803905139429104</v>
      </c>
    </row>
    <row r="42" spans="2:8">
      <c r="B42" s="43">
        <v>43921</v>
      </c>
      <c r="C42">
        <v>-6.9761487127212904E-2</v>
      </c>
      <c r="D42">
        <v>1.4192371553624201E-2</v>
      </c>
      <c r="E42">
        <v>-0.17892055060558101</v>
      </c>
      <c r="F42">
        <v>-0.269495916246487</v>
      </c>
      <c r="H42">
        <f t="shared" si="1"/>
        <v>-7.7985199262479113E-2</v>
      </c>
    </row>
    <row r="43" spans="2:8">
      <c r="B43" s="43">
        <v>43951</v>
      </c>
      <c r="C43">
        <v>0.155373768458485</v>
      </c>
      <c r="D43">
        <v>6.5100971341629302E-2</v>
      </c>
      <c r="E43">
        <v>0.119565250871634</v>
      </c>
      <c r="F43">
        <v>-0.14357681202622499</v>
      </c>
      <c r="H43">
        <f t="shared" si="1"/>
        <v>8.2207888045901512E-2</v>
      </c>
    </row>
    <row r="44" spans="2:8">
      <c r="B44" s="43">
        <v>43980</v>
      </c>
      <c r="C44">
        <v>8.5094130176433094E-2</v>
      </c>
      <c r="D44">
        <v>1.8052802809223799E-2</v>
      </c>
      <c r="E44">
        <v>8.4604728587908795E-2</v>
      </c>
      <c r="F44">
        <v>-3.3823586851549903E-2</v>
      </c>
      <c r="H44">
        <f t="shared" si="1"/>
        <v>4.6287947209046221E-2</v>
      </c>
    </row>
    <row r="45" spans="2:8">
      <c r="B45" s="43">
        <v>44012</v>
      </c>
      <c r="C45">
        <v>0.14738619907365999</v>
      </c>
      <c r="D45">
        <v>-1.7051981586522099E-2</v>
      </c>
      <c r="E45">
        <v>-4.9360620331548803E-2</v>
      </c>
      <c r="F45">
        <v>4.1132457349578003E-2</v>
      </c>
      <c r="H45">
        <f t="shared" si="1"/>
        <v>3.1636188756137204E-2</v>
      </c>
    </row>
    <row r="46" spans="2:8">
      <c r="B46" s="43">
        <v>44043</v>
      </c>
      <c r="C46">
        <v>0.165131706757632</v>
      </c>
      <c r="D46">
        <v>7.5921685053586693E-2</v>
      </c>
      <c r="E46">
        <v>4.8695186092293397E-2</v>
      </c>
      <c r="F46">
        <v>-0.111273894487302</v>
      </c>
      <c r="H46">
        <f t="shared" si="1"/>
        <v>7.8519833818452761E-2</v>
      </c>
    </row>
    <row r="47" spans="2:8">
      <c r="B47" s="43">
        <v>44074</v>
      </c>
      <c r="C47">
        <v>0.21656943435350701</v>
      </c>
      <c r="D47">
        <v>6.79814010963945E-2</v>
      </c>
      <c r="E47">
        <v>0.12767224528887799</v>
      </c>
      <c r="F47">
        <v>4.4481166954133997E-2</v>
      </c>
      <c r="H47">
        <f t="shared" si="1"/>
        <v>0.12214595649779891</v>
      </c>
    </row>
    <row r="48" spans="2:8">
      <c r="B48" s="43">
        <v>44104</v>
      </c>
      <c r="C48">
        <v>-0.102526385179405</v>
      </c>
      <c r="D48">
        <v>2.1112535584511299E-2</v>
      </c>
      <c r="E48">
        <v>-5.9073281069057099E-2</v>
      </c>
      <c r="F48">
        <v>-1.5725990952103201E-2</v>
      </c>
      <c r="H48">
        <f t="shared" si="1"/>
        <v>-3.5700156629038721E-2</v>
      </c>
    </row>
    <row r="49" spans="2:8">
      <c r="B49" s="43">
        <v>44134</v>
      </c>
      <c r="C49">
        <v>-6.0012111987417002E-2</v>
      </c>
      <c r="D49">
        <v>9.3161355671388998E-3</v>
      </c>
      <c r="E49">
        <v>-2.2807880313444599E-2</v>
      </c>
      <c r="F49">
        <v>0.19101119796129601</v>
      </c>
      <c r="H49">
        <f t="shared" si="1"/>
        <v>2.6236436407115621E-4</v>
      </c>
    </row>
    <row r="50" spans="2:8">
      <c r="B50" s="43">
        <v>44165</v>
      </c>
      <c r="C50">
        <v>9.5493221871386896E-2</v>
      </c>
      <c r="D50">
        <v>9.5492502616044694E-2</v>
      </c>
      <c r="E50">
        <v>0.220700985623389</v>
      </c>
      <c r="F50">
        <v>0.37196780108279498</v>
      </c>
      <c r="H50">
        <f t="shared" si="1"/>
        <v>0.14818194484079128</v>
      </c>
    </row>
    <row r="51" spans="2:8">
      <c r="B51" s="43">
        <v>44196</v>
      </c>
      <c r="C51">
        <v>0.114573703379239</v>
      </c>
      <c r="D51">
        <v>-1.3070738112839301E-2</v>
      </c>
      <c r="E51">
        <v>0.224106475238152</v>
      </c>
      <c r="F51">
        <v>6.1879676588078698E-2</v>
      </c>
      <c r="H51">
        <f t="shared" si="1"/>
        <v>8.0153078475074246E-2</v>
      </c>
    </row>
    <row r="52" spans="2:8">
      <c r="B52" s="43">
        <v>44225</v>
      </c>
      <c r="C52">
        <v>-5.5014693523658198E-3</v>
      </c>
      <c r="D52">
        <v>-6.4626569574508103E-2</v>
      </c>
      <c r="E52">
        <v>-7.1807015303930993E-2</v>
      </c>
      <c r="F52">
        <v>-1.11109930020373E-2</v>
      </c>
      <c r="H52">
        <f t="shared" si="1"/>
        <v>-4.2973570996502918E-2</v>
      </c>
    </row>
    <row r="53" spans="2:8">
      <c r="B53" s="43">
        <v>44253</v>
      </c>
      <c r="C53">
        <v>-7.9712022321922094E-2</v>
      </c>
      <c r="D53">
        <v>-5.8951938926356098E-2</v>
      </c>
      <c r="E53">
        <v>0.124100584791713</v>
      </c>
      <c r="F53">
        <v>0.17415722285204799</v>
      </c>
      <c r="H53">
        <f t="shared" si="1"/>
        <v>-5.258543023571649E-3</v>
      </c>
    </row>
    <row r="54" spans="2:8">
      <c r="B54" s="43">
        <v>44286</v>
      </c>
      <c r="C54">
        <v>7.33948380004031E-3</v>
      </c>
      <c r="D54">
        <v>6.4894401088011505E-2</v>
      </c>
      <c r="E54">
        <v>-2.3910226270640898E-2</v>
      </c>
      <c r="F54">
        <v>4.7821508196961397E-2</v>
      </c>
      <c r="H54">
        <f t="shared" si="1"/>
        <v>2.8159711140784662E-2</v>
      </c>
    </row>
    <row r="55" spans="2:8">
      <c r="B55" s="43">
        <v>44316</v>
      </c>
      <c r="C55">
        <v>7.6217867876094303E-2</v>
      </c>
      <c r="D55">
        <v>5.7895502827861899E-2</v>
      </c>
      <c r="E55">
        <v>8.1291998984842299E-3</v>
      </c>
      <c r="F55">
        <v>-7.6165205322783602E-4</v>
      </c>
      <c r="H55">
        <f t="shared" si="1"/>
        <v>4.7573236268347113E-2</v>
      </c>
    </row>
    <row r="56" spans="2:8">
      <c r="B56" s="43">
        <v>44344</v>
      </c>
      <c r="C56">
        <v>-5.0497112485784201E-2</v>
      </c>
      <c r="D56">
        <v>1.6608928543756198E-2</v>
      </c>
      <c r="E56">
        <v>-3.9619450632749201E-2</v>
      </c>
      <c r="F56">
        <v>7.1646367787835702E-2</v>
      </c>
      <c r="H56">
        <f t="shared" si="1"/>
        <v>-9.2648156759990441E-3</v>
      </c>
    </row>
    <row r="57" spans="2:8">
      <c r="B57" s="43">
        <v>44377</v>
      </c>
      <c r="C57">
        <v>9.9109263617794402E-2</v>
      </c>
      <c r="D57">
        <v>4.5998859671114299E-2</v>
      </c>
      <c r="E57">
        <v>-1.61208492718572E-2</v>
      </c>
      <c r="F57">
        <v>-4.1945700554474302E-2</v>
      </c>
      <c r="H57">
        <f t="shared" si="1"/>
        <v>4.0713583043965169E-2</v>
      </c>
    </row>
    <row r="58" spans="2:8">
      <c r="B58" s="43">
        <v>44407</v>
      </c>
      <c r="C58">
        <v>6.4982466865385197E-2</v>
      </c>
      <c r="D58">
        <v>8.8092484993528494E-2</v>
      </c>
      <c r="E58">
        <v>1.42231321569791E-3</v>
      </c>
      <c r="F58">
        <v>-3.7890060763510001E-2</v>
      </c>
      <c r="H58">
        <f t="shared" si="1"/>
        <v>5.1227190623815533E-2</v>
      </c>
    </row>
    <row r="59" spans="2:8">
      <c r="B59" s="43">
        <v>44439</v>
      </c>
      <c r="C59">
        <v>4.2489223629632603E-2</v>
      </c>
      <c r="D59">
        <v>5.9969237119459597E-2</v>
      </c>
      <c r="E59">
        <v>2.9996583633323699E-2</v>
      </c>
      <c r="F59">
        <v>1.7471072105045501E-2</v>
      </c>
      <c r="H59">
        <f t="shared" si="1"/>
        <v>4.4480885873842912E-2</v>
      </c>
    </row>
    <row r="60" spans="2:8">
      <c r="B60" s="43">
        <v>44469</v>
      </c>
      <c r="C60">
        <v>-6.8036609609392604E-2</v>
      </c>
      <c r="D60">
        <v>-1.34799505176412E-2</v>
      </c>
      <c r="E60">
        <v>-6.6905706997421294E-2</v>
      </c>
      <c r="F60">
        <v>-2.1818485782456602E-2</v>
      </c>
      <c r="H60">
        <f t="shared" si="1"/>
        <v>-4.1365953067604183E-2</v>
      </c>
    </row>
    <row r="61" spans="2:8">
      <c r="B61" s="43">
        <v>44498</v>
      </c>
      <c r="C61">
        <v>5.86572494711586E-2</v>
      </c>
      <c r="D61">
        <v>9.5660851631581695E-2</v>
      </c>
      <c r="E61">
        <v>-5.9106724483560299E-4</v>
      </c>
      <c r="F61">
        <v>1.7858913677741999E-2</v>
      </c>
      <c r="H61">
        <f t="shared" si="1"/>
        <v>5.7529193412787345E-2</v>
      </c>
    </row>
    <row r="62" spans="2:8">
      <c r="B62" s="43">
        <v>44530</v>
      </c>
      <c r="C62">
        <v>0.105081838416622</v>
      </c>
      <c r="D62">
        <v>9.7326718735154499E-2</v>
      </c>
      <c r="E62">
        <v>-0.14295861111181299</v>
      </c>
      <c r="F62">
        <v>-9.4211918072426695E-2</v>
      </c>
      <c r="H62">
        <f t="shared" si="1"/>
        <v>3.2442324989443126E-2</v>
      </c>
    </row>
    <row r="63" spans="2:8">
      <c r="B63" s="43">
        <v>44560</v>
      </c>
      <c r="C63">
        <v>7.8039861481089795E-2</v>
      </c>
      <c r="D63">
        <v>4.5478107687502503E-2</v>
      </c>
      <c r="E63">
        <v>7.6121457859940497E-2</v>
      </c>
      <c r="F63">
        <v>-2.1800475367568998E-3</v>
      </c>
      <c r="H63">
        <f t="shared" si="1"/>
        <v>5.6609488337640339E-2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2"/>
  <dimension ref="A1:L46"/>
  <sheetViews>
    <sheetView zoomScaleNormal="100" workbookViewId="0">
      <selection sqref="A1:E8"/>
    </sheetView>
  </sheetViews>
  <sheetFormatPr defaultColWidth="9.1796875" defaultRowHeight="14.5"/>
  <cols>
    <col min="1" max="1" width="9.1796875" style="20" customWidth="1"/>
    <col min="2" max="5" width="9.54296875" style="20" bestFit="1" customWidth="1"/>
    <col min="6" max="8" width="9.1796875" style="20" customWidth="1"/>
    <col min="9" max="9" width="11.54296875" style="20" customWidth="1"/>
    <col min="10" max="15" width="9.1796875" style="20" customWidth="1"/>
    <col min="16" max="16384" width="9.1796875" style="20"/>
  </cols>
  <sheetData>
    <row r="1" spans="1:12">
      <c r="A1" s="31" t="s">
        <v>157</v>
      </c>
      <c r="B1" s="32"/>
      <c r="J1" s="31"/>
      <c r="K1" s="31"/>
      <c r="L1" s="31"/>
    </row>
    <row r="2" spans="1:12">
      <c r="B2" s="166" t="s">
        <v>495</v>
      </c>
      <c r="C2" s="166" t="s">
        <v>496</v>
      </c>
      <c r="D2" s="166" t="s">
        <v>497</v>
      </c>
    </row>
    <row r="3" spans="1:12">
      <c r="A3" s="166" t="s">
        <v>495</v>
      </c>
      <c r="B3" s="20">
        <v>0.04</v>
      </c>
      <c r="C3" s="20">
        <v>-0.02</v>
      </c>
      <c r="D3" s="20">
        <v>2.5000000000000001E-2</v>
      </c>
      <c r="I3" s="33"/>
    </row>
    <row r="4" spans="1:12">
      <c r="A4" s="166" t="s">
        <v>496</v>
      </c>
      <c r="B4" s="51">
        <v>-0.02</v>
      </c>
      <c r="C4" s="51">
        <v>0.09</v>
      </c>
      <c r="D4" s="51">
        <v>0.04</v>
      </c>
      <c r="I4" s="33"/>
    </row>
    <row r="5" spans="1:12">
      <c r="A5" s="166" t="s">
        <v>497</v>
      </c>
      <c r="B5" s="51">
        <v>2.5000000000000001E-2</v>
      </c>
      <c r="C5" s="51">
        <v>0.04</v>
      </c>
      <c r="D5" s="51">
        <v>0.25</v>
      </c>
      <c r="I5" s="33"/>
    </row>
    <row r="6" spans="1:12">
      <c r="A6" s="34"/>
      <c r="B6" s="35"/>
      <c r="C6" s="35"/>
      <c r="D6" s="35"/>
      <c r="I6" s="33"/>
    </row>
    <row r="7" spans="1:12">
      <c r="B7" s="166" t="s">
        <v>495</v>
      </c>
      <c r="C7" s="166" t="s">
        <v>496</v>
      </c>
      <c r="D7" s="166" t="s">
        <v>497</v>
      </c>
      <c r="E7" s="31" t="s">
        <v>159</v>
      </c>
      <c r="I7" s="33"/>
    </row>
    <row r="8" spans="1:12">
      <c r="A8" s="20" t="s">
        <v>13</v>
      </c>
      <c r="B8" s="32">
        <v>0.12</v>
      </c>
      <c r="C8" s="32">
        <v>0.06</v>
      </c>
      <c r="D8" s="32">
        <v>0.08</v>
      </c>
      <c r="E8" s="51">
        <v>0.05</v>
      </c>
      <c r="I8" s="33"/>
    </row>
    <row r="9" spans="1:12">
      <c r="I9" s="33"/>
    </row>
    <row r="10" spans="1:12">
      <c r="I10" s="33"/>
    </row>
    <row r="11" spans="1:12" ht="21" customHeight="1">
      <c r="A11" s="36" t="s">
        <v>160</v>
      </c>
      <c r="B11" s="37"/>
      <c r="I11" s="33"/>
    </row>
    <row r="12" spans="1:12" ht="15.75" customHeight="1">
      <c r="A12" s="38" t="s">
        <v>17</v>
      </c>
      <c r="B12" s="38" t="s">
        <v>161</v>
      </c>
      <c r="C12" s="38" t="s">
        <v>162</v>
      </c>
      <c r="D12" s="38" t="s">
        <v>163</v>
      </c>
      <c r="E12" s="38" t="s">
        <v>13</v>
      </c>
      <c r="F12" s="38" t="s">
        <v>164</v>
      </c>
      <c r="I12" s="33"/>
    </row>
    <row r="13" spans="1:12">
      <c r="A13" s="20">
        <v>1</v>
      </c>
      <c r="B13" s="52">
        <v>2.5728933999999999</v>
      </c>
      <c r="C13" s="52">
        <v>-0.42131229999999997</v>
      </c>
      <c r="D13" s="52">
        <f t="shared" ref="D13:D22" si="0">1-SUM(B13:C13)</f>
        <v>-1.1515811</v>
      </c>
      <c r="E13" s="52">
        <f t="shared" ref="E13:E22" si="1">SUMPRODUCT(B13:D13,$B$8:$D$8)</f>
        <v>0.19134198199999997</v>
      </c>
      <c r="F13" s="52">
        <f t="shared" ref="F13:F22" si="2">SQRT(SUMPRODUCT(MMULT(B13:D13,$B$3:$D$5),B13:D13))</f>
        <v>0.739141568073721</v>
      </c>
      <c r="I13" s="33"/>
    </row>
    <row r="14" spans="1:12">
      <c r="A14" s="20">
        <v>2</v>
      </c>
      <c r="B14" s="52">
        <v>1.527242</v>
      </c>
      <c r="C14" s="52">
        <v>-0.32345242000000002</v>
      </c>
      <c r="D14" s="52">
        <f t="shared" si="0"/>
        <v>-0.20378958000000003</v>
      </c>
      <c r="E14" s="52">
        <f t="shared" si="1"/>
        <v>0.14755872839999998</v>
      </c>
      <c r="F14" s="52">
        <f t="shared" si="2"/>
        <v>0.35009757009139819</v>
      </c>
      <c r="I14" s="33"/>
    </row>
    <row r="15" spans="1:12">
      <c r="A15" s="20">
        <v>3</v>
      </c>
      <c r="B15" s="52">
        <v>3.546460902725812E-2</v>
      </c>
      <c r="C15" s="52">
        <v>-0.39973429011297412</v>
      </c>
      <c r="D15" s="52">
        <f t="shared" si="0"/>
        <v>1.364269681085716</v>
      </c>
      <c r="E15" s="52">
        <f t="shared" si="1"/>
        <v>8.9413270163349809E-2</v>
      </c>
      <c r="F15" s="52">
        <f t="shared" si="2"/>
        <v>0.66264448765538042</v>
      </c>
    </row>
    <row r="16" spans="1:12">
      <c r="A16" s="20">
        <v>4</v>
      </c>
      <c r="B16" s="52">
        <v>-2.0360130292829131</v>
      </c>
      <c r="C16" s="52">
        <v>-0.19176468413206749</v>
      </c>
      <c r="D16" s="52">
        <f t="shared" si="0"/>
        <v>3.2277777134149805</v>
      </c>
      <c r="E16" s="52">
        <f t="shared" si="1"/>
        <v>2.3947725113248053E-3</v>
      </c>
      <c r="F16" s="52">
        <f t="shared" si="2"/>
        <v>1.5427364145472933</v>
      </c>
    </row>
    <row r="17" spans="1:7">
      <c r="A17" s="20">
        <v>5</v>
      </c>
      <c r="B17" s="52">
        <v>0.29088141673128121</v>
      </c>
      <c r="C17" s="52">
        <v>-0.64555024437140673</v>
      </c>
      <c r="D17" s="52">
        <f t="shared" si="0"/>
        <v>1.3546688276401255</v>
      </c>
      <c r="E17" s="52">
        <f t="shared" si="1"/>
        <v>0.10454626155667938</v>
      </c>
      <c r="F17" s="52">
        <f t="shared" si="2"/>
        <v>0.67596268200772736</v>
      </c>
    </row>
    <row r="18" spans="1:7">
      <c r="A18" s="20">
        <v>6</v>
      </c>
      <c r="B18" s="52">
        <v>1.471867108193692</v>
      </c>
      <c r="C18" s="52">
        <v>1.0130315786227579</v>
      </c>
      <c r="D18" s="52">
        <f t="shared" si="0"/>
        <v>-1.4848986868164502</v>
      </c>
      <c r="E18" s="52">
        <f t="shared" si="1"/>
        <v>0.11861405275529251</v>
      </c>
      <c r="F18" s="52">
        <f t="shared" si="2"/>
        <v>0.66406865229031209</v>
      </c>
    </row>
    <row r="19" spans="1:7">
      <c r="A19" s="20">
        <v>7</v>
      </c>
      <c r="B19" s="52">
        <v>0.26266434360877611</v>
      </c>
      <c r="C19" s="52">
        <v>-7.1241856858250685E-2</v>
      </c>
      <c r="D19" s="52">
        <f t="shared" si="0"/>
        <v>0.80857751324947458</v>
      </c>
      <c r="E19" s="52">
        <f t="shared" si="1"/>
        <v>9.193141088151606E-2</v>
      </c>
      <c r="F19" s="52">
        <f t="shared" si="2"/>
        <v>0.41644357848256097</v>
      </c>
    </row>
    <row r="20" spans="1:7">
      <c r="A20" s="20">
        <v>8</v>
      </c>
      <c r="B20" s="52">
        <v>1.732792043185327</v>
      </c>
      <c r="C20" s="52">
        <v>-1.059088390320539</v>
      </c>
      <c r="D20" s="52">
        <f t="shared" si="0"/>
        <v>0.32629634713521205</v>
      </c>
      <c r="E20" s="52">
        <f t="shared" si="1"/>
        <v>0.17049344953382387</v>
      </c>
      <c r="F20" s="52">
        <f t="shared" si="2"/>
        <v>0.56718731129149758</v>
      </c>
    </row>
    <row r="21" spans="1:7">
      <c r="A21" s="20">
        <v>9</v>
      </c>
      <c r="B21" s="52">
        <v>-0.28745262170559732</v>
      </c>
      <c r="C21" s="52">
        <v>7.9758137871976942E-2</v>
      </c>
      <c r="D21" s="52">
        <f t="shared" si="0"/>
        <v>1.2076944838336203</v>
      </c>
      <c r="E21" s="52">
        <f t="shared" si="1"/>
        <v>6.6906732374336558E-2</v>
      </c>
      <c r="F21" s="52">
        <f t="shared" si="2"/>
        <v>0.59981194687589567</v>
      </c>
    </row>
    <row r="22" spans="1:7">
      <c r="A22" s="20">
        <v>10</v>
      </c>
      <c r="B22" s="52">
        <v>-0.99932549346704036</v>
      </c>
      <c r="C22" s="52">
        <v>0.16766307453508489</v>
      </c>
      <c r="D22" s="52">
        <f t="shared" si="0"/>
        <v>1.8316624189319555</v>
      </c>
      <c r="E22" s="52">
        <f t="shared" si="1"/>
        <v>3.6673718770616703E-2</v>
      </c>
      <c r="F22" s="52">
        <f t="shared" si="2"/>
        <v>0.90607486863193609</v>
      </c>
    </row>
    <row r="25" spans="1:7" ht="21" customHeight="1">
      <c r="A25" s="36" t="s">
        <v>165</v>
      </c>
    </row>
    <row r="26" spans="1:7" ht="15.75" customHeight="1">
      <c r="A26" s="38" t="s">
        <v>17</v>
      </c>
      <c r="B26" s="166" t="s">
        <v>495</v>
      </c>
      <c r="C26" s="166" t="s">
        <v>496</v>
      </c>
      <c r="D26" s="166" t="s">
        <v>497</v>
      </c>
      <c r="E26" s="38" t="s">
        <v>13</v>
      </c>
      <c r="F26" s="38" t="s">
        <v>164</v>
      </c>
      <c r="G26" s="38" t="s">
        <v>166</v>
      </c>
    </row>
    <row r="27" spans="1:7">
      <c r="A27" s="20">
        <v>1</v>
      </c>
      <c r="B27" s="52">
        <v>-0.4619855452814487</v>
      </c>
      <c r="C27" s="52">
        <v>1.3260289059247001</v>
      </c>
      <c r="D27" s="52">
        <f t="shared" ref="D27:D36" si="3">1-SUM(B27:C27)</f>
        <v>0.13595663935674862</v>
      </c>
      <c r="E27" s="52">
        <f t="shared" ref="E27:E36" si="4">SUMPRODUCT(B27:D27,$B$8:$D$8)</f>
        <v>3.5000000070248047E-2</v>
      </c>
      <c r="F27" s="52">
        <f t="shared" ref="F27:F36" si="5">SQRT(SUMPRODUCT(MMULT(B27:D27,$B$3:$D$5),B27:D27))</f>
        <v>0.45518826778249344</v>
      </c>
      <c r="G27" s="167">
        <v>3.5000000000000003E-2</v>
      </c>
    </row>
    <row r="28" spans="1:7">
      <c r="A28" s="20">
        <v>2</v>
      </c>
      <c r="B28" s="52">
        <v>-0.10889236139351498</v>
      </c>
      <c r="C28" s="52">
        <v>1.0322152834882898</v>
      </c>
      <c r="D28" s="52">
        <f t="shared" si="3"/>
        <v>7.6677077905225155E-2</v>
      </c>
      <c r="E28" s="52">
        <f t="shared" si="4"/>
        <v>5.4999999874493603E-2</v>
      </c>
      <c r="F28" s="52">
        <f t="shared" si="5"/>
        <v>0.3290085375425929</v>
      </c>
      <c r="G28" s="167">
        <f>G27+0.02</f>
        <v>5.5000000000000007E-2</v>
      </c>
    </row>
    <row r="29" spans="1:7">
      <c r="A29" s="20">
        <v>3</v>
      </c>
      <c r="B29" s="52">
        <v>0.24420169691658586</v>
      </c>
      <c r="C29" s="52">
        <v>0.73839990058096505</v>
      </c>
      <c r="D29" s="52">
        <f t="shared" si="3"/>
        <v>1.7398402502449062E-2</v>
      </c>
      <c r="E29" s="52">
        <f t="shared" si="4"/>
        <v>7.5000069865044136E-2</v>
      </c>
      <c r="F29" s="52">
        <f t="shared" si="5"/>
        <v>0.21344696286312323</v>
      </c>
      <c r="G29" s="167">
        <f>G28+0.02</f>
        <v>7.5000000000000011E-2</v>
      </c>
    </row>
    <row r="30" spans="1:7">
      <c r="A30" s="20">
        <v>4</v>
      </c>
      <c r="B30" s="52">
        <v>0.59729599160023428</v>
      </c>
      <c r="C30" s="52">
        <v>0.44459198415728723</v>
      </c>
      <c r="D30" s="52">
        <f t="shared" si="3"/>
        <v>-4.1887975757521456E-2</v>
      </c>
      <c r="E30" s="52">
        <f t="shared" si="4"/>
        <v>9.4999999980863614E-2</v>
      </c>
      <c r="F30" s="52">
        <f t="shared" si="5"/>
        <v>0.13833218187719806</v>
      </c>
      <c r="G30" s="167">
        <f>G29+0.02</f>
        <v>9.5000000000000015E-2</v>
      </c>
    </row>
    <row r="31" spans="1:7">
      <c r="A31" s="20">
        <v>5</v>
      </c>
      <c r="B31" s="52">
        <v>0.68557187421868826</v>
      </c>
      <c r="C31" s="52">
        <v>0.37114374843641595</v>
      </c>
      <c r="D31" s="52">
        <f t="shared" si="3"/>
        <v>-5.6715622655104214E-2</v>
      </c>
      <c r="E31" s="52">
        <f>SUMPRODUCT(B31:D31,$B$8:$D$8)</f>
        <v>0.10000000000001921</v>
      </c>
      <c r="F31" s="52">
        <f t="shared" si="5"/>
        <v>0.13489209144555622</v>
      </c>
      <c r="G31" s="167">
        <v>0.1</v>
      </c>
    </row>
    <row r="32" spans="1:7">
      <c r="A32" s="20">
        <v>6</v>
      </c>
      <c r="B32" s="52">
        <v>0.86211364270879642</v>
      </c>
      <c r="C32" s="52">
        <v>0.22422728541771322</v>
      </c>
      <c r="D32" s="52">
        <f t="shared" si="3"/>
        <v>-8.6340928126509731E-2</v>
      </c>
      <c r="E32" s="52">
        <f t="shared" si="4"/>
        <v>0.10999999999999759</v>
      </c>
      <c r="F32" s="52">
        <f t="shared" si="5"/>
        <v>0.15203728178199077</v>
      </c>
      <c r="G32" s="167">
        <v>0.11</v>
      </c>
    </row>
    <row r="33" spans="1:7">
      <c r="A33" s="20">
        <v>7</v>
      </c>
      <c r="B33" s="52">
        <v>1.3917544537454607</v>
      </c>
      <c r="C33" s="52">
        <v>-0.21649109250884283</v>
      </c>
      <c r="D33" s="52">
        <f t="shared" si="3"/>
        <v>-0.1752633612366179</v>
      </c>
      <c r="E33" s="52">
        <f t="shared" si="4"/>
        <v>0.13999999999999527</v>
      </c>
      <c r="F33" s="52">
        <f t="shared" si="5"/>
        <v>0.30375654930211271</v>
      </c>
      <c r="G33" s="167">
        <v>0.14000000000000001</v>
      </c>
    </row>
    <row r="34" spans="1:7">
      <c r="A34" s="20">
        <v>8</v>
      </c>
      <c r="B34" s="52">
        <v>1.7448453016545531</v>
      </c>
      <c r="C34" s="52">
        <v>-0.51030939669140152</v>
      </c>
      <c r="D34" s="52">
        <f t="shared" si="3"/>
        <v>-0.23453590496315169</v>
      </c>
      <c r="E34" s="52">
        <f t="shared" si="4"/>
        <v>0.16000000000001013</v>
      </c>
      <c r="F34" s="52">
        <f t="shared" si="5"/>
        <v>0.42860057583758548</v>
      </c>
      <c r="G34" s="167">
        <f>G33+0.02</f>
        <v>0.16</v>
      </c>
    </row>
    <row r="35" spans="1:7">
      <c r="A35" s="20">
        <v>9</v>
      </c>
      <c r="B35" s="52">
        <v>2.0979236210396461</v>
      </c>
      <c r="C35" s="52">
        <v>-0.8041527579200568</v>
      </c>
      <c r="D35" s="52">
        <f t="shared" si="3"/>
        <v>-0.29377086311958944</v>
      </c>
      <c r="E35" s="52">
        <f t="shared" si="4"/>
        <v>0.17999999999998698</v>
      </c>
      <c r="F35" s="52">
        <f t="shared" si="5"/>
        <v>0.55802486771327764</v>
      </c>
      <c r="G35" s="167">
        <f>G34+0.02</f>
        <v>0.18</v>
      </c>
    </row>
    <row r="36" spans="1:7">
      <c r="A36" s="20">
        <v>10</v>
      </c>
      <c r="B36" s="52">
        <v>3.6868560616660346</v>
      </c>
      <c r="C36" s="52">
        <v>-2.1262878766685409</v>
      </c>
      <c r="D36" s="52">
        <f t="shared" si="3"/>
        <v>-0.56056818499749372</v>
      </c>
      <c r="E36" s="52">
        <f t="shared" si="4"/>
        <v>0.27000000000001223</v>
      </c>
      <c r="F36" s="52">
        <f t="shared" si="5"/>
        <v>1.155320223828924</v>
      </c>
      <c r="G36" s="167">
        <v>0.27</v>
      </c>
    </row>
    <row r="38" spans="1:7">
      <c r="F38" s="20">
        <f>SUM(F27:F37)</f>
        <v>3.8686075399748545</v>
      </c>
    </row>
    <row r="40" spans="1:7" ht="21" customHeight="1">
      <c r="A40" s="36" t="s">
        <v>167</v>
      </c>
    </row>
    <row r="41" spans="1:7" ht="15.75" customHeight="1">
      <c r="A41" s="38" t="s">
        <v>17</v>
      </c>
      <c r="B41" s="166" t="s">
        <v>495</v>
      </c>
      <c r="C41" s="166" t="s">
        <v>496</v>
      </c>
      <c r="D41" s="166" t="s">
        <v>497</v>
      </c>
      <c r="E41" s="38" t="s">
        <v>13</v>
      </c>
      <c r="F41" s="38" t="s">
        <v>168</v>
      </c>
      <c r="G41" s="38" t="s">
        <v>169</v>
      </c>
    </row>
    <row r="42" spans="1:7">
      <c r="B42" s="20">
        <v>0.82093157870311761</v>
      </c>
      <c r="C42" s="20">
        <v>0.25849426766995171</v>
      </c>
      <c r="D42" s="20">
        <f>1-SUM(B42:C42)</f>
        <v>-7.9425846373069264E-2</v>
      </c>
      <c r="E42" s="20">
        <f>SUMPRODUCT(B42:D42,$B$8:$D$8)</f>
        <v>0.10766737779472568</v>
      </c>
      <c r="F42" s="20">
        <f>SQRT(SUMPRODUCT(MMULT(B42:D42,$B$3:$D$5),B42:D42))</f>
        <v>0.14545482006573032</v>
      </c>
      <c r="G42" s="20">
        <f>(E42-E8)/F42</f>
        <v>0.39646247383665989</v>
      </c>
    </row>
    <row r="44" spans="1:7">
      <c r="E44" s="20" t="s">
        <v>51</v>
      </c>
      <c r="F44" s="20" t="s">
        <v>52</v>
      </c>
    </row>
    <row r="45" spans="1:7">
      <c r="D45" s="20" t="s">
        <v>170</v>
      </c>
      <c r="E45" s="20">
        <f>0</f>
        <v>0</v>
      </c>
      <c r="F45" s="39">
        <f>E8</f>
        <v>0.05</v>
      </c>
    </row>
    <row r="46" spans="1:7">
      <c r="D46" s="20" t="s">
        <v>171</v>
      </c>
      <c r="E46" s="20">
        <v>0.65</v>
      </c>
      <c r="F46" s="20">
        <f>F45+G42*E46</f>
        <v>0.30770060799382892</v>
      </c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3"/>
  <dimension ref="A3:XFD1048575"/>
  <sheetViews>
    <sheetView workbookViewId="0">
      <selection activeCell="C9" sqref="C9"/>
    </sheetView>
  </sheetViews>
  <sheetFormatPr defaultRowHeight="14.5"/>
  <cols>
    <col min="1" max="1" width="12.81640625" bestFit="1" customWidth="1"/>
    <col min="2" max="2" width="10.81640625" bestFit="1" customWidth="1"/>
    <col min="3" max="3" width="12.1796875" bestFit="1" customWidth="1"/>
    <col min="4" max="5" width="12.81640625" bestFit="1" customWidth="1"/>
  </cols>
  <sheetData>
    <row r="3" spans="1:6">
      <c r="B3" t="s">
        <v>172</v>
      </c>
      <c r="C3" t="s">
        <v>173</v>
      </c>
      <c r="D3" t="s">
        <v>174</v>
      </c>
      <c r="E3" t="s">
        <v>175</v>
      </c>
      <c r="F3" t="s">
        <v>159</v>
      </c>
    </row>
    <row r="4" spans="1:6">
      <c r="A4" t="s">
        <v>13</v>
      </c>
      <c r="B4" s="4">
        <v>0.08</v>
      </c>
      <c r="C4" s="6">
        <v>0.1</v>
      </c>
      <c r="D4" s="4">
        <v>0.05</v>
      </c>
      <c r="E4" s="4">
        <v>0.06</v>
      </c>
      <c r="F4" s="4">
        <v>0.01</v>
      </c>
    </row>
    <row r="6" spans="1:6">
      <c r="B6" t="s">
        <v>176</v>
      </c>
    </row>
    <row r="7" spans="1:6">
      <c r="B7" t="s">
        <v>172</v>
      </c>
      <c r="C7" t="s">
        <v>173</v>
      </c>
      <c r="D7" t="s">
        <v>174</v>
      </c>
      <c r="E7" t="s">
        <v>175</v>
      </c>
    </row>
    <row r="8" spans="1:6">
      <c r="A8" t="s">
        <v>172</v>
      </c>
      <c r="B8">
        <v>2.2499999999999999E-2</v>
      </c>
      <c r="C8">
        <v>6.0000000000000001E-3</v>
      </c>
      <c r="D8">
        <v>3.0000000000000001E-3</v>
      </c>
      <c r="E8">
        <v>5.2500000000000003E-3</v>
      </c>
    </row>
    <row r="9" spans="1:6">
      <c r="A9" t="s">
        <v>173</v>
      </c>
      <c r="B9">
        <v>6.0000000000000001E-3</v>
      </c>
      <c r="C9">
        <v>4.0000000000000008E-2</v>
      </c>
      <c r="D9">
        <v>-8.0000000000000019E-3</v>
      </c>
      <c r="E9">
        <v>-1.0500000000000001E-2</v>
      </c>
    </row>
    <row r="10" spans="1:6">
      <c r="A10" t="s">
        <v>174</v>
      </c>
      <c r="B10">
        <v>3.0000000000000001E-3</v>
      </c>
      <c r="C10">
        <v>-8.0000000000000019E-3</v>
      </c>
      <c r="D10">
        <v>0.16</v>
      </c>
      <c r="E10">
        <v>1.9599999999999999E-2</v>
      </c>
    </row>
    <row r="11" spans="1:6">
      <c r="A11" t="s">
        <v>175</v>
      </c>
      <c r="B11">
        <v>5.2500000000000003E-3</v>
      </c>
      <c r="C11">
        <v>-1.0500000000000001E-2</v>
      </c>
      <c r="D11">
        <v>1.9599999999999999E-2</v>
      </c>
      <c r="E11">
        <v>0.1225</v>
      </c>
    </row>
    <row r="13" spans="1:6">
      <c r="A13" t="s">
        <v>6</v>
      </c>
      <c r="B13">
        <v>1</v>
      </c>
      <c r="C13">
        <v>1.0201551779783511</v>
      </c>
      <c r="D13">
        <v>0.1386915190257931</v>
      </c>
      <c r="E13">
        <v>0.23417224886162041</v>
      </c>
    </row>
    <row r="14" spans="1:6">
      <c r="A14" t="s">
        <v>13</v>
      </c>
      <c r="B14">
        <f>SUMPRODUCT(B13:E13,B4:E4)</f>
        <v>0.20300042868082199</v>
      </c>
    </row>
    <row r="15" spans="1:6">
      <c r="A15" t="s">
        <v>24</v>
      </c>
      <c r="B15">
        <f>SUMPRODUCT(MMULT(B13:E13,B8:E11),B13:E13)</f>
        <v>8.3449229418380677E-2</v>
      </c>
    </row>
    <row r="16" spans="1:6">
      <c r="A16" t="s">
        <v>177</v>
      </c>
      <c r="B16">
        <f>SQRT(B15)</f>
        <v>0.28887580275679142</v>
      </c>
    </row>
    <row r="17" spans="1:3">
      <c r="A17" t="s">
        <v>169</v>
      </c>
      <c r="B17">
        <f>(B14-0.01)/B16</f>
        <v>0.66810867105858551</v>
      </c>
    </row>
    <row r="19" spans="1:3">
      <c r="B19" t="s">
        <v>178</v>
      </c>
    </row>
    <row r="20" spans="1:3">
      <c r="A20" t="s">
        <v>172</v>
      </c>
      <c r="B20">
        <f>B13</f>
        <v>1</v>
      </c>
      <c r="C20">
        <f>B20/(1+$C$13)</f>
        <v>0.49501147778198873</v>
      </c>
    </row>
    <row r="21" spans="1:3">
      <c r="A21" t="s">
        <v>179</v>
      </c>
      <c r="B21">
        <f>C13</f>
        <v>1.0201551779783511</v>
      </c>
      <c r="C21">
        <f>B21/(1+$C$13)</f>
        <v>0.50498852221801127</v>
      </c>
    </row>
    <row r="22" spans="1:3">
      <c r="A22" t="s">
        <v>180</v>
      </c>
      <c r="B22">
        <f>D13</f>
        <v>0.1386915190257931</v>
      </c>
      <c r="C22">
        <f>B22/(1+$C$13)</f>
        <v>6.8653893788786655E-2</v>
      </c>
    </row>
    <row r="23" spans="1:3">
      <c r="A23" t="s">
        <v>181</v>
      </c>
      <c r="B23">
        <f>E13</f>
        <v>0.23417224886162041</v>
      </c>
      <c r="C23">
        <f>B23/(1+$C$13)</f>
        <v>0.11591795096452234</v>
      </c>
    </row>
    <row r="25" spans="1:3">
      <c r="C25">
        <f>SUM(C20:C21)</f>
        <v>1</v>
      </c>
    </row>
    <row r="1048550" spans="16384:16384">
      <c r="XFD1048550">
        <f t="array" ref="XFD1048550">solver_pre</f>
        <v>9.9999999999999995E-7</v>
      </c>
    </row>
    <row r="1048551" spans="16384:16384">
      <c r="XFD1048551">
        <f t="array" ref="XFD1048551">solver_scl</f>
        <v>1</v>
      </c>
    </row>
    <row r="1048552" spans="16384:16384">
      <c r="XFD1048552">
        <f t="array" ref="XFD1048552">solver_rlx</f>
        <v>2</v>
      </c>
    </row>
    <row r="1048553" spans="16384:16384">
      <c r="XFD1048553">
        <f t="array" ref="XFD1048553">solver_tol</f>
        <v>0.01</v>
      </c>
    </row>
    <row r="1048554" spans="16384:16384">
      <c r="XFD1048554">
        <f t="array" ref="XFD1048554">solver_cvg</f>
        <v>1E-4</v>
      </c>
    </row>
    <row r="1048555" spans="16384:16384">
      <c r="XFD1048555" t="e">
        <f t="array" ref="XFD1048555">AREAS(solver_adj1)</f>
        <v>#NAME?</v>
      </c>
    </row>
    <row r="1048556" spans="16384:16384">
      <c r="XFD1048556">
        <f t="array" ref="XFD1048556">solver_ssz</f>
        <v>100</v>
      </c>
    </row>
    <row r="1048557" spans="16384:16384">
      <c r="XFD1048557">
        <f t="array" ref="XFD1048557">solver_rsd</f>
        <v>0</v>
      </c>
    </row>
    <row r="1048558" spans="16384:16384">
      <c r="XFD1048558">
        <f t="array" ref="XFD1048558">solver_mrt</f>
        <v>7.4999999999999997E-2</v>
      </c>
    </row>
    <row r="1048559" spans="16384:16384">
      <c r="XFD1048559">
        <f t="array" ref="XFD1048559">solver_mni</f>
        <v>30</v>
      </c>
    </row>
    <row r="1048560" spans="16384:16384">
      <c r="XFD1048560">
        <f t="array" ref="XFD1048560">solver_rbv</f>
        <v>1</v>
      </c>
    </row>
    <row r="1048561" spans="16384:16384">
      <c r="XFD1048561">
        <f t="array" ref="XFD1048561">solver_neg</f>
        <v>2</v>
      </c>
    </row>
    <row r="1048562" spans="16384:16384">
      <c r="XFD1048562" t="e">
        <f t="array" ref="XFD1048562">solver_ntr</f>
        <v>#NAME?</v>
      </c>
    </row>
    <row r="1048563" spans="16384:16384">
      <c r="XFD1048563" t="e">
        <f t="array" ref="XFD1048563">solver_acc</f>
        <v>#NAME?</v>
      </c>
    </row>
    <row r="1048564" spans="16384:16384">
      <c r="XFD1048564" t="e">
        <f t="array" ref="XFD1048564">solver_res</f>
        <v>#NAME?</v>
      </c>
    </row>
    <row r="1048565" spans="16384:16384">
      <c r="XFD1048565" t="e">
        <f t="array" ref="XFD1048565">solver_ars</f>
        <v>#NAME?</v>
      </c>
    </row>
    <row r="1048566" spans="16384:16384">
      <c r="XFD1048566" t="e">
        <f t="array" ref="XFD1048566">solver_sta</f>
        <v>#NAME?</v>
      </c>
    </row>
    <row r="1048567" spans="16384:16384">
      <c r="XFD1048567" t="e">
        <f t="array" ref="XFD1048567">solver_met</f>
        <v>#NAME?</v>
      </c>
    </row>
    <row r="1048568" spans="16384:16384">
      <c r="XFD1048568" t="e">
        <f t="array" ref="XFD1048568">solver_soc</f>
        <v>#NAME?</v>
      </c>
    </row>
    <row r="1048569" spans="16384:16384">
      <c r="XFD1048569" t="e">
        <f t="array" ref="XFD1048569">solver_lpt</f>
        <v>#NAME?</v>
      </c>
    </row>
    <row r="1048570" spans="16384:16384">
      <c r="XFD1048570" t="e">
        <f t="array" ref="XFD1048570">solver_lpp</f>
        <v>#NAME?</v>
      </c>
    </row>
    <row r="1048571" spans="16384:16384">
      <c r="XFD1048571" t="e">
        <f t="array" ref="XFD1048571">solver_gap</f>
        <v>#NAME?</v>
      </c>
    </row>
    <row r="1048572" spans="16384:16384">
      <c r="XFD1048572" t="e">
        <f t="array" ref="XFD1048572">solver_ips</f>
        <v>#NAME?</v>
      </c>
    </row>
    <row r="1048573" spans="16384:16384">
      <c r="XFD1048573" t="e">
        <f t="array" ref="XFD1048573">solver_fea</f>
        <v>#NAME?</v>
      </c>
    </row>
    <row r="1048574" spans="16384:16384">
      <c r="XFD1048574" t="e">
        <f t="array" ref="XFD1048574">solver_ipi</f>
        <v>#NAME?</v>
      </c>
    </row>
    <row r="1048575" spans="16384:16384">
      <c r="XFD1048575" t="e">
        <f t="array" ref="XFD1048575">solver_ipd</f>
        <v>#NAME?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4"/>
  <dimension ref="A1:Q52"/>
  <sheetViews>
    <sheetView showGridLines="0" workbookViewId="0">
      <pane ySplit="4" topLeftCell="A23" activePane="bottomLeft" state="frozen"/>
      <selection activeCell="N35" sqref="N35"/>
      <selection pane="bottomLeft" activeCell="G43" sqref="G43"/>
    </sheetView>
  </sheetViews>
  <sheetFormatPr defaultColWidth="9.1796875" defaultRowHeight="14.5"/>
  <cols>
    <col min="1" max="1" width="10.54296875" bestFit="1" customWidth="1"/>
    <col min="5" max="5" width="12" bestFit="1" customWidth="1"/>
    <col min="6" max="6" width="12.54296875" bestFit="1" customWidth="1"/>
    <col min="7" max="7" width="27.54296875" customWidth="1"/>
    <col min="8" max="8" width="12.54296875" bestFit="1" customWidth="1"/>
    <col min="9" max="9" width="21.453125" customWidth="1"/>
    <col min="10" max="10" width="8" customWidth="1"/>
    <col min="12" max="12" width="8.453125" customWidth="1"/>
    <col min="13" max="13" width="12.54296875" bestFit="1" customWidth="1"/>
    <col min="14" max="14" width="16" customWidth="1"/>
    <col min="15" max="15" width="10.1796875" customWidth="1"/>
    <col min="16" max="16" width="14" customWidth="1"/>
    <col min="17" max="17" width="14.81640625" customWidth="1"/>
  </cols>
  <sheetData>
    <row r="1" spans="1:17">
      <c r="A1" s="1" t="s">
        <v>64</v>
      </c>
      <c r="B1" s="197">
        <v>2E-3</v>
      </c>
      <c r="F1" s="278" t="s">
        <v>60</v>
      </c>
      <c r="G1" s="277"/>
      <c r="H1" s="277"/>
      <c r="I1" s="277"/>
      <c r="J1" s="1"/>
      <c r="N1" s="54" t="s">
        <v>589</v>
      </c>
      <c r="P1" s="1"/>
      <c r="Q1" s="1"/>
    </row>
    <row r="2" spans="1:17">
      <c r="A2" s="1"/>
      <c r="B2" s="276"/>
      <c r="C2" s="277"/>
      <c r="D2" s="277"/>
      <c r="E2" s="3"/>
      <c r="F2" s="55"/>
      <c r="G2" s="54" t="s">
        <v>584</v>
      </c>
      <c r="H2" s="53"/>
      <c r="I2" s="54" t="s">
        <v>584</v>
      </c>
      <c r="J2" s="1"/>
      <c r="N2" s="54" t="s">
        <v>586</v>
      </c>
      <c r="P2" s="1"/>
      <c r="Q2" s="1"/>
    </row>
    <row r="3" spans="1:17">
      <c r="B3" s="276" t="s">
        <v>61</v>
      </c>
      <c r="C3" s="277"/>
      <c r="D3" s="277"/>
      <c r="E3" s="3"/>
      <c r="F3" s="55"/>
      <c r="G3" s="54" t="s">
        <v>182</v>
      </c>
      <c r="H3" s="54"/>
      <c r="I3" s="54" t="s">
        <v>183</v>
      </c>
      <c r="J3" s="3"/>
      <c r="N3" s="54" t="s">
        <v>588</v>
      </c>
      <c r="P3" s="3"/>
      <c r="Q3" s="3"/>
    </row>
    <row r="4" spans="1:17" ht="23.5">
      <c r="B4" s="1" t="s">
        <v>17</v>
      </c>
      <c r="C4" s="1" t="s">
        <v>182</v>
      </c>
      <c r="D4" s="1" t="s">
        <v>183</v>
      </c>
      <c r="E4" s="1"/>
      <c r="F4" s="56" t="s">
        <v>184</v>
      </c>
      <c r="G4" s="201" t="s">
        <v>185</v>
      </c>
      <c r="H4" s="56" t="s">
        <v>183</v>
      </c>
      <c r="I4" s="201" t="s">
        <v>186</v>
      </c>
      <c r="J4" s="28"/>
      <c r="N4" s="200" t="s">
        <v>587</v>
      </c>
      <c r="P4" s="3"/>
      <c r="Q4" s="3"/>
    </row>
    <row r="5" spans="1:17">
      <c r="A5" s="43">
        <v>43496</v>
      </c>
      <c r="B5">
        <v>1.52E-2</v>
      </c>
      <c r="C5">
        <v>5.1196760969389549E-2</v>
      </c>
      <c r="D5">
        <v>2.8553573927863316E-2</v>
      </c>
      <c r="F5">
        <f t="shared" ref="F5:F40" si="0">C5-$B$1</f>
        <v>4.9196760969389547E-2</v>
      </c>
      <c r="G5" s="29">
        <f t="shared" ref="G5:G39" si="1">(1-$G$42)*B5+$G$42*C5 -$B$1</f>
        <v>1.32E-2</v>
      </c>
      <c r="H5">
        <f t="shared" ref="H5:H40" si="2">D5-$B$1</f>
        <v>2.6553573927863318E-2</v>
      </c>
      <c r="I5" s="29">
        <f>(1-$I$42)*B5+$I$42*D5 -$B$1</f>
        <v>1.32E-2</v>
      </c>
      <c r="J5" s="29"/>
      <c r="N5" s="29">
        <f t="shared" ref="N5:N39" si="3">$K$42*B5+$L$42*C5+$M$42*D5-$B$1</f>
        <v>1.1076725735384292E-2</v>
      </c>
    </row>
    <row r="6" spans="1:17">
      <c r="A6" s="43">
        <v>43524</v>
      </c>
      <c r="B6">
        <v>5.5500000000000001E-2</v>
      </c>
      <c r="C6">
        <v>-1.853458330196971E-2</v>
      </c>
      <c r="D6">
        <v>0.13899654482346691</v>
      </c>
      <c r="F6">
        <f t="shared" si="0"/>
        <v>-2.0534583301969708E-2</v>
      </c>
      <c r="G6" s="29">
        <f t="shared" si="1"/>
        <v>5.3499999999999999E-2</v>
      </c>
      <c r="H6">
        <f t="shared" si="2"/>
        <v>0.1369965448234669</v>
      </c>
      <c r="I6" s="29">
        <f t="shared" ref="I6:I40" si="4">(1-$I$42)*B6+$I$42*D6 -$B$1</f>
        <v>5.3499999999999999E-2</v>
      </c>
      <c r="J6" s="29"/>
      <c r="N6" s="29">
        <f t="shared" si="3"/>
        <v>4.5747255152225538E-2</v>
      </c>
    </row>
    <row r="7" spans="1:17">
      <c r="A7" s="43">
        <v>43553</v>
      </c>
      <c r="B7">
        <v>3.2800000000000003E-2</v>
      </c>
      <c r="C7">
        <v>6.6056911368824883E-2</v>
      </c>
      <c r="D7">
        <v>-1.442585624041841E-2</v>
      </c>
      <c r="F7">
        <f t="shared" si="0"/>
        <v>6.4056911368824881E-2</v>
      </c>
      <c r="G7" s="29">
        <f t="shared" si="1"/>
        <v>3.0800000000000001E-2</v>
      </c>
      <c r="H7">
        <f t="shared" si="2"/>
        <v>-1.642585624041841E-2</v>
      </c>
      <c r="I7" s="29">
        <f t="shared" si="4"/>
        <v>3.0800000000000001E-2</v>
      </c>
      <c r="J7" s="29"/>
      <c r="N7" s="29">
        <f t="shared" si="3"/>
        <v>2.6218197639513476E-2</v>
      </c>
    </row>
    <row r="8" spans="1:17">
      <c r="A8" s="43">
        <v>43585</v>
      </c>
      <c r="B8">
        <v>3.5200000000000002E-2</v>
      </c>
      <c r="C8">
        <v>-6.2079311700027562E-2</v>
      </c>
      <c r="D8">
        <v>1.9680886379925083E-2</v>
      </c>
      <c r="F8">
        <f t="shared" si="0"/>
        <v>-6.4079311700027564E-2</v>
      </c>
      <c r="G8" s="29">
        <f t="shared" si="1"/>
        <v>3.32E-2</v>
      </c>
      <c r="H8">
        <f t="shared" si="2"/>
        <v>1.7680886379925084E-2</v>
      </c>
      <c r="I8" s="29">
        <f t="shared" si="4"/>
        <v>3.32E-2</v>
      </c>
      <c r="J8" s="29"/>
      <c r="N8" s="29">
        <f t="shared" si="3"/>
        <v>2.8282943808258361E-2</v>
      </c>
    </row>
    <row r="9" spans="1:17">
      <c r="A9" s="43">
        <v>43616</v>
      </c>
      <c r="B9">
        <v>-1.46E-2</v>
      </c>
      <c r="C9">
        <v>2.640209370069142E-2</v>
      </c>
      <c r="D9">
        <v>1.2708479553652563E-2</v>
      </c>
      <c r="F9">
        <f t="shared" si="0"/>
        <v>2.4402093700691421E-2</v>
      </c>
      <c r="G9" s="29">
        <f t="shared" si="1"/>
        <v>-1.66E-2</v>
      </c>
      <c r="H9">
        <f t="shared" si="2"/>
        <v>1.0708479553652563E-2</v>
      </c>
      <c r="I9" s="29">
        <f t="shared" si="4"/>
        <v>-1.66E-2</v>
      </c>
      <c r="J9" s="29"/>
      <c r="N9" s="29">
        <f t="shared" si="3"/>
        <v>-1.4560539193198071E-2</v>
      </c>
    </row>
    <row r="10" spans="1:17">
      <c r="A10" s="43">
        <v>43644</v>
      </c>
      <c r="B10">
        <v>-1.5800000000000002E-2</v>
      </c>
      <c r="C10">
        <v>5.7301831223946727E-2</v>
      </c>
      <c r="D10">
        <v>-2.8290267191669757E-2</v>
      </c>
      <c r="F10">
        <f t="shared" si="0"/>
        <v>5.5301831223946725E-2</v>
      </c>
      <c r="G10" s="29">
        <f t="shared" si="1"/>
        <v>-1.7800000000000003E-2</v>
      </c>
      <c r="H10">
        <f t="shared" si="2"/>
        <v>-3.0290267191669759E-2</v>
      </c>
      <c r="I10" s="29">
        <f t="shared" si="4"/>
        <v>-1.7800000000000003E-2</v>
      </c>
      <c r="J10" s="29"/>
      <c r="N10" s="29">
        <f t="shared" si="3"/>
        <v>-1.5592912277570516E-2</v>
      </c>
    </row>
    <row r="11" spans="1:17">
      <c r="A11" s="43">
        <v>43677</v>
      </c>
      <c r="B11">
        <v>-4.1900000000000007E-2</v>
      </c>
      <c r="C11">
        <v>9.3312521164593654E-2</v>
      </c>
      <c r="D11">
        <v>-0.11730741492018099</v>
      </c>
      <c r="F11">
        <f t="shared" si="0"/>
        <v>9.1312521164593652E-2</v>
      </c>
      <c r="G11" s="29">
        <f t="shared" si="1"/>
        <v>-4.3900000000000008E-2</v>
      </c>
      <c r="H11">
        <f t="shared" si="2"/>
        <v>-0.11930741492018099</v>
      </c>
      <c r="I11" s="29">
        <f t="shared" si="4"/>
        <v>-4.3900000000000008E-2</v>
      </c>
      <c r="J11" s="29"/>
      <c r="N11" s="29">
        <f t="shared" si="3"/>
        <v>-3.8047026862671182E-2</v>
      </c>
    </row>
    <row r="12" spans="1:17">
      <c r="A12" s="43">
        <v>43707</v>
      </c>
      <c r="B12">
        <v>-8.2899999999999988E-2</v>
      </c>
      <c r="C12">
        <v>-5.259082781559183E-2</v>
      </c>
      <c r="D12">
        <v>-0.12185904752810514</v>
      </c>
      <c r="F12">
        <f t="shared" si="0"/>
        <v>-5.4590827815591832E-2</v>
      </c>
      <c r="G12" s="29">
        <f t="shared" si="1"/>
        <v>-8.4899999999999989E-2</v>
      </c>
      <c r="H12">
        <f t="shared" si="2"/>
        <v>-0.12385904752810514</v>
      </c>
      <c r="I12" s="29">
        <f t="shared" si="4"/>
        <v>-8.4899999999999989E-2</v>
      </c>
      <c r="J12" s="29"/>
      <c r="N12" s="29">
        <f t="shared" si="3"/>
        <v>-7.3319773912062999E-2</v>
      </c>
    </row>
    <row r="13" spans="1:17">
      <c r="A13" s="43">
        <v>43738</v>
      </c>
      <c r="B13">
        <v>-0.1147</v>
      </c>
      <c r="C13">
        <v>7.9606518422525682E-2</v>
      </c>
      <c r="D13">
        <v>-0.11770295469189349</v>
      </c>
      <c r="F13">
        <f t="shared" si="0"/>
        <v>7.760651842252568E-2</v>
      </c>
      <c r="G13" s="29">
        <f t="shared" si="1"/>
        <v>-0.1167</v>
      </c>
      <c r="H13">
        <f t="shared" si="2"/>
        <v>-0.11970295469189349</v>
      </c>
      <c r="I13" s="29">
        <f t="shared" si="4"/>
        <v>-0.1167</v>
      </c>
      <c r="J13" s="29"/>
      <c r="N13" s="29">
        <f t="shared" si="3"/>
        <v>-0.10067766064793278</v>
      </c>
    </row>
    <row r="14" spans="1:17">
      <c r="A14" s="43">
        <v>43769</v>
      </c>
      <c r="B14">
        <v>0.1537</v>
      </c>
      <c r="C14">
        <v>-0.1462163753778854</v>
      </c>
      <c r="D14">
        <v>0.21823588408241573</v>
      </c>
      <c r="F14">
        <f t="shared" si="0"/>
        <v>-0.1482163753778854</v>
      </c>
      <c r="G14" s="29">
        <f t="shared" si="1"/>
        <v>0.1517</v>
      </c>
      <c r="H14">
        <f t="shared" si="2"/>
        <v>0.21623588408241573</v>
      </c>
      <c r="I14" s="29">
        <f t="shared" si="4"/>
        <v>0.1517</v>
      </c>
      <c r="J14" s="29"/>
      <c r="N14" s="29">
        <f t="shared" si="3"/>
        <v>0.13022978589003723</v>
      </c>
    </row>
    <row r="15" spans="1:17">
      <c r="A15" s="43">
        <v>43798</v>
      </c>
      <c r="B15">
        <v>-1.6000000000000001E-3</v>
      </c>
      <c r="C15">
        <v>-6.3942893123956727E-4</v>
      </c>
      <c r="D15">
        <v>-5.86184648782868E-2</v>
      </c>
      <c r="F15">
        <f t="shared" si="0"/>
        <v>-2.6394289312395673E-3</v>
      </c>
      <c r="G15" s="29">
        <f t="shared" si="1"/>
        <v>-3.5999999999999999E-3</v>
      </c>
      <c r="H15">
        <f t="shared" si="2"/>
        <v>-6.0618464878286801E-2</v>
      </c>
      <c r="I15" s="29">
        <f t="shared" si="4"/>
        <v>-3.5999999999999999E-3</v>
      </c>
      <c r="J15" s="29"/>
      <c r="N15" s="29">
        <f t="shared" si="3"/>
        <v>-3.3764974458299259E-3</v>
      </c>
    </row>
    <row r="16" spans="1:17">
      <c r="A16" s="43">
        <v>43830</v>
      </c>
      <c r="B16">
        <v>-8.9999999999999976E-4</v>
      </c>
      <c r="C16">
        <v>-6.8063815185508848E-3</v>
      </c>
      <c r="D16">
        <v>2.8907449134961787E-2</v>
      </c>
      <c r="F16">
        <f t="shared" si="0"/>
        <v>-8.8063815185508848E-3</v>
      </c>
      <c r="G16" s="29">
        <f t="shared" si="1"/>
        <v>-2.8999999999999998E-3</v>
      </c>
      <c r="H16">
        <f t="shared" si="2"/>
        <v>2.6907449134961785E-2</v>
      </c>
      <c r="I16" s="29">
        <f t="shared" si="4"/>
        <v>-2.8999999999999998E-3</v>
      </c>
      <c r="J16" s="29"/>
      <c r="N16" s="29">
        <f t="shared" si="3"/>
        <v>-2.7742798132793329E-3</v>
      </c>
    </row>
    <row r="17" spans="1:14">
      <c r="A17" s="43">
        <v>43861</v>
      </c>
      <c r="B17">
        <v>6.2899999999999998E-2</v>
      </c>
      <c r="C17">
        <v>-2.0432993626379549E-2</v>
      </c>
      <c r="D17">
        <v>5.7915301582242756E-2</v>
      </c>
      <c r="F17">
        <f t="shared" si="0"/>
        <v>-2.2432993626379551E-2</v>
      </c>
      <c r="G17" s="29">
        <f t="shared" si="1"/>
        <v>6.0899999999999996E-2</v>
      </c>
      <c r="H17">
        <f t="shared" si="2"/>
        <v>5.5915301582242755E-2</v>
      </c>
      <c r="I17" s="29">
        <f t="shared" si="4"/>
        <v>6.0899999999999996E-2</v>
      </c>
      <c r="J17" s="29"/>
      <c r="N17" s="29">
        <f t="shared" si="3"/>
        <v>5.2113555839188939E-2</v>
      </c>
    </row>
    <row r="18" spans="1:14">
      <c r="A18" s="43">
        <v>43889</v>
      </c>
      <c r="B18">
        <v>3.9800000000000002E-2</v>
      </c>
      <c r="C18">
        <v>-9.3962398169526687E-2</v>
      </c>
      <c r="D18">
        <v>3.931475676998971E-3</v>
      </c>
      <c r="F18">
        <f t="shared" si="0"/>
        <v>-9.5962398169526689E-2</v>
      </c>
      <c r="G18" s="29">
        <f t="shared" si="1"/>
        <v>3.78E-2</v>
      </c>
      <c r="H18">
        <f t="shared" si="2"/>
        <v>1.931475676998971E-3</v>
      </c>
      <c r="I18" s="29">
        <f t="shared" si="4"/>
        <v>3.78E-2</v>
      </c>
      <c r="J18" s="29"/>
      <c r="N18" s="29">
        <f t="shared" si="3"/>
        <v>3.2240373965019394E-2</v>
      </c>
    </row>
    <row r="19" spans="1:14">
      <c r="A19" s="43">
        <v>43921</v>
      </c>
      <c r="B19">
        <v>1.43E-2</v>
      </c>
      <c r="C19">
        <v>-4.309594638707788E-3</v>
      </c>
      <c r="D19">
        <v>-2.8679639976830616E-2</v>
      </c>
      <c r="F19">
        <f t="shared" si="0"/>
        <v>-6.309594638707788E-3</v>
      </c>
      <c r="G19" s="29">
        <f t="shared" si="1"/>
        <v>1.23E-2</v>
      </c>
      <c r="H19">
        <f t="shared" si="2"/>
        <v>-3.0679639976830618E-2</v>
      </c>
      <c r="I19" s="29">
        <f t="shared" si="4"/>
        <v>1.23E-2</v>
      </c>
      <c r="J19" s="29"/>
      <c r="N19" s="29">
        <f t="shared" si="3"/>
        <v>1.0302445922104959E-2</v>
      </c>
    </row>
    <row r="20" spans="1:14">
      <c r="A20" s="43">
        <v>43951</v>
      </c>
      <c r="B20">
        <v>-1.0699999999999999E-2</v>
      </c>
      <c r="C20">
        <v>2.963075572270148E-2</v>
      </c>
      <c r="D20">
        <v>-1.460316098436603E-2</v>
      </c>
      <c r="F20">
        <f t="shared" si="0"/>
        <v>2.7630755722701482E-2</v>
      </c>
      <c r="G20" s="29">
        <f t="shared" si="1"/>
        <v>-1.2699999999999999E-2</v>
      </c>
      <c r="H20">
        <f t="shared" si="2"/>
        <v>-1.6603160984366032E-2</v>
      </c>
      <c r="I20" s="29">
        <f t="shared" si="4"/>
        <v>-1.2699999999999999E-2</v>
      </c>
      <c r="J20" s="29"/>
      <c r="N20" s="29">
        <f t="shared" si="3"/>
        <v>-1.1205326668987626E-2</v>
      </c>
    </row>
    <row r="21" spans="1:14">
      <c r="A21" s="43">
        <v>43980</v>
      </c>
      <c r="B21">
        <v>-6.8699999999999997E-2</v>
      </c>
      <c r="C21">
        <v>1.5673097906819099E-2</v>
      </c>
      <c r="D21">
        <v>-6.0909566173693884E-2</v>
      </c>
      <c r="F21">
        <f t="shared" si="0"/>
        <v>1.3673097906819099E-2</v>
      </c>
      <c r="G21" s="29">
        <f t="shared" si="1"/>
        <v>-7.0699999999999999E-2</v>
      </c>
      <c r="H21">
        <f t="shared" si="2"/>
        <v>-6.2909566173693879E-2</v>
      </c>
      <c r="I21" s="29">
        <f t="shared" si="4"/>
        <v>-7.0699999999999999E-2</v>
      </c>
      <c r="J21" s="29"/>
      <c r="N21" s="29">
        <f t="shared" si="3"/>
        <v>-6.1103359080322425E-2</v>
      </c>
    </row>
    <row r="22" spans="1:14">
      <c r="A22" s="43">
        <v>44012</v>
      </c>
      <c r="B22">
        <v>3.5099999999999999E-2</v>
      </c>
      <c r="C22">
        <v>-6.290720437901659E-2</v>
      </c>
      <c r="D22">
        <v>5.3683404458320469E-2</v>
      </c>
      <c r="F22">
        <f t="shared" si="0"/>
        <v>-6.4907204379016592E-2</v>
      </c>
      <c r="G22" s="29">
        <f t="shared" si="1"/>
        <v>3.3099999999999997E-2</v>
      </c>
      <c r="H22">
        <f t="shared" si="2"/>
        <v>5.1683404458320467E-2</v>
      </c>
      <c r="I22" s="29">
        <f t="shared" si="4"/>
        <v>3.3099999999999997E-2</v>
      </c>
      <c r="J22" s="29"/>
      <c r="N22" s="29">
        <f t="shared" si="3"/>
        <v>2.8196912717893992E-2</v>
      </c>
    </row>
    <row r="23" spans="1:14">
      <c r="A23" s="43">
        <v>44043</v>
      </c>
      <c r="B23">
        <v>-8.5000000000000006E-3</v>
      </c>
      <c r="C23">
        <v>0.11076292131236989</v>
      </c>
      <c r="D23">
        <v>1.8290198542318344E-2</v>
      </c>
      <c r="F23">
        <f t="shared" si="0"/>
        <v>0.10876292131236989</v>
      </c>
      <c r="G23" s="29">
        <f t="shared" si="1"/>
        <v>-1.0500000000000001E-2</v>
      </c>
      <c r="H23">
        <f t="shared" si="2"/>
        <v>1.6290198542318342E-2</v>
      </c>
      <c r="I23" s="29">
        <f t="shared" si="4"/>
        <v>-1.0500000000000001E-2</v>
      </c>
      <c r="J23" s="29"/>
      <c r="N23" s="29">
        <f t="shared" si="3"/>
        <v>-9.31264268097148E-3</v>
      </c>
    </row>
    <row r="24" spans="1:14">
      <c r="A24" s="43">
        <v>44074</v>
      </c>
      <c r="B24">
        <v>4.1500000000000002E-2</v>
      </c>
      <c r="C24">
        <v>9.0532208511010723E-2</v>
      </c>
      <c r="D24">
        <v>1.278684066246645E-2</v>
      </c>
      <c r="F24">
        <f t="shared" si="0"/>
        <v>8.8532208511010721E-2</v>
      </c>
      <c r="G24" s="29">
        <f>(1-$G$42)*B24+$G$42*C24 -$B$1</f>
        <v>3.95E-2</v>
      </c>
      <c r="H24">
        <f t="shared" si="2"/>
        <v>1.078684066246645E-2</v>
      </c>
      <c r="I24" s="29">
        <f t="shared" si="4"/>
        <v>3.95E-2</v>
      </c>
      <c r="J24" s="29"/>
      <c r="N24" s="29">
        <f t="shared" si="3"/>
        <v>3.3702902501213695E-2</v>
      </c>
    </row>
    <row r="25" spans="1:14">
      <c r="A25" s="43">
        <v>44104</v>
      </c>
      <c r="B25">
        <v>2.7E-2</v>
      </c>
      <c r="C25">
        <v>-5.4887557113902649E-3</v>
      </c>
      <c r="D25">
        <v>-9.7879833003991695E-2</v>
      </c>
      <c r="F25">
        <f t="shared" si="0"/>
        <v>-7.488755711390265E-3</v>
      </c>
      <c r="G25" s="29">
        <f t="shared" si="1"/>
        <v>2.5000000000000001E-2</v>
      </c>
      <c r="H25">
        <f t="shared" si="2"/>
        <v>-9.9879833003991697E-2</v>
      </c>
      <c r="I25" s="29">
        <f t="shared" si="4"/>
        <v>2.5000000000000001E-2</v>
      </c>
      <c r="J25" s="29"/>
      <c r="N25" s="29">
        <f t="shared" si="3"/>
        <v>2.1228394398379993E-2</v>
      </c>
    </row>
    <row r="26" spans="1:14">
      <c r="A26" s="43">
        <v>44134</v>
      </c>
      <c r="B26">
        <v>-8.3999999999999995E-3</v>
      </c>
      <c r="C26">
        <v>7.7859339315323017E-2</v>
      </c>
      <c r="D26">
        <v>6.2305806697206298E-2</v>
      </c>
      <c r="F26">
        <f t="shared" si="0"/>
        <v>7.5859339315323016E-2</v>
      </c>
      <c r="G26" s="29">
        <f t="shared" si="1"/>
        <v>-1.04E-2</v>
      </c>
      <c r="H26">
        <f t="shared" si="2"/>
        <v>6.0305806697206296E-2</v>
      </c>
      <c r="I26" s="29">
        <f t="shared" si="4"/>
        <v>-1.04E-2</v>
      </c>
      <c r="J26" s="29"/>
      <c r="N26" s="29">
        <f t="shared" si="3"/>
        <v>-9.2266115906071075E-3</v>
      </c>
    </row>
    <row r="27" spans="1:14">
      <c r="A27" s="43">
        <v>44165</v>
      </c>
      <c r="B27">
        <v>2.2499999999999999E-2</v>
      </c>
      <c r="C27">
        <v>-5.363140077458059E-2</v>
      </c>
      <c r="D27">
        <v>2.056753358066131E-2</v>
      </c>
      <c r="F27">
        <f t="shared" si="0"/>
        <v>-5.5631400774580592E-2</v>
      </c>
      <c r="G27" s="29">
        <f t="shared" si="1"/>
        <v>2.0499999999999997E-2</v>
      </c>
      <c r="H27">
        <f t="shared" si="2"/>
        <v>1.8567533580661308E-2</v>
      </c>
      <c r="I27" s="29">
        <f t="shared" si="4"/>
        <v>2.0499999999999997E-2</v>
      </c>
      <c r="J27" s="29"/>
      <c r="N27" s="29">
        <f t="shared" si="3"/>
        <v>1.735699533198333E-2</v>
      </c>
    </row>
    <row r="28" spans="1:14">
      <c r="A28" s="43">
        <v>44196</v>
      </c>
      <c r="B28">
        <v>2.9600000000000001E-2</v>
      </c>
      <c r="C28">
        <v>-0.11154005527489699</v>
      </c>
      <c r="D28">
        <v>-1.8678794106262327E-2</v>
      </c>
      <c r="F28">
        <f t="shared" si="0"/>
        <v>-0.11354005527489699</v>
      </c>
      <c r="G28" s="29">
        <f t="shared" si="1"/>
        <v>2.76E-2</v>
      </c>
      <c r="H28">
        <f t="shared" si="2"/>
        <v>-2.0678794106262326E-2</v>
      </c>
      <c r="I28" s="29">
        <f t="shared" si="4"/>
        <v>2.76E-2</v>
      </c>
      <c r="J28" s="29"/>
      <c r="N28" s="29">
        <f t="shared" si="3"/>
        <v>2.3465202747853624E-2</v>
      </c>
    </row>
    <row r="29" spans="1:14">
      <c r="A29" s="43">
        <v>44225</v>
      </c>
      <c r="B29">
        <v>6.6299999999999998E-2</v>
      </c>
      <c r="C29">
        <v>-5.8750751146949901E-2</v>
      </c>
      <c r="D29">
        <v>9.6825707536920755E-2</v>
      </c>
      <c r="F29">
        <f t="shared" si="0"/>
        <v>-6.0750751146949902E-2</v>
      </c>
      <c r="G29" s="29">
        <f t="shared" si="1"/>
        <v>6.4299999999999996E-2</v>
      </c>
      <c r="H29">
        <f t="shared" si="2"/>
        <v>9.4825707536920753E-2</v>
      </c>
      <c r="I29" s="29">
        <f t="shared" si="4"/>
        <v>6.4299999999999996E-2</v>
      </c>
      <c r="J29" s="29"/>
      <c r="N29" s="29">
        <f t="shared" si="3"/>
        <v>5.5038612911577536E-2</v>
      </c>
    </row>
    <row r="30" spans="1:14">
      <c r="A30" s="43">
        <v>44253</v>
      </c>
      <c r="B30">
        <v>1.2500000000000001E-2</v>
      </c>
      <c r="C30">
        <v>0.1089115100229759</v>
      </c>
      <c r="D30">
        <v>-1.9437215884031911E-2</v>
      </c>
      <c r="F30">
        <f t="shared" si="0"/>
        <v>0.1069115100229759</v>
      </c>
      <c r="G30" s="29">
        <f t="shared" si="1"/>
        <v>1.0500000000000001E-2</v>
      </c>
      <c r="H30">
        <f t="shared" si="2"/>
        <v>-2.1437215884031913E-2</v>
      </c>
      <c r="I30" s="29">
        <f t="shared" si="4"/>
        <v>1.0500000000000001E-2</v>
      </c>
      <c r="J30" s="29"/>
      <c r="N30" s="29">
        <f t="shared" si="3"/>
        <v>8.753886295546293E-3</v>
      </c>
    </row>
    <row r="31" spans="1:14">
      <c r="A31" s="43">
        <v>44286</v>
      </c>
      <c r="B31">
        <v>4.8300000000000003E-2</v>
      </c>
      <c r="C31">
        <v>2.6026018344589591E-2</v>
      </c>
      <c r="D31">
        <v>7.7471300650258812E-2</v>
      </c>
      <c r="F31">
        <f t="shared" si="0"/>
        <v>2.4026018344589589E-2</v>
      </c>
      <c r="G31" s="29">
        <f t="shared" si="1"/>
        <v>4.6300000000000001E-2</v>
      </c>
      <c r="H31">
        <f t="shared" si="2"/>
        <v>7.547130065025881E-2</v>
      </c>
      <c r="I31" s="29">
        <f t="shared" si="4"/>
        <v>4.6300000000000001E-2</v>
      </c>
      <c r="J31" s="29"/>
      <c r="N31" s="29">
        <f t="shared" si="3"/>
        <v>3.9553016645990875E-2</v>
      </c>
    </row>
    <row r="32" spans="1:14">
      <c r="A32" s="43">
        <v>44316</v>
      </c>
      <c r="B32">
        <v>-6.0000000000000001E-3</v>
      </c>
      <c r="C32">
        <v>-5.9647771191371643E-2</v>
      </c>
      <c r="D32">
        <v>3.5863591913917383E-3</v>
      </c>
      <c r="F32">
        <f t="shared" si="0"/>
        <v>-6.1647771191371645E-2</v>
      </c>
      <c r="G32" s="29">
        <f t="shared" si="1"/>
        <v>-8.0000000000000002E-3</v>
      </c>
      <c r="H32">
        <f t="shared" si="2"/>
        <v>1.5863591913917383E-3</v>
      </c>
      <c r="I32" s="29">
        <f t="shared" si="4"/>
        <v>-8.0000000000000002E-3</v>
      </c>
      <c r="J32" s="29"/>
      <c r="N32" s="29">
        <f t="shared" si="3"/>
        <v>-7.1618654218622204E-3</v>
      </c>
    </row>
    <row r="33" spans="1:16">
      <c r="A33" s="43">
        <v>44344</v>
      </c>
      <c r="B33">
        <v>4.5100000000000001E-2</v>
      </c>
      <c r="C33">
        <v>-2.7641204976468981E-2</v>
      </c>
      <c r="D33">
        <v>9.2655156828330226E-2</v>
      </c>
      <c r="F33">
        <f t="shared" si="0"/>
        <v>-2.9641204976468979E-2</v>
      </c>
      <c r="G33" s="29">
        <f t="shared" si="1"/>
        <v>4.3099999999999999E-2</v>
      </c>
      <c r="H33">
        <f t="shared" si="2"/>
        <v>9.0655156828330224E-2</v>
      </c>
      <c r="I33" s="29">
        <f t="shared" si="4"/>
        <v>4.3099999999999999E-2</v>
      </c>
      <c r="J33" s="29"/>
      <c r="M33" s="1"/>
      <c r="N33" s="29">
        <f t="shared" si="3"/>
        <v>3.6800021754331023E-2</v>
      </c>
    </row>
    <row r="34" spans="1:16">
      <c r="A34" s="43">
        <v>44377</v>
      </c>
      <c r="B34">
        <v>-8.3999999999999995E-3</v>
      </c>
      <c r="C34">
        <v>8.8427907953730914E-2</v>
      </c>
      <c r="D34">
        <v>7.2113155715611311E-3</v>
      </c>
      <c r="F34">
        <f t="shared" si="0"/>
        <v>8.6427907953730912E-2</v>
      </c>
      <c r="G34" s="29">
        <f t="shared" si="1"/>
        <v>-1.04E-2</v>
      </c>
      <c r="H34">
        <f t="shared" si="2"/>
        <v>5.2113155715611311E-3</v>
      </c>
      <c r="I34" s="29">
        <f t="shared" si="4"/>
        <v>-1.04E-2</v>
      </c>
      <c r="J34" s="29"/>
      <c r="M34" s="1"/>
      <c r="N34" s="29">
        <f t="shared" si="3"/>
        <v>-9.2266115906071075E-3</v>
      </c>
    </row>
    <row r="35" spans="1:16">
      <c r="A35" s="43">
        <v>44407</v>
      </c>
      <c r="B35">
        <v>7.4999999999999997E-2</v>
      </c>
      <c r="C35">
        <v>-1.559869659020922E-2</v>
      </c>
      <c r="D35">
        <v>0.194594180139879</v>
      </c>
      <c r="F35">
        <f t="shared" si="0"/>
        <v>-1.7598696590209219E-2</v>
      </c>
      <c r="G35" s="29">
        <f t="shared" si="1"/>
        <v>7.2999999999999995E-2</v>
      </c>
      <c r="H35">
        <f t="shared" si="2"/>
        <v>0.192594180139879</v>
      </c>
      <c r="I35" s="29">
        <f t="shared" si="4"/>
        <v>7.2999999999999995E-2</v>
      </c>
      <c r="J35" s="29"/>
      <c r="M35" s="1"/>
      <c r="N35" s="29">
        <f t="shared" si="3"/>
        <v>6.2523317773277756E-2</v>
      </c>
    </row>
    <row r="36" spans="1:16">
      <c r="A36" s="43">
        <v>44439</v>
      </c>
      <c r="B36">
        <v>-2.7699999999999999E-2</v>
      </c>
      <c r="C36">
        <v>6.791870983756082E-2</v>
      </c>
      <c r="D36">
        <v>-7.4882049557809666E-3</v>
      </c>
      <c r="F36">
        <f t="shared" si="0"/>
        <v>6.5918709837560818E-2</v>
      </c>
      <c r="G36" s="29">
        <f t="shared" si="1"/>
        <v>-2.9699999999999997E-2</v>
      </c>
      <c r="H36">
        <f t="shared" si="2"/>
        <v>-9.4882049557809666E-3</v>
      </c>
      <c r="I36" s="29">
        <f t="shared" si="4"/>
        <v>-2.9699999999999997E-2</v>
      </c>
      <c r="J36" s="29"/>
      <c r="M36" s="1"/>
      <c r="N36" s="29">
        <f t="shared" si="3"/>
        <v>-2.5830612030930587E-2</v>
      </c>
    </row>
    <row r="37" spans="1:16">
      <c r="A37" s="43">
        <v>44469</v>
      </c>
      <c r="B37">
        <v>5.6399999999999999E-2</v>
      </c>
      <c r="C37">
        <v>-3.682001155311395E-2</v>
      </c>
      <c r="D37">
        <v>0.14636484000827299</v>
      </c>
      <c r="F37">
        <f t="shared" si="0"/>
        <v>-3.8820011553113952E-2</v>
      </c>
      <c r="G37" s="29">
        <f t="shared" si="1"/>
        <v>5.4399999999999997E-2</v>
      </c>
      <c r="H37">
        <f t="shared" si="2"/>
        <v>0.14436484000827299</v>
      </c>
      <c r="I37" s="29">
        <f t="shared" si="4"/>
        <v>5.4399999999999997E-2</v>
      </c>
      <c r="J37" s="29"/>
      <c r="M37" s="1"/>
      <c r="N37" s="29">
        <f t="shared" si="3"/>
        <v>4.6521534965504874E-2</v>
      </c>
    </row>
    <row r="38" spans="1:16">
      <c r="A38" s="43">
        <v>44498</v>
      </c>
      <c r="B38">
        <v>3.7000000000000012E-2</v>
      </c>
      <c r="C38">
        <v>-2.215091565057439E-2</v>
      </c>
      <c r="D38">
        <v>4.7081503909800912E-2</v>
      </c>
      <c r="F38">
        <f t="shared" si="0"/>
        <v>-2.4150915650574388E-2</v>
      </c>
      <c r="G38" s="29">
        <f t="shared" si="1"/>
        <v>3.500000000000001E-2</v>
      </c>
      <c r="H38">
        <f t="shared" si="2"/>
        <v>4.508150390980091E-2</v>
      </c>
      <c r="I38" s="29">
        <f t="shared" si="4"/>
        <v>3.500000000000001E-2</v>
      </c>
      <c r="J38" s="29"/>
      <c r="M38" s="1"/>
      <c r="N38" s="29">
        <f t="shared" si="3"/>
        <v>2.9831503434817039E-2</v>
      </c>
    </row>
    <row r="39" spans="1:16">
      <c r="A39" s="43">
        <v>44530</v>
      </c>
      <c r="B39">
        <v>3.4100000000000012E-2</v>
      </c>
      <c r="C39">
        <v>3.6070988476215531E-2</v>
      </c>
      <c r="D39">
        <v>-2.3073908456216711E-2</v>
      </c>
      <c r="F39">
        <f t="shared" si="0"/>
        <v>3.4070988476215529E-2</v>
      </c>
      <c r="G39" s="29">
        <f t="shared" si="1"/>
        <v>3.210000000000001E-2</v>
      </c>
      <c r="H39">
        <f t="shared" si="2"/>
        <v>-2.5073908456216709E-2</v>
      </c>
      <c r="I39" s="29">
        <f t="shared" si="4"/>
        <v>3.210000000000001E-2</v>
      </c>
      <c r="J39" s="29"/>
      <c r="K39" s="44"/>
      <c r="L39" s="207"/>
      <c r="M39" s="42"/>
      <c r="N39" s="29">
        <f t="shared" si="3"/>
        <v>2.7336601814250301E-2</v>
      </c>
    </row>
    <row r="40" spans="1:16">
      <c r="A40" s="43">
        <v>44560</v>
      </c>
      <c r="B40">
        <v>2.81E-2</v>
      </c>
      <c r="C40">
        <v>-9.6361876804817503E-2</v>
      </c>
      <c r="D40">
        <v>1.1258710506408955E-2</v>
      </c>
      <c r="F40">
        <f t="shared" si="0"/>
        <v>-9.8361876804817505E-2</v>
      </c>
      <c r="G40" s="29">
        <f>(1-$G$42)*B40+$G$42*C40 -$B$1</f>
        <v>2.6099999999999998E-2</v>
      </c>
      <c r="H40">
        <f t="shared" si="2"/>
        <v>9.2587105064089546E-3</v>
      </c>
      <c r="I40" s="29">
        <f t="shared" si="4"/>
        <v>2.6099999999999998E-2</v>
      </c>
      <c r="J40" s="29"/>
      <c r="K40" s="279" t="s">
        <v>585</v>
      </c>
      <c r="L40" s="279"/>
      <c r="M40" s="279"/>
      <c r="N40" s="29">
        <f>$K$42*B40+$L$42*C40+$M$42*D40-$B$1</f>
        <v>2.2174736392388067E-2</v>
      </c>
    </row>
    <row r="41" spans="1:16">
      <c r="A41" s="44"/>
      <c r="B41" s="44"/>
      <c r="C41" s="44"/>
      <c r="D41" s="44"/>
      <c r="F41" s="44"/>
      <c r="G41" s="45"/>
      <c r="H41" s="45"/>
      <c r="I41" s="44"/>
      <c r="K41" s="44" t="s">
        <v>17</v>
      </c>
      <c r="L41" s="203" t="s">
        <v>182</v>
      </c>
      <c r="M41" s="44" t="s">
        <v>183</v>
      </c>
    </row>
    <row r="42" spans="1:16">
      <c r="A42" s="44"/>
      <c r="B42" s="42" t="s">
        <v>17</v>
      </c>
      <c r="C42" s="42" t="s">
        <v>182</v>
      </c>
      <c r="D42" s="42" t="s">
        <v>183</v>
      </c>
      <c r="E42" s="1"/>
      <c r="F42" s="41" t="s">
        <v>187</v>
      </c>
      <c r="G42" s="45">
        <v>0</v>
      </c>
      <c r="H42" s="41" t="s">
        <v>187</v>
      </c>
      <c r="I42" s="45">
        <v>0</v>
      </c>
      <c r="J42" s="4"/>
      <c r="K42" s="204">
        <v>0.86031090364370344</v>
      </c>
      <c r="L42" s="204">
        <v>0</v>
      </c>
      <c r="M42" s="204">
        <v>0</v>
      </c>
      <c r="N42" s="3"/>
      <c r="O42" s="3"/>
      <c r="P42" s="1"/>
    </row>
    <row r="43" spans="1:16">
      <c r="A43" t="s">
        <v>13</v>
      </c>
      <c r="B43" s="18">
        <f>AVERAGE(B5:B40)</f>
        <v>1.5475000000000001E-2</v>
      </c>
      <c r="C43" s="18">
        <f>AVERAGE(C5:C40)</f>
        <v>1.9327654199999961E-3</v>
      </c>
      <c r="D43" s="18">
        <f>AVERAGE(D5:D40)</f>
        <v>1.7351614568155441E-2</v>
      </c>
      <c r="E43" s="18"/>
      <c r="F43" s="3" t="s">
        <v>13</v>
      </c>
      <c r="G43" s="18">
        <f>AVERAGE(G5:G40)+B1</f>
        <v>1.5475000000000001E-2</v>
      </c>
      <c r="H43" s="3" t="s">
        <v>13</v>
      </c>
      <c r="I43" s="18">
        <f>AVERAGE(I5:I40)+B1</f>
        <v>1.5475000000000001E-2</v>
      </c>
      <c r="J43" s="6"/>
      <c r="L43" s="196"/>
      <c r="M43" s="3" t="s">
        <v>13</v>
      </c>
      <c r="N43" s="18">
        <f>AVERAGE(N5:N40)+B1</f>
        <v>1.3313311233886311E-2</v>
      </c>
      <c r="O43" s="1"/>
      <c r="P43" s="6"/>
    </row>
    <row r="44" spans="1:16">
      <c r="A44" s="47" t="s">
        <v>189</v>
      </c>
      <c r="B44" s="18">
        <f>STDEVP(B5:B40)</f>
        <v>4.7312990787121263E-2</v>
      </c>
      <c r="C44" s="18">
        <f>STDEVP(C5:C40)</f>
        <v>6.5808207878340366E-2</v>
      </c>
      <c r="D44" s="18">
        <f>STDEVP(D5:D40)</f>
        <v>7.7741197535062409E-2</v>
      </c>
      <c r="E44" s="29"/>
      <c r="F44" s="3" t="s">
        <v>188</v>
      </c>
      <c r="G44" s="18">
        <f>AVERAGE(G5:G40)</f>
        <v>1.3475000000000001E-2</v>
      </c>
      <c r="H44" s="3" t="s">
        <v>188</v>
      </c>
      <c r="I44" s="18">
        <f>AVERAGE(I5:I40)</f>
        <v>1.3475000000000001E-2</v>
      </c>
      <c r="J44" s="6"/>
      <c r="K44" s="1"/>
      <c r="L44" s="198"/>
      <c r="M44" s="3" t="s">
        <v>188</v>
      </c>
      <c r="N44" s="18">
        <f>AVERAGE(N5:N40)</f>
        <v>1.1313311233886311E-2</v>
      </c>
      <c r="O44" s="1"/>
      <c r="P44" s="6"/>
    </row>
    <row r="45" spans="1:16">
      <c r="A45" s="44" t="s">
        <v>169</v>
      </c>
      <c r="B45" s="151">
        <f>(B43-B1)/B44</f>
        <v>0.28480550005027239</v>
      </c>
      <c r="C45" s="152">
        <f>(C43-$B$1)/C44</f>
        <v>-1.0216746841716241E-3</v>
      </c>
      <c r="D45" s="152">
        <f>(D43-$B$1)/D44</f>
        <v>0.19747077553354692</v>
      </c>
      <c r="E45" s="6"/>
      <c r="F45" s="154" t="s">
        <v>189</v>
      </c>
      <c r="G45" s="18">
        <f>STDEVP(G5:G40)</f>
        <v>4.731299078712127E-2</v>
      </c>
      <c r="H45" s="3" t="s">
        <v>42</v>
      </c>
      <c r="I45" s="18">
        <f>STDEVP(I5:I40)</f>
        <v>4.731299078712127E-2</v>
      </c>
      <c r="K45" s="1"/>
      <c r="L45" s="199"/>
      <c r="M45" s="3" t="s">
        <v>42</v>
      </c>
      <c r="N45" s="18">
        <f>STDEVP(N5:N40)</f>
        <v>4.0703881858154524E-2</v>
      </c>
      <c r="O45" s="1"/>
      <c r="P45" s="6"/>
    </row>
    <row r="46" spans="1:16">
      <c r="E46" s="6"/>
      <c r="F46" s="41" t="s">
        <v>169</v>
      </c>
      <c r="G46" s="153">
        <f>(G44)/G45</f>
        <v>0.28480550005027233</v>
      </c>
      <c r="H46" s="41" t="s">
        <v>169</v>
      </c>
      <c r="I46" s="153">
        <f>(I44)/I45</f>
        <v>0.28480550005027233</v>
      </c>
      <c r="J46" s="26"/>
      <c r="M46" s="41" t="s">
        <v>169</v>
      </c>
      <c r="N46" s="153">
        <f>(N44)/N45</f>
        <v>0.27794182563007386</v>
      </c>
      <c r="O46" s="1"/>
      <c r="P46" s="29"/>
    </row>
    <row r="47" spans="1:16">
      <c r="F47" s="58" t="s">
        <v>190</v>
      </c>
      <c r="G47" s="165">
        <f>INTERCEPT(F5:F40,G5:G40)</f>
        <v>9.1796413233198194E-3</v>
      </c>
      <c r="H47" s="57" t="s">
        <v>190</v>
      </c>
      <c r="I47" s="165">
        <f>INTERCEPT(H5:H40,I5:I40)</f>
        <v>-2.4008774237008947E-3</v>
      </c>
      <c r="J47" s="48"/>
      <c r="N47" s="192" t="s">
        <v>182</v>
      </c>
      <c r="O47" s="192" t="s">
        <v>183</v>
      </c>
      <c r="P47" s="59"/>
    </row>
    <row r="48" spans="1:16">
      <c r="F48" s="58" t="s">
        <v>191</v>
      </c>
      <c r="G48" s="194">
        <f>SLOPE(F5:F40,G5:G40)</f>
        <v>-0.68622455683264005</v>
      </c>
      <c r="H48" s="192" t="s">
        <v>191</v>
      </c>
      <c r="I48" s="195">
        <f>SLOPE(H5:H40,I5:I40)</f>
        <v>1.3174391088576127</v>
      </c>
      <c r="J48" s="26"/>
      <c r="M48" s="57" t="s">
        <v>190</v>
      </c>
      <c r="N48" s="4">
        <f>INTERCEPT(F5:F40,N5:N40)</f>
        <v>8.9567960987958477E-3</v>
      </c>
      <c r="O48" s="4">
        <f>INTERCEPT(H5:H40,N5:N40)</f>
        <v>-1.9730509766773038E-3</v>
      </c>
      <c r="P48" s="60"/>
    </row>
    <row r="49" spans="1:16">
      <c r="D49" s="1"/>
      <c r="E49" s="1"/>
      <c r="F49" s="193" t="s">
        <v>582</v>
      </c>
      <c r="G49" s="26">
        <f>(C43-G43)/(G44)</f>
        <v>-1.0049895792207795</v>
      </c>
      <c r="H49" s="193" t="s">
        <v>582</v>
      </c>
      <c r="I49" s="26">
        <f>($D$43-I43)/I44</f>
        <v>0.13926638724715693</v>
      </c>
      <c r="M49" s="192" t="s">
        <v>191</v>
      </c>
      <c r="N49" s="4">
        <f>SLOPE(F5:F40,N5:N40)</f>
        <v>-0.79764716909462663</v>
      </c>
      <c r="O49" s="27">
        <f>SLOPE(H5:H40,N5:N40)</f>
        <v>1.5313523323694005</v>
      </c>
      <c r="P49" s="60"/>
    </row>
    <row r="50" spans="1:16">
      <c r="F50" s="193" t="s">
        <v>583</v>
      </c>
      <c r="G50" s="26">
        <f>G48-1</f>
        <v>-1.6862245568326402</v>
      </c>
      <c r="H50" s="193" t="s">
        <v>583</v>
      </c>
      <c r="I50" s="26">
        <f>I48-1</f>
        <v>0.31743910885761273</v>
      </c>
      <c r="M50" s="193" t="s">
        <v>582</v>
      </c>
      <c r="N50" s="26">
        <f>($C$43-N43)/N44</f>
        <v>-1.0059429621098568</v>
      </c>
      <c r="O50" s="26">
        <f>($D$43-N43)/N44</f>
        <v>0.35695149287269323</v>
      </c>
      <c r="P50" s="60"/>
    </row>
    <row r="51" spans="1:16">
      <c r="A51" s="44"/>
      <c r="B51" s="44"/>
      <c r="C51" s="44"/>
      <c r="D51" s="44"/>
      <c r="E51" s="44"/>
      <c r="F51" s="44"/>
      <c r="G51" s="202"/>
      <c r="H51" s="202"/>
      <c r="I51" s="44"/>
      <c r="K51" s="44"/>
      <c r="L51" s="44"/>
      <c r="M51" s="205" t="s">
        <v>583</v>
      </c>
      <c r="N51" s="153">
        <f>N49-1</f>
        <v>-1.7976471690946267</v>
      </c>
      <c r="O51" s="206">
        <f>O49-1</f>
        <v>0.53135233236940049</v>
      </c>
    </row>
    <row r="52" spans="1:16">
      <c r="G52" s="26"/>
      <c r="H52" s="26"/>
      <c r="I52" s="4"/>
      <c r="J52" s="4"/>
    </row>
  </sheetData>
  <mergeCells count="4">
    <mergeCell ref="B3:D3"/>
    <mergeCell ref="B2:D2"/>
    <mergeCell ref="F1:I1"/>
    <mergeCell ref="K40:M40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6"/>
  <dimension ref="A2:P65"/>
  <sheetViews>
    <sheetView workbookViewId="0">
      <selection activeCell="M17" sqref="M17"/>
    </sheetView>
  </sheetViews>
  <sheetFormatPr defaultRowHeight="14.5"/>
  <cols>
    <col min="1" max="1" width="10.54296875" bestFit="1" customWidth="1"/>
    <col min="2" max="2" width="9.453125" customWidth="1"/>
    <col min="3" max="3" width="10" customWidth="1"/>
    <col min="4" max="4" width="4" customWidth="1"/>
    <col min="6" max="6" width="4.453125" customWidth="1"/>
    <col min="7" max="7" width="8.54296875" customWidth="1"/>
    <col min="10" max="10" width="1.453125" customWidth="1"/>
    <col min="13" max="13" width="2" customWidth="1"/>
  </cols>
  <sheetData>
    <row r="2" spans="1:16">
      <c r="E2" t="s">
        <v>203</v>
      </c>
      <c r="G2" s="273" t="s">
        <v>16</v>
      </c>
      <c r="H2" s="275"/>
      <c r="I2" s="275"/>
    </row>
    <row r="3" spans="1:16">
      <c r="E3" s="4">
        <v>1.0000000000000001E-5</v>
      </c>
      <c r="H3" s="1" t="s">
        <v>38</v>
      </c>
      <c r="I3" s="1" t="s">
        <v>204</v>
      </c>
      <c r="L3" t="s">
        <v>205</v>
      </c>
    </row>
    <row r="4" spans="1:16">
      <c r="B4" s="273" t="s">
        <v>61</v>
      </c>
      <c r="C4" s="275"/>
      <c r="E4" s="1" t="s">
        <v>206</v>
      </c>
      <c r="G4" s="1" t="s">
        <v>207</v>
      </c>
      <c r="H4" s="1" t="s">
        <v>17</v>
      </c>
      <c r="I4" s="1" t="s">
        <v>17</v>
      </c>
      <c r="K4" s="1" t="s">
        <v>208</v>
      </c>
      <c r="L4" s="1" t="s">
        <v>208</v>
      </c>
      <c r="N4" s="1" t="s">
        <v>209</v>
      </c>
    </row>
    <row r="5" spans="1:16">
      <c r="A5" s="1" t="s">
        <v>210</v>
      </c>
      <c r="B5" s="1" t="s">
        <v>207</v>
      </c>
      <c r="C5" s="1" t="s">
        <v>17</v>
      </c>
      <c r="E5" s="1" t="s">
        <v>17</v>
      </c>
      <c r="G5">
        <f>STDEVP(B6:B65)</f>
        <v>0.9975466368565381</v>
      </c>
      <c r="H5">
        <f>STDEVP(C6:C65)</f>
        <v>8.850675215826824E-2</v>
      </c>
      <c r="I5" s="17">
        <f>STDEVP(E6:E65)</f>
        <v>8.8506183869767607E-2</v>
      </c>
      <c r="K5" s="27">
        <f>I5-H5</f>
        <v>-5.682885006325078E-7</v>
      </c>
      <c r="L5" s="14">
        <f>K5/E3</f>
        <v>-5.6828850063250773E-2</v>
      </c>
      <c r="N5" s="14">
        <f>H7*H5</f>
        <v>-5.6884883629820596E-2</v>
      </c>
    </row>
    <row r="6" spans="1:16">
      <c r="A6" s="43">
        <v>42766</v>
      </c>
      <c r="B6">
        <v>8.1224561654380523E-2</v>
      </c>
      <c r="C6">
        <v>2.428396328468807E-2</v>
      </c>
      <c r="E6">
        <f t="shared" ref="E6:E37" si="0">C6+$E$3*B6-$E$3*$A$3</f>
        <v>2.4284775530304614E-2</v>
      </c>
      <c r="P6" s="4"/>
    </row>
    <row r="7" spans="1:16">
      <c r="A7" s="43">
        <v>42794</v>
      </c>
      <c r="B7">
        <v>-0.15636389889550631</v>
      </c>
      <c r="C7">
        <v>-0.1133300884248456</v>
      </c>
      <c r="E7">
        <f t="shared" si="0"/>
        <v>-0.11333165206383455</v>
      </c>
      <c r="G7" t="s">
        <v>69</v>
      </c>
      <c r="H7">
        <f>SLOPE(B6:B65,C6:C65)</f>
        <v>-0.64271801012536023</v>
      </c>
    </row>
    <row r="8" spans="1:16">
      <c r="A8" s="43">
        <v>42825</v>
      </c>
      <c r="B8">
        <v>-7.5200978244538419E-2</v>
      </c>
      <c r="C8">
        <v>-0.19781327864620829</v>
      </c>
      <c r="E8">
        <f t="shared" si="0"/>
        <v>-0.19781403065599074</v>
      </c>
    </row>
    <row r="9" spans="1:16">
      <c r="A9" s="43">
        <v>42853</v>
      </c>
      <c r="B9">
        <v>1.119543162531045</v>
      </c>
      <c r="C9">
        <v>-1.506191438238602E-2</v>
      </c>
      <c r="E9">
        <f t="shared" si="0"/>
        <v>-1.5050718950760709E-2</v>
      </c>
    </row>
    <row r="10" spans="1:16">
      <c r="A10" s="43">
        <v>42886</v>
      </c>
      <c r="B10">
        <v>1.964894454431487</v>
      </c>
      <c r="C10">
        <v>-3.172408469254151E-2</v>
      </c>
      <c r="E10">
        <f t="shared" si="0"/>
        <v>-3.1704435747997195E-2</v>
      </c>
    </row>
    <row r="11" spans="1:16">
      <c r="A11" s="43">
        <v>42916</v>
      </c>
      <c r="B11">
        <v>0.13910884035794879</v>
      </c>
      <c r="C11">
        <v>-6.5083554545708466E-2</v>
      </c>
      <c r="E11">
        <f t="shared" si="0"/>
        <v>-6.5082163457304887E-2</v>
      </c>
    </row>
    <row r="12" spans="1:16">
      <c r="A12" s="43">
        <v>42947</v>
      </c>
      <c r="B12">
        <v>0.36294463825470302</v>
      </c>
      <c r="C12">
        <v>-0.1026155587169342</v>
      </c>
      <c r="E12">
        <f t="shared" si="0"/>
        <v>-0.10261192927055166</v>
      </c>
    </row>
    <row r="13" spans="1:16">
      <c r="A13" s="43">
        <v>42978</v>
      </c>
      <c r="B13">
        <v>-1.9555474864318969</v>
      </c>
      <c r="C13">
        <v>0.117255694931373</v>
      </c>
      <c r="E13">
        <f t="shared" si="0"/>
        <v>0.11723613945650868</v>
      </c>
    </row>
    <row r="14" spans="1:16">
      <c r="A14" s="43">
        <v>43007</v>
      </c>
      <c r="B14">
        <v>-0.61476707742258441</v>
      </c>
      <c r="C14">
        <v>-0.13917224350734611</v>
      </c>
      <c r="E14">
        <f t="shared" si="0"/>
        <v>-0.13917839117812034</v>
      </c>
    </row>
    <row r="15" spans="1:16">
      <c r="A15" s="43">
        <v>43039</v>
      </c>
      <c r="B15">
        <v>0.68312174335005693</v>
      </c>
      <c r="C15">
        <v>-7.9809069575276226E-2</v>
      </c>
      <c r="E15">
        <f t="shared" si="0"/>
        <v>-7.9802238357842725E-2</v>
      </c>
    </row>
    <row r="16" spans="1:16">
      <c r="A16" s="43">
        <v>43069</v>
      </c>
      <c r="B16">
        <v>1.6282438423331771</v>
      </c>
      <c r="C16">
        <v>1.6634544408589139E-2</v>
      </c>
      <c r="E16">
        <f t="shared" si="0"/>
        <v>1.6650826847012471E-2</v>
      </c>
    </row>
    <row r="17" spans="1:5">
      <c r="A17" s="43">
        <v>43098</v>
      </c>
      <c r="B17">
        <v>-0.6659646714979317</v>
      </c>
      <c r="C17">
        <v>-0.1551456989545841</v>
      </c>
      <c r="E17">
        <f t="shared" si="0"/>
        <v>-0.15515235860129908</v>
      </c>
    </row>
    <row r="18" spans="1:5">
      <c r="A18" s="43">
        <v>43131</v>
      </c>
      <c r="B18">
        <v>-0.1980342858587392</v>
      </c>
      <c r="C18">
        <v>9.4655661087017506E-3</v>
      </c>
      <c r="E18">
        <f t="shared" si="0"/>
        <v>9.4635857658431632E-3</v>
      </c>
    </row>
    <row r="19" spans="1:5">
      <c r="A19" s="43">
        <v>43159</v>
      </c>
      <c r="B19">
        <v>1.698589085208368</v>
      </c>
      <c r="C19">
        <v>-0.13488852346199559</v>
      </c>
      <c r="E19">
        <f t="shared" si="0"/>
        <v>-0.13487153757114351</v>
      </c>
    </row>
    <row r="20" spans="1:5">
      <c r="A20" s="43">
        <v>43188</v>
      </c>
      <c r="B20">
        <v>1.2850508937845011</v>
      </c>
      <c r="C20">
        <v>-2.9743205232080069E-2</v>
      </c>
      <c r="E20">
        <f t="shared" si="0"/>
        <v>-2.9730354723142224E-2</v>
      </c>
    </row>
    <row r="21" spans="1:5">
      <c r="A21" s="43">
        <v>43220</v>
      </c>
      <c r="B21">
        <v>0.29453019578795647</v>
      </c>
      <c r="C21">
        <v>-3.3952574085560627E-2</v>
      </c>
      <c r="E21">
        <f t="shared" si="0"/>
        <v>-3.3949628783602748E-2</v>
      </c>
    </row>
    <row r="22" spans="1:5">
      <c r="A22" s="43">
        <v>43251</v>
      </c>
      <c r="B22">
        <v>1.004524256131845</v>
      </c>
      <c r="C22">
        <v>-0.13823137123836199</v>
      </c>
      <c r="E22">
        <f t="shared" si="0"/>
        <v>-0.13822132599580067</v>
      </c>
    </row>
    <row r="23" spans="1:5">
      <c r="A23" s="43">
        <v>43280</v>
      </c>
      <c r="B23">
        <v>-3.5314997148816469E-3</v>
      </c>
      <c r="C23">
        <v>0.12820214578823649</v>
      </c>
      <c r="E23">
        <f t="shared" si="0"/>
        <v>0.12820211047323934</v>
      </c>
    </row>
    <row r="24" spans="1:5">
      <c r="A24" s="43">
        <v>43312</v>
      </c>
      <c r="B24">
        <v>0.49681395921652438</v>
      </c>
      <c r="C24">
        <v>-7.2419197749695741E-2</v>
      </c>
      <c r="E24">
        <f t="shared" si="0"/>
        <v>-7.2414229610103575E-2</v>
      </c>
    </row>
    <row r="25" spans="1:5">
      <c r="A25" s="43">
        <v>43343</v>
      </c>
      <c r="B25">
        <v>-0.44648263610724831</v>
      </c>
      <c r="C25">
        <v>-0.16536023395019581</v>
      </c>
      <c r="E25">
        <f t="shared" si="0"/>
        <v>-0.16536469877655688</v>
      </c>
    </row>
    <row r="26" spans="1:5">
      <c r="A26" s="43">
        <v>43371</v>
      </c>
      <c r="B26">
        <v>-0.79155529419949744</v>
      </c>
      <c r="C26">
        <v>-0.12905957191833289</v>
      </c>
      <c r="E26">
        <f t="shared" si="0"/>
        <v>-0.12906748747127489</v>
      </c>
    </row>
    <row r="27" spans="1:5">
      <c r="A27" s="43">
        <v>43404</v>
      </c>
      <c r="B27">
        <v>-0.92619602582999505</v>
      </c>
      <c r="C27">
        <v>-6.6155735112261027E-2</v>
      </c>
      <c r="E27">
        <f t="shared" si="0"/>
        <v>-6.6164997072519327E-2</v>
      </c>
    </row>
    <row r="28" spans="1:5">
      <c r="A28" s="43">
        <v>43434</v>
      </c>
      <c r="B28">
        <v>1.2761725656673659</v>
      </c>
      <c r="C28">
        <v>-3.9567794374306693E-2</v>
      </c>
      <c r="E28">
        <f t="shared" si="0"/>
        <v>-3.955503264865002E-2</v>
      </c>
    </row>
    <row r="29" spans="1:5">
      <c r="A29" s="43">
        <v>43465</v>
      </c>
      <c r="B29">
        <v>0.1884381163108628</v>
      </c>
      <c r="C29">
        <v>0.1747748683555983</v>
      </c>
      <c r="E29">
        <f t="shared" si="0"/>
        <v>0.17477675273676141</v>
      </c>
    </row>
    <row r="30" spans="1:5">
      <c r="A30" s="43">
        <v>43496</v>
      </c>
      <c r="B30">
        <v>-1.410745471730479</v>
      </c>
      <c r="C30">
        <v>3.7065092328703031E-2</v>
      </c>
      <c r="E30">
        <f t="shared" si="0"/>
        <v>3.7050984873985726E-2</v>
      </c>
    </row>
    <row r="31" spans="1:5">
      <c r="A31" s="43">
        <v>43524</v>
      </c>
      <c r="B31">
        <v>0.82543326698214514</v>
      </c>
      <c r="C31">
        <v>-0.1023438471747795</v>
      </c>
      <c r="E31">
        <f t="shared" si="0"/>
        <v>-0.10233559284210968</v>
      </c>
    </row>
    <row r="32" spans="1:5">
      <c r="A32" s="43">
        <v>43553</v>
      </c>
      <c r="B32">
        <v>1.855589323440654</v>
      </c>
      <c r="C32">
        <v>6.6174720814160537E-2</v>
      </c>
      <c r="E32">
        <f t="shared" si="0"/>
        <v>6.6193276707394944E-2</v>
      </c>
    </row>
    <row r="33" spans="1:5">
      <c r="A33" s="43">
        <v>43585</v>
      </c>
      <c r="B33">
        <v>0.40147685922420351</v>
      </c>
      <c r="C33">
        <v>-2.0432480596355159E-2</v>
      </c>
      <c r="E33">
        <f t="shared" si="0"/>
        <v>-2.0428465827762917E-2</v>
      </c>
    </row>
    <row r="34" spans="1:5">
      <c r="A34" s="43">
        <v>43616</v>
      </c>
      <c r="B34">
        <v>3.1582511155647812</v>
      </c>
      <c r="C34">
        <v>-7.1952626967686228E-2</v>
      </c>
      <c r="E34">
        <f t="shared" si="0"/>
        <v>-7.1921044456530581E-2</v>
      </c>
    </row>
    <row r="35" spans="1:5">
      <c r="A35" s="43">
        <v>43644</v>
      </c>
      <c r="B35">
        <v>1.9777982288360361</v>
      </c>
      <c r="C35">
        <v>0.1402072484779637</v>
      </c>
      <c r="E35">
        <f t="shared" si="0"/>
        <v>0.14022702646025206</v>
      </c>
    </row>
    <row r="36" spans="1:5">
      <c r="A36" s="43">
        <v>43677</v>
      </c>
      <c r="B36">
        <v>1.1140710057588881</v>
      </c>
      <c r="C36">
        <v>2.415004018985201E-2</v>
      </c>
      <c r="E36">
        <f t="shared" si="0"/>
        <v>2.4161180899909599E-2</v>
      </c>
    </row>
    <row r="37" spans="1:5">
      <c r="A37" s="43">
        <v>43707</v>
      </c>
      <c r="B37">
        <v>0.25076240035559749</v>
      </c>
      <c r="C37">
        <v>-8.328674994118046E-2</v>
      </c>
      <c r="E37">
        <f t="shared" si="0"/>
        <v>-8.3284242317176904E-2</v>
      </c>
    </row>
    <row r="38" spans="1:5">
      <c r="A38" s="43">
        <v>43738</v>
      </c>
      <c r="B38">
        <v>-1.184136908705113</v>
      </c>
      <c r="C38">
        <v>6.2337676354218267E-2</v>
      </c>
      <c r="E38">
        <f t="shared" ref="E38:E65" si="1">C38+$E$3*B38-$E$3*$A$3</f>
        <v>6.2325834985131216E-2</v>
      </c>
    </row>
    <row r="39" spans="1:5">
      <c r="A39" s="43">
        <v>43769</v>
      </c>
      <c r="B39">
        <v>-0.41750870423129532</v>
      </c>
      <c r="C39">
        <v>-6.8255531004979275E-2</v>
      </c>
      <c r="E39">
        <f t="shared" si="1"/>
        <v>-6.8259706092021588E-2</v>
      </c>
    </row>
    <row r="40" spans="1:5">
      <c r="A40" s="43">
        <v>43798</v>
      </c>
      <c r="B40">
        <v>-1.1858687457788619</v>
      </c>
      <c r="C40">
        <v>3.7778818295919343E-2</v>
      </c>
      <c r="E40">
        <f t="shared" si="1"/>
        <v>3.7766959608461555E-2</v>
      </c>
    </row>
    <row r="41" spans="1:5">
      <c r="A41" s="43">
        <v>43830</v>
      </c>
      <c r="B41">
        <v>-1.5883267678873381E-2</v>
      </c>
      <c r="C41">
        <v>3.9559495235153008E-2</v>
      </c>
      <c r="E41">
        <f t="shared" si="1"/>
        <v>3.955933640247622E-2</v>
      </c>
    </row>
    <row r="42" spans="1:5">
      <c r="A42" s="43">
        <v>43861</v>
      </c>
      <c r="B42">
        <v>0.37702798181271652</v>
      </c>
      <c r="C42">
        <v>-3.4634012990863987E-2</v>
      </c>
      <c r="E42">
        <f t="shared" si="1"/>
        <v>-3.463024271104586E-2</v>
      </c>
    </row>
    <row r="43" spans="1:5">
      <c r="A43" s="43">
        <v>43889</v>
      </c>
      <c r="B43">
        <v>-0.47663976374678901</v>
      </c>
      <c r="C43">
        <v>-3.1177592063613702E-2</v>
      </c>
      <c r="E43">
        <f t="shared" si="1"/>
        <v>-3.118235846125117E-2</v>
      </c>
    </row>
    <row r="44" spans="1:5">
      <c r="A44" s="43">
        <v>43921</v>
      </c>
      <c r="B44">
        <v>0.38518192013725638</v>
      </c>
      <c r="C44">
        <v>9.4210008683148772E-2</v>
      </c>
      <c r="E44">
        <f t="shared" si="1"/>
        <v>9.4213860502350144E-2</v>
      </c>
    </row>
    <row r="45" spans="1:5">
      <c r="A45" s="43">
        <v>43951</v>
      </c>
      <c r="B45">
        <v>-1.909974616864929</v>
      </c>
      <c r="C45">
        <v>0.14300076145445931</v>
      </c>
      <c r="E45">
        <f t="shared" si="1"/>
        <v>0.14298166170829066</v>
      </c>
    </row>
    <row r="46" spans="1:5">
      <c r="A46" s="43">
        <v>43980</v>
      </c>
      <c r="B46">
        <v>0.57333172662765719</v>
      </c>
      <c r="C46">
        <v>0.11136035027448089</v>
      </c>
      <c r="E46">
        <f t="shared" si="1"/>
        <v>0.11136608359174717</v>
      </c>
    </row>
    <row r="47" spans="1:5">
      <c r="A47" s="43">
        <v>44012</v>
      </c>
      <c r="B47">
        <v>0.21710972077926269</v>
      </c>
      <c r="C47">
        <v>-2.568083345977357E-2</v>
      </c>
      <c r="E47">
        <f t="shared" si="1"/>
        <v>-2.5678662362565777E-2</v>
      </c>
    </row>
    <row r="48" spans="1:5">
      <c r="A48" s="43">
        <v>44043</v>
      </c>
      <c r="B48">
        <v>0.11013089533662419</v>
      </c>
      <c r="C48">
        <v>0.15560635802103209</v>
      </c>
      <c r="E48">
        <f t="shared" si="1"/>
        <v>0.15560745932998546</v>
      </c>
    </row>
    <row r="49" spans="1:5">
      <c r="A49" s="43">
        <v>44074</v>
      </c>
      <c r="B49">
        <v>-0.38708313923052629</v>
      </c>
      <c r="C49">
        <v>-4.3277054828649852E-2</v>
      </c>
      <c r="E49">
        <f t="shared" si="1"/>
        <v>-4.3280925660042158E-2</v>
      </c>
    </row>
    <row r="50" spans="1:5">
      <c r="A50" s="43">
        <v>44104</v>
      </c>
      <c r="B50">
        <v>-0.61083624132152181</v>
      </c>
      <c r="C50">
        <v>7.0680016506230459E-2</v>
      </c>
      <c r="E50">
        <f t="shared" si="1"/>
        <v>7.0673908143817243E-2</v>
      </c>
    </row>
    <row r="51" spans="1:5">
      <c r="A51" s="43">
        <v>44134</v>
      </c>
      <c r="B51">
        <v>0.88519959717814345</v>
      </c>
      <c r="C51">
        <v>4.4785792852053419E-2</v>
      </c>
      <c r="E51">
        <f t="shared" si="1"/>
        <v>4.47946448480252E-2</v>
      </c>
    </row>
    <row r="52" spans="1:5">
      <c r="A52" s="43">
        <v>44165</v>
      </c>
      <c r="B52">
        <v>-1.0019354590440339</v>
      </c>
      <c r="C52">
        <v>1.1283418643870391E-3</v>
      </c>
      <c r="E52">
        <f t="shared" si="1"/>
        <v>1.1183225097965988E-3</v>
      </c>
    </row>
    <row r="53" spans="1:5">
      <c r="A53" s="43">
        <v>44196</v>
      </c>
      <c r="B53">
        <v>1.0334522357879909</v>
      </c>
      <c r="C53">
        <v>0.1078728928405326</v>
      </c>
      <c r="E53">
        <f t="shared" si="1"/>
        <v>0.10788322736289048</v>
      </c>
    </row>
    <row r="54" spans="1:5">
      <c r="A54" s="43">
        <v>44225</v>
      </c>
      <c r="B54">
        <v>-0.55493737818324007</v>
      </c>
      <c r="C54">
        <v>6.3316292653325945E-2</v>
      </c>
      <c r="E54">
        <f t="shared" si="1"/>
        <v>6.3310743279544113E-2</v>
      </c>
    </row>
    <row r="55" spans="1:5">
      <c r="A55" s="43">
        <v>44253</v>
      </c>
      <c r="B55">
        <v>0.62487501963914838</v>
      </c>
      <c r="C55">
        <v>-2.8785052563762289E-2</v>
      </c>
      <c r="E55">
        <f t="shared" si="1"/>
        <v>-2.8778803813565897E-2</v>
      </c>
    </row>
    <row r="56" spans="1:5">
      <c r="A56" s="43">
        <v>44286</v>
      </c>
      <c r="B56">
        <v>0.22691842787025959</v>
      </c>
      <c r="C56">
        <v>5.4381871450459578E-2</v>
      </c>
      <c r="E56">
        <f t="shared" si="1"/>
        <v>5.438414063473828E-2</v>
      </c>
    </row>
    <row r="57" spans="1:5">
      <c r="A57" s="43">
        <v>44316</v>
      </c>
      <c r="B57">
        <v>0.51140298182872357</v>
      </c>
      <c r="C57">
        <v>6.9156385507085361E-2</v>
      </c>
      <c r="E57">
        <f t="shared" si="1"/>
        <v>6.9161499536903648E-2</v>
      </c>
    </row>
    <row r="58" spans="1:5">
      <c r="A58" s="43">
        <v>44344</v>
      </c>
      <c r="B58">
        <v>-1.04730793282215</v>
      </c>
      <c r="C58">
        <v>-8.9714831119636074E-2</v>
      </c>
      <c r="E58">
        <f t="shared" si="1"/>
        <v>-8.9725304198964295E-2</v>
      </c>
    </row>
    <row r="59" spans="1:5">
      <c r="A59" s="43">
        <v>44377</v>
      </c>
      <c r="B59">
        <v>-7.4256968218833208E-2</v>
      </c>
      <c r="C59">
        <v>-7.4907802627421916E-2</v>
      </c>
      <c r="E59">
        <f t="shared" si="1"/>
        <v>-7.4908545197104104E-2</v>
      </c>
    </row>
    <row r="60" spans="1:5">
      <c r="A60" s="43">
        <v>44407</v>
      </c>
      <c r="B60">
        <v>-0.3635128678070032</v>
      </c>
      <c r="C60">
        <v>-3.87558429792989E-3</v>
      </c>
      <c r="E60">
        <f t="shared" si="1"/>
        <v>-3.8792194266079601E-3</v>
      </c>
    </row>
    <row r="61" spans="1:5">
      <c r="A61" s="43">
        <v>44439</v>
      </c>
      <c r="B61">
        <v>-0.4948687092110049</v>
      </c>
      <c r="C61">
        <v>-5.8218574849888682E-2</v>
      </c>
      <c r="E61">
        <f t="shared" si="1"/>
        <v>-5.8223523536980792E-2</v>
      </c>
    </row>
    <row r="62" spans="1:5">
      <c r="A62" s="43">
        <v>44469</v>
      </c>
      <c r="B62">
        <v>-0.16627973309368829</v>
      </c>
      <c r="C62">
        <v>9.600171324564144E-2</v>
      </c>
      <c r="E62">
        <f t="shared" si="1"/>
        <v>9.6000050448310503E-2</v>
      </c>
    </row>
    <row r="63" spans="1:5">
      <c r="A63" s="43">
        <v>44498</v>
      </c>
      <c r="B63">
        <v>1.440551068299101</v>
      </c>
      <c r="C63">
        <v>-9.1177298600086942E-2</v>
      </c>
      <c r="E63">
        <f t="shared" si="1"/>
        <v>-9.1162893089403951E-2</v>
      </c>
    </row>
    <row r="64" spans="1:5">
      <c r="A64" s="43">
        <v>44530</v>
      </c>
      <c r="B64">
        <v>0.7266946226991422</v>
      </c>
      <c r="C64">
        <v>6.2477170104102697E-2</v>
      </c>
      <c r="E64">
        <f t="shared" si="1"/>
        <v>6.2484437050329689E-2</v>
      </c>
    </row>
    <row r="65" spans="1:5">
      <c r="A65" s="43">
        <v>44560</v>
      </c>
      <c r="B65">
        <v>1.703718534614497</v>
      </c>
      <c r="C65">
        <v>2.062024800238085E-2</v>
      </c>
      <c r="E65">
        <f t="shared" si="1"/>
        <v>2.0637285187726995E-2</v>
      </c>
    </row>
  </sheetData>
  <mergeCells count="2">
    <mergeCell ref="G2:I2"/>
    <mergeCell ref="B4:C4"/>
  </mergeCell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19"/>
  <dimension ref="A1:I61"/>
  <sheetViews>
    <sheetView workbookViewId="0">
      <selection activeCell="F22" sqref="F22"/>
    </sheetView>
  </sheetViews>
  <sheetFormatPr defaultRowHeight="14.5"/>
  <cols>
    <col min="1" max="1" width="9.54296875" bestFit="1" customWidth="1"/>
    <col min="4" max="4" width="4" customWidth="1"/>
    <col min="8" max="8" width="11.453125" bestFit="1" customWidth="1"/>
    <col min="9" max="9" width="13.81640625" bestFit="1" customWidth="1"/>
  </cols>
  <sheetData>
    <row r="1" spans="1:9">
      <c r="A1" t="s">
        <v>210</v>
      </c>
      <c r="B1" s="7" t="s">
        <v>213</v>
      </c>
      <c r="C1" s="7" t="s">
        <v>214</v>
      </c>
    </row>
    <row r="2" spans="1:9">
      <c r="A2" s="163">
        <v>43860</v>
      </c>
      <c r="B2">
        <v>5.0843903694797889E-2</v>
      </c>
      <c r="C2">
        <v>1.9800000000000002E-2</v>
      </c>
      <c r="E2" t="s">
        <v>215</v>
      </c>
      <c r="F2" t="s">
        <v>216</v>
      </c>
      <c r="G2" s="4" t="s">
        <v>47</v>
      </c>
      <c r="H2" t="s">
        <v>217</v>
      </c>
      <c r="I2" t="s">
        <v>218</v>
      </c>
    </row>
    <row r="3" spans="1:9">
      <c r="A3" s="163">
        <v>43890</v>
      </c>
      <c r="B3">
        <v>3.7895950238514511E-2</v>
      </c>
      <c r="C3">
        <v>3.6099999999999903E-2</v>
      </c>
      <c r="D3" s="162"/>
      <c r="E3">
        <f>VARP(B2:B61)</f>
        <v>4.8063692339585552E-3</v>
      </c>
      <c r="F3">
        <f>VARP(C2:C61)</f>
        <v>2.1075625977138917E-3</v>
      </c>
      <c r="G3">
        <f>SLOPE(B2:B61,C2:C61)</f>
        <v>1.0566050102592908</v>
      </c>
      <c r="H3" s="159">
        <f>(G3^2*F3)/E3</f>
        <v>0.48954056310066146</v>
      </c>
      <c r="I3" s="159">
        <f>1-H3</f>
        <v>0.51045943689933848</v>
      </c>
    </row>
    <row r="4" spans="1:9">
      <c r="A4" s="163">
        <v>43919</v>
      </c>
      <c r="B4">
        <v>-3.2152122497598683E-2</v>
      </c>
      <c r="C4">
        <v>2E-3</v>
      </c>
      <c r="D4" s="162"/>
    </row>
    <row r="5" spans="1:9">
      <c r="A5" s="163">
        <v>43950</v>
      </c>
      <c r="B5">
        <v>-7.9307355781586278E-2</v>
      </c>
      <c r="C5">
        <v>1.14E-2</v>
      </c>
      <c r="D5" s="162"/>
    </row>
    <row r="6" spans="1:9">
      <c r="A6" s="163">
        <v>43980</v>
      </c>
      <c r="B6">
        <v>-3.7663882554005039E-2</v>
      </c>
      <c r="C6">
        <v>1.12E-2</v>
      </c>
      <c r="D6" s="162"/>
    </row>
    <row r="7" spans="1:9">
      <c r="A7" s="163">
        <v>44011</v>
      </c>
      <c r="B7">
        <v>8.4383313704003895E-3</v>
      </c>
      <c r="C7">
        <v>8.3999999999999995E-3</v>
      </c>
      <c r="D7" s="162"/>
    </row>
    <row r="8" spans="1:9">
      <c r="A8" s="163">
        <v>44041</v>
      </c>
      <c r="B8">
        <v>-5.7677310033791798E-2</v>
      </c>
      <c r="C8">
        <v>1.9400000000000001E-2</v>
      </c>
      <c r="D8" s="162"/>
    </row>
    <row r="9" spans="1:9">
      <c r="A9" s="163">
        <v>44072</v>
      </c>
      <c r="B9">
        <v>-1.250289387472992E-3</v>
      </c>
      <c r="C9">
        <v>2.5000000000000001E-3</v>
      </c>
      <c r="D9" s="162"/>
    </row>
    <row r="10" spans="1:9">
      <c r="A10" s="163">
        <v>44103</v>
      </c>
      <c r="B10">
        <v>1.5634894260993029E-2</v>
      </c>
      <c r="C10">
        <v>2.5999999999999999E-2</v>
      </c>
      <c r="D10" s="162"/>
    </row>
    <row r="11" spans="1:9">
      <c r="A11" s="163">
        <v>44133</v>
      </c>
      <c r="B11">
        <v>6.2851017703577816E-2</v>
      </c>
      <c r="C11">
        <v>2.3400000000000001E-2</v>
      </c>
      <c r="D11" s="162"/>
    </row>
    <row r="12" spans="1:9">
      <c r="A12" s="163">
        <v>44164</v>
      </c>
      <c r="B12">
        <v>8.1864131934943022E-3</v>
      </c>
      <c r="C12">
        <v>3.2000000000000001E-2</v>
      </c>
      <c r="D12" s="162"/>
    </row>
    <row r="13" spans="1:9">
      <c r="A13" s="163">
        <v>44194</v>
      </c>
      <c r="B13">
        <v>-2.1634586666526758E-3</v>
      </c>
      <c r="C13">
        <v>1.15E-2</v>
      </c>
      <c r="D13" s="162"/>
    </row>
    <row r="14" spans="1:9">
      <c r="A14" s="163">
        <v>44225</v>
      </c>
      <c r="B14">
        <v>6.7950355972360377E-2</v>
      </c>
      <c r="C14">
        <v>5.6899999999999999E-2</v>
      </c>
      <c r="D14" s="162"/>
    </row>
    <row r="15" spans="1:9">
      <c r="A15" s="163">
        <v>44255</v>
      </c>
      <c r="B15">
        <v>-4.0626472410250108E-2</v>
      </c>
      <c r="C15">
        <v>-3.5400000000000001E-2</v>
      </c>
      <c r="D15" s="162"/>
    </row>
    <row r="16" spans="1:9">
      <c r="A16" s="163">
        <v>44283</v>
      </c>
      <c r="B16">
        <v>-1.511755089332196E-2</v>
      </c>
      <c r="C16">
        <v>-2.23E-2</v>
      </c>
      <c r="D16" s="162"/>
    </row>
    <row r="17" spans="1:4">
      <c r="A17" s="163">
        <v>44314</v>
      </c>
      <c r="B17">
        <v>-5.6176209421377958E-2</v>
      </c>
      <c r="C17">
        <v>4.3E-3</v>
      </c>
      <c r="D17" s="162"/>
    </row>
    <row r="18" spans="1:4">
      <c r="A18" s="163">
        <v>44344</v>
      </c>
      <c r="B18">
        <v>-1.5911531162417541E-2</v>
      </c>
      <c r="C18">
        <v>2.7900000000000001E-2</v>
      </c>
      <c r="D18" s="162"/>
    </row>
    <row r="19" spans="1:4">
      <c r="A19" s="163">
        <v>44375</v>
      </c>
      <c r="B19">
        <v>-1.0600635052978501E-2</v>
      </c>
      <c r="C19">
        <v>6.1999999999999998E-3</v>
      </c>
      <c r="D19" s="162"/>
    </row>
    <row r="20" spans="1:4">
      <c r="A20" s="163">
        <v>44405</v>
      </c>
      <c r="B20">
        <v>3.8913394252502682E-2</v>
      </c>
      <c r="C20">
        <v>3.3499999999999898E-2</v>
      </c>
      <c r="D20" s="162"/>
    </row>
    <row r="21" spans="1:4">
      <c r="A21" s="163">
        <v>44436</v>
      </c>
      <c r="B21">
        <v>2.3196412840078791E-2</v>
      </c>
      <c r="C21">
        <v>3.5999999999999997E-2</v>
      </c>
      <c r="D21" s="162"/>
    </row>
    <row r="22" spans="1:4">
      <c r="A22" s="163">
        <v>44467</v>
      </c>
      <c r="B22">
        <v>3.1710989315308302E-2</v>
      </c>
      <c r="C22">
        <v>2.0999999999999999E-3</v>
      </c>
      <c r="D22" s="162"/>
    </row>
    <row r="23" spans="1:4">
      <c r="A23" s="163">
        <v>44497</v>
      </c>
      <c r="B23">
        <v>-0.2357214774062989</v>
      </c>
      <c r="C23">
        <v>-7.4899999999999994E-2</v>
      </c>
      <c r="D23" s="162"/>
    </row>
    <row r="24" spans="1:4">
      <c r="A24" s="163">
        <v>44528</v>
      </c>
      <c r="B24">
        <v>8.989623584892964E-2</v>
      </c>
      <c r="C24">
        <v>1.8699999999999901E-2</v>
      </c>
      <c r="D24" s="162"/>
    </row>
    <row r="25" spans="1:4">
      <c r="A25" s="163">
        <v>44558</v>
      </c>
      <c r="B25">
        <v>-8.6153304283064516E-2</v>
      </c>
      <c r="C25">
        <v>-9.3600000000000003E-2</v>
      </c>
      <c r="D25" s="162"/>
    </row>
    <row r="26" spans="1:4">
      <c r="A26" s="163">
        <v>44589</v>
      </c>
      <c r="B26">
        <v>0.18369298535781869</v>
      </c>
      <c r="C26">
        <v>8.6199999999999999E-2</v>
      </c>
      <c r="D26" s="162"/>
    </row>
    <row r="27" spans="1:4">
      <c r="A27" s="163">
        <v>44620</v>
      </c>
      <c r="B27">
        <v>4.0922642823122482E-2</v>
      </c>
      <c r="C27">
        <v>3.5799999999999998E-2</v>
      </c>
      <c r="D27" s="162"/>
    </row>
    <row r="28" spans="1:4">
      <c r="A28" s="163">
        <v>44648</v>
      </c>
      <c r="B28">
        <v>2.2579257390105401E-2</v>
      </c>
      <c r="C28">
        <v>1.29E-2</v>
      </c>
      <c r="D28" s="162"/>
    </row>
    <row r="29" spans="1:4">
      <c r="A29" s="163">
        <v>44679</v>
      </c>
      <c r="B29">
        <v>-6.2542798365952694E-3</v>
      </c>
      <c r="C29">
        <v>4.1699999999999897E-2</v>
      </c>
      <c r="D29" s="162"/>
    </row>
    <row r="30" spans="1:4">
      <c r="A30" s="163">
        <v>44709</v>
      </c>
      <c r="B30">
        <v>-8.5101151780856879E-2</v>
      </c>
      <c r="C30">
        <v>-6.7299999999999999E-2</v>
      </c>
      <c r="D30" s="162"/>
    </row>
    <row r="31" spans="1:4">
      <c r="A31" s="163">
        <v>44740</v>
      </c>
      <c r="B31">
        <v>8.7034053125332092E-2</v>
      </c>
      <c r="C31">
        <v>7.1099999999999997E-2</v>
      </c>
      <c r="D31" s="162"/>
    </row>
    <row r="32" spans="1:4">
      <c r="A32" s="163">
        <v>44770</v>
      </c>
      <c r="B32">
        <v>7.6017440324677707E-2</v>
      </c>
      <c r="C32">
        <v>1.38E-2</v>
      </c>
      <c r="D32" s="162"/>
    </row>
    <row r="33" spans="1:4">
      <c r="A33" s="163">
        <v>44801</v>
      </c>
      <c r="B33">
        <v>-7.6065421717074755E-2</v>
      </c>
      <c r="C33">
        <v>-2.4199999999999999E-2</v>
      </c>
      <c r="D33" s="162"/>
    </row>
    <row r="34" spans="1:4">
      <c r="A34" s="163">
        <v>44832</v>
      </c>
      <c r="B34">
        <v>7.2895892696218753E-2</v>
      </c>
      <c r="C34">
        <v>1.61E-2</v>
      </c>
      <c r="D34" s="162"/>
    </row>
    <row r="35" spans="1:4">
      <c r="A35" s="163">
        <v>44862</v>
      </c>
      <c r="B35">
        <v>-8.0268660519472818E-2</v>
      </c>
      <c r="C35">
        <v>2.2100000000000002E-2</v>
      </c>
      <c r="D35" s="162"/>
    </row>
    <row r="36" spans="1:4">
      <c r="A36" s="163">
        <v>44893</v>
      </c>
      <c r="B36">
        <v>1.8246479147417342E-2</v>
      </c>
      <c r="C36">
        <v>3.9899999999999998E-2</v>
      </c>
      <c r="D36" s="162"/>
    </row>
    <row r="37" spans="1:4">
      <c r="A37" s="163">
        <v>44923</v>
      </c>
      <c r="B37">
        <v>-1.7876956249486861E-3</v>
      </c>
      <c r="C37">
        <v>2.9100000000000001E-2</v>
      </c>
      <c r="D37" s="162"/>
    </row>
    <row r="38" spans="1:4">
      <c r="A38" s="163">
        <v>44954</v>
      </c>
      <c r="B38">
        <v>7.353837027289048E-2</v>
      </c>
      <c r="C38">
        <v>1.9999999999999901E-4</v>
      </c>
      <c r="D38" s="162"/>
    </row>
    <row r="39" spans="1:4">
      <c r="A39" s="163">
        <v>44985</v>
      </c>
      <c r="B39">
        <v>-8.4428787635322008E-2</v>
      </c>
      <c r="C39">
        <v>-8.0100000000000005E-2</v>
      </c>
      <c r="D39" s="162"/>
    </row>
    <row r="40" spans="1:4">
      <c r="A40" s="163">
        <v>45013</v>
      </c>
      <c r="B40">
        <v>-0.14778281211724181</v>
      </c>
      <c r="C40">
        <v>-0.1326</v>
      </c>
      <c r="D40" s="162"/>
    </row>
    <row r="41" spans="1:4">
      <c r="A41" s="163">
        <v>45044</v>
      </c>
      <c r="B41">
        <v>0.13155101120000551</v>
      </c>
      <c r="C41">
        <v>0.13650000000000001</v>
      </c>
      <c r="D41" s="162"/>
    </row>
    <row r="42" spans="1:4">
      <c r="A42" s="163">
        <v>45074</v>
      </c>
      <c r="B42">
        <v>6.8144793969852737E-3</v>
      </c>
      <c r="C42">
        <v>5.5899999999999998E-2</v>
      </c>
      <c r="D42" s="162"/>
    </row>
    <row r="43" spans="1:4">
      <c r="A43" s="163">
        <v>45105</v>
      </c>
      <c r="B43">
        <v>-3.1714980993078012E-2</v>
      </c>
      <c r="C43">
        <v>2.47E-2</v>
      </c>
      <c r="D43" s="162"/>
    </row>
    <row r="44" spans="1:4">
      <c r="A44" s="163">
        <v>45135</v>
      </c>
      <c r="B44">
        <v>1.7035732531146749E-2</v>
      </c>
      <c r="C44">
        <v>5.7799999999999997E-2</v>
      </c>
      <c r="D44" s="162"/>
    </row>
    <row r="45" spans="1:4">
      <c r="A45" s="163">
        <v>45166</v>
      </c>
      <c r="B45">
        <v>1.7656448853695831E-2</v>
      </c>
      <c r="C45">
        <v>7.6399999999999996E-2</v>
      </c>
      <c r="D45" s="162"/>
    </row>
    <row r="46" spans="1:4">
      <c r="A46" s="163">
        <v>45197</v>
      </c>
      <c r="B46">
        <v>-1.2869741154377159E-2</v>
      </c>
      <c r="C46">
        <v>-3.6199999999999899E-2</v>
      </c>
      <c r="D46" s="162"/>
    </row>
    <row r="47" spans="1:4">
      <c r="A47" s="163">
        <v>45227</v>
      </c>
      <c r="B47">
        <v>-8.1299130349501675E-2</v>
      </c>
      <c r="C47">
        <v>-2.0899999999999998E-2</v>
      </c>
      <c r="D47" s="162"/>
    </row>
    <row r="48" spans="1:4">
      <c r="A48" s="163">
        <v>45258</v>
      </c>
      <c r="B48">
        <v>0.1223153204810587</v>
      </c>
      <c r="C48">
        <v>0.12479999999999999</v>
      </c>
      <c r="D48" s="162"/>
    </row>
    <row r="49" spans="1:4">
      <c r="A49" s="163">
        <v>45288</v>
      </c>
      <c r="B49">
        <v>1.7501782408830529E-2</v>
      </c>
      <c r="C49">
        <v>4.6399999999999997E-2</v>
      </c>
      <c r="D49" s="162"/>
    </row>
    <row r="50" spans="1:4">
      <c r="A50" s="163">
        <v>45319</v>
      </c>
      <c r="B50">
        <v>-5.4897313557708612E-2</v>
      </c>
      <c r="C50">
        <v>-2.9999999999999997E-4</v>
      </c>
      <c r="D50" s="162"/>
    </row>
    <row r="51" spans="1:4">
      <c r="A51" s="163">
        <v>45350</v>
      </c>
      <c r="B51">
        <v>1.1996391966177539E-2</v>
      </c>
      <c r="C51">
        <v>2.7799999999999998E-2</v>
      </c>
      <c r="D51" s="162"/>
    </row>
    <row r="52" spans="1:4">
      <c r="A52" s="163">
        <v>45379</v>
      </c>
      <c r="B52">
        <v>0.1203781510755961</v>
      </c>
      <c r="C52">
        <v>3.0800000000000001E-2</v>
      </c>
      <c r="D52" s="162"/>
    </row>
    <row r="53" spans="1:4">
      <c r="A53" s="163">
        <v>45410</v>
      </c>
      <c r="B53">
        <v>6.4112003736934015E-2</v>
      </c>
      <c r="C53">
        <v>4.9299999999999997E-2</v>
      </c>
      <c r="D53" s="162"/>
    </row>
    <row r="54" spans="1:4">
      <c r="A54" s="163">
        <v>45440</v>
      </c>
      <c r="B54">
        <v>2.406050237626231E-2</v>
      </c>
      <c r="C54">
        <v>2.8999999999999998E-3</v>
      </c>
      <c r="D54" s="162"/>
    </row>
    <row r="55" spans="1:4">
      <c r="A55" s="163">
        <v>45471</v>
      </c>
      <c r="B55">
        <v>1.974072745087279E-2</v>
      </c>
      <c r="C55">
        <v>2.75E-2</v>
      </c>
      <c r="D55" s="162"/>
    </row>
    <row r="56" spans="1:4">
      <c r="A56" s="163">
        <v>45501</v>
      </c>
      <c r="B56">
        <v>-3.9441009904520902E-2</v>
      </c>
      <c r="C56">
        <v>1.2699999999999999E-2</v>
      </c>
      <c r="D56" s="162"/>
    </row>
    <row r="57" spans="1:4">
      <c r="A57" s="163">
        <v>45532</v>
      </c>
      <c r="B57">
        <v>7.7179265708166639E-3</v>
      </c>
      <c r="C57">
        <v>2.8999999999999901E-2</v>
      </c>
      <c r="D57" s="162"/>
    </row>
    <row r="58" spans="1:4">
      <c r="A58" s="163">
        <v>45563</v>
      </c>
      <c r="B58">
        <v>-9.9484856940726708E-3</v>
      </c>
      <c r="C58">
        <v>-4.3700000000000003E-2</v>
      </c>
      <c r="D58" s="162"/>
    </row>
    <row r="59" spans="1:4">
      <c r="A59" s="163">
        <v>45593</v>
      </c>
      <c r="B59">
        <v>-9.7863096962537852E-2</v>
      </c>
      <c r="C59">
        <v>6.6500000000000004E-2</v>
      </c>
      <c r="D59" s="162"/>
    </row>
    <row r="60" spans="1:4">
      <c r="A60" s="163">
        <v>45624</v>
      </c>
      <c r="B60">
        <v>-8.7905842258344281E-3</v>
      </c>
      <c r="C60">
        <v>-1.55E-2</v>
      </c>
      <c r="D60" s="162"/>
    </row>
    <row r="61" spans="1:4">
      <c r="A61" s="163">
        <v>45654</v>
      </c>
      <c r="B61">
        <v>4.2824211999999999E-3</v>
      </c>
      <c r="C61" s="40">
        <v>2.3157238530000001E-3</v>
      </c>
      <c r="D61" s="16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5"/>
  <dimension ref="A1:M26"/>
  <sheetViews>
    <sheetView workbookViewId="0">
      <selection activeCell="M19" sqref="M19"/>
    </sheetView>
  </sheetViews>
  <sheetFormatPr defaultColWidth="9.1796875" defaultRowHeight="14.5"/>
  <cols>
    <col min="2" max="2" width="9.81640625" bestFit="1" customWidth="1"/>
    <col min="3" max="3" width="9.54296875" customWidth="1"/>
    <col min="4" max="4" width="9.81640625" bestFit="1" customWidth="1"/>
    <col min="11" max="11" width="12.54296875" bestFit="1" customWidth="1"/>
  </cols>
  <sheetData>
    <row r="1" spans="1:10">
      <c r="B1" s="273" t="s">
        <v>192</v>
      </c>
      <c r="C1" s="275"/>
      <c r="D1" s="275"/>
    </row>
    <row r="2" spans="1:10">
      <c r="B2" s="1" t="s">
        <v>182</v>
      </c>
      <c r="C2" s="1" t="s">
        <v>183</v>
      </c>
      <c r="D2" s="1" t="s">
        <v>590</v>
      </c>
    </row>
    <row r="3" spans="1:10">
      <c r="B3">
        <v>0.15</v>
      </c>
      <c r="C3">
        <v>0.26</v>
      </c>
      <c r="D3">
        <v>0.04</v>
      </c>
    </row>
    <row r="5" spans="1:10">
      <c r="B5" s="273" t="s">
        <v>157</v>
      </c>
      <c r="C5" s="275"/>
      <c r="D5" s="275"/>
    </row>
    <row r="6" spans="1:10">
      <c r="F6" s="273"/>
      <c r="G6" s="275"/>
      <c r="H6" s="275"/>
    </row>
    <row r="7" spans="1:10">
      <c r="B7" s="1" t="s">
        <v>182</v>
      </c>
      <c r="C7" s="1" t="s">
        <v>183</v>
      </c>
      <c r="D7" s="1" t="s">
        <v>590</v>
      </c>
      <c r="F7" s="1"/>
      <c r="G7" s="1"/>
      <c r="H7" s="1"/>
    </row>
    <row r="8" spans="1:10">
      <c r="A8" s="1" t="s">
        <v>182</v>
      </c>
      <c r="B8">
        <v>2.5600000000000001E-2</v>
      </c>
      <c r="C8">
        <v>1.2800000000000001E-2</v>
      </c>
      <c r="D8">
        <v>-1.1039999999999999E-2</v>
      </c>
    </row>
    <row r="9" spans="1:10">
      <c r="A9" s="1" t="s">
        <v>183</v>
      </c>
      <c r="B9">
        <v>1.2800000000000001E-2</v>
      </c>
      <c r="C9">
        <v>4.0000000000000008E-2</v>
      </c>
      <c r="D9">
        <v>-8.9999999999999993E-3</v>
      </c>
    </row>
    <row r="10" spans="1:10">
      <c r="A10" s="1" t="s">
        <v>590</v>
      </c>
      <c r="B10">
        <v>-1.1039999999999999E-2</v>
      </c>
      <c r="C10">
        <v>-8.9999999999999993E-3</v>
      </c>
      <c r="D10">
        <v>0.09</v>
      </c>
    </row>
    <row r="13" spans="1:10">
      <c r="B13" s="273" t="s">
        <v>196</v>
      </c>
      <c r="C13" s="275"/>
      <c r="D13" s="275"/>
      <c r="H13" s="273" t="s">
        <v>197</v>
      </c>
      <c r="I13" s="275"/>
      <c r="J13" s="275"/>
    </row>
    <row r="14" spans="1:10">
      <c r="B14" s="274" t="s">
        <v>198</v>
      </c>
      <c r="C14" s="275"/>
      <c r="D14" s="275"/>
      <c r="H14" s="274" t="s">
        <v>198</v>
      </c>
      <c r="I14" s="275"/>
      <c r="J14" s="275"/>
    </row>
    <row r="15" spans="1:10">
      <c r="B15" s="1" t="s">
        <v>182</v>
      </c>
      <c r="C15" s="1" t="s">
        <v>183</v>
      </c>
      <c r="D15" s="1" t="s">
        <v>590</v>
      </c>
      <c r="F15" s="1"/>
      <c r="H15" s="1" t="s">
        <v>182</v>
      </c>
      <c r="I15" s="1" t="s">
        <v>183</v>
      </c>
      <c r="J15" s="1" t="s">
        <v>590</v>
      </c>
    </row>
    <row r="16" spans="1:10">
      <c r="B16">
        <v>0.5</v>
      </c>
      <c r="C16">
        <v>0.3</v>
      </c>
      <c r="D16">
        <f>1-SUM(B16:C16)</f>
        <v>0.19999999999999996</v>
      </c>
      <c r="F16" s="1"/>
      <c r="H16">
        <v>0.32605675075148888</v>
      </c>
      <c r="I16">
        <v>0.54616928765323192</v>
      </c>
      <c r="J16">
        <f>1-SUM(H16:I16)</f>
        <v>0.12777396159527921</v>
      </c>
    </row>
    <row r="18" spans="1:13">
      <c r="B18" t="s">
        <v>199</v>
      </c>
      <c r="C18" t="s">
        <v>200</v>
      </c>
      <c r="D18" t="s">
        <v>13</v>
      </c>
      <c r="E18" t="s">
        <v>201</v>
      </c>
      <c r="H18" t="s">
        <v>199</v>
      </c>
      <c r="I18" t="s">
        <v>200</v>
      </c>
      <c r="J18" t="s">
        <v>13</v>
      </c>
      <c r="K18" t="s">
        <v>201</v>
      </c>
    </row>
    <row r="19" spans="1:13">
      <c r="A19" s="1" t="s">
        <v>182</v>
      </c>
      <c r="B19">
        <f>SUMPRODUCT($B$16:$D$16,B8:D8)</f>
        <v>1.4432000000000002E-2</v>
      </c>
      <c r="C19">
        <f>B19/$B$23</f>
        <v>1.0197851893725269</v>
      </c>
      <c r="D19">
        <f>B3</f>
        <v>0.15</v>
      </c>
      <c r="E19">
        <f>D19-(0.01+C19*($B$24-0.01))</f>
        <v>-1.3987563595251579E-2</v>
      </c>
      <c r="F19" s="30"/>
      <c r="G19" s="1" t="s">
        <v>182</v>
      </c>
      <c r="H19">
        <f>SUMPRODUCT($H$16:$J$16,B8:D8)</f>
        <v>1.3927395165187604E-2</v>
      </c>
      <c r="I19">
        <f>H19/$H$23</f>
        <v>0.75259337657122194</v>
      </c>
      <c r="J19">
        <f>D19</f>
        <v>0.15</v>
      </c>
      <c r="K19" s="40">
        <f>J19-(0.01+I19*($H$24-0.01))</f>
        <v>-4.3349724004881907E-8</v>
      </c>
      <c r="M19" t="s">
        <v>189</v>
      </c>
    </row>
    <row r="20" spans="1:13">
      <c r="A20" s="1" t="s">
        <v>183</v>
      </c>
      <c r="B20">
        <f>SUMPRODUCT($B$16:$D$16,B9:D9)</f>
        <v>1.6600000000000004E-2</v>
      </c>
      <c r="C20">
        <f>B20/$B$23</f>
        <v>1.1729790842283778</v>
      </c>
      <c r="D20">
        <f>C3</f>
        <v>0.26</v>
      </c>
      <c r="E20">
        <f>D20-(0.01+C20*($B$24-0.01))</f>
        <v>7.2880158281514951E-2</v>
      </c>
      <c r="G20" s="1" t="s">
        <v>183</v>
      </c>
      <c r="H20">
        <f>SUMPRODUCT($H$16:$J$16,B9:D9)</f>
        <v>2.4870332261390828E-2</v>
      </c>
      <c r="I20">
        <f>H20/$H$23</f>
        <v>1.3439158658923709</v>
      </c>
      <c r="J20">
        <f>D20</f>
        <v>0.26</v>
      </c>
      <c r="K20" s="40">
        <f>J20-(0.01+I20*($H$24-0.01))</f>
        <v>8.5915573710959592E-8</v>
      </c>
    </row>
    <row r="21" spans="1:13">
      <c r="A21" s="1" t="s">
        <v>590</v>
      </c>
      <c r="B21">
        <f>SUMPRODUCT($B$16:$D$16,B10:D10)</f>
        <v>9.7799999999999953E-3</v>
      </c>
      <c r="C21">
        <f>B21/$B$23</f>
        <v>0.69106840022611604</v>
      </c>
      <c r="D21">
        <f>D3</f>
        <v>0.04</v>
      </c>
      <c r="E21">
        <f>D21-(0.01+C21*($B$24-0.01))</f>
        <v>-7.4351328434143521E-2</v>
      </c>
      <c r="G21" s="1" t="s">
        <v>590</v>
      </c>
      <c r="H21">
        <f>SUMPRODUCT($H$16:$J$16,B10:D10)</f>
        <v>2.9844664263996047E-3</v>
      </c>
      <c r="I21">
        <f>H21/$H$23</f>
        <v>0.16127133885895395</v>
      </c>
      <c r="J21">
        <f>D21</f>
        <v>0.04</v>
      </c>
      <c r="K21" s="40">
        <f>J21-(0.01+I21*($H$24-0.01))</f>
        <v>-2.5662487995736782E-7</v>
      </c>
    </row>
    <row r="23" spans="1:13">
      <c r="A23" t="s">
        <v>202</v>
      </c>
      <c r="B23">
        <f>SUMPRODUCT(MMULT(B16:D16,B8:D10),B16:D16)</f>
        <v>1.4152000000000001E-2</v>
      </c>
      <c r="G23" t="s">
        <v>202</v>
      </c>
      <c r="H23">
        <f>SUMPRODUCT(MMULT(H16:J16,B8:D10),H16:J16)</f>
        <v>1.8505869967445267E-2</v>
      </c>
    </row>
    <row r="24" spans="1:13">
      <c r="A24" t="s">
        <v>49</v>
      </c>
      <c r="B24">
        <f>SUMPRODUCT(B16:D16,B3:D3)</f>
        <v>0.161</v>
      </c>
      <c r="G24" t="s">
        <v>49</v>
      </c>
      <c r="H24">
        <f>SUMPRODUCT(H16:J16,B3:D3)</f>
        <v>0.1960234858663748</v>
      </c>
    </row>
    <row r="25" spans="1:13">
      <c r="A25" t="s">
        <v>169</v>
      </c>
      <c r="B25">
        <f>(B24-0.01)/SQRT(B23)</f>
        <v>1.2693109813750256</v>
      </c>
      <c r="G25" t="s">
        <v>169</v>
      </c>
      <c r="H25">
        <f>(H24-0.01)/SQRT(H23)</f>
        <v>1.3674549421487867</v>
      </c>
    </row>
    <row r="26" spans="1:13">
      <c r="B26" s="1"/>
    </row>
  </sheetData>
  <mergeCells count="7">
    <mergeCell ref="B1:D1"/>
    <mergeCell ref="B13:D13"/>
    <mergeCell ref="H13:J13"/>
    <mergeCell ref="H14:J14"/>
    <mergeCell ref="F6:H6"/>
    <mergeCell ref="B5:D5"/>
    <mergeCell ref="B14:D14"/>
  </mergeCells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0"/>
  <dimension ref="A1:R63"/>
  <sheetViews>
    <sheetView workbookViewId="0">
      <selection activeCell="A4" sqref="A4:B63"/>
    </sheetView>
  </sheetViews>
  <sheetFormatPr defaultRowHeight="14.5"/>
  <cols>
    <col min="5" max="5" width="3.81640625" customWidth="1"/>
    <col min="6" max="6" width="10" customWidth="1"/>
    <col min="7" max="7" width="12.1796875" customWidth="1"/>
    <col min="8" max="8" width="3.81640625" customWidth="1"/>
    <col min="9" max="9" width="12.54296875" customWidth="1"/>
    <col min="10" max="10" width="15.81640625" customWidth="1"/>
    <col min="12" max="12" width="12.81640625" bestFit="1" customWidth="1"/>
    <col min="15" max="15" width="13.453125" bestFit="1" customWidth="1"/>
    <col min="16" max="16" width="12.54296875" customWidth="1"/>
    <col min="17" max="17" width="11.1796875" customWidth="1"/>
    <col min="18" max="18" width="12.81640625" bestFit="1" customWidth="1"/>
  </cols>
  <sheetData>
    <row r="1" spans="1:18">
      <c r="I1" s="1"/>
      <c r="J1" s="1"/>
      <c r="L1" s="1"/>
      <c r="M1" s="1"/>
      <c r="R1" s="1"/>
    </row>
    <row r="2" spans="1:18">
      <c r="I2" s="1"/>
      <c r="J2" s="1"/>
      <c r="L2" s="1"/>
      <c r="M2" s="1"/>
    </row>
    <row r="3" spans="1:18">
      <c r="B3" s="273" t="s">
        <v>61</v>
      </c>
      <c r="C3" s="275"/>
      <c r="F3" s="273" t="s">
        <v>60</v>
      </c>
      <c r="G3" s="275"/>
    </row>
    <row r="4" spans="1:18">
      <c r="A4" t="s">
        <v>43</v>
      </c>
      <c r="B4" s="49" t="s">
        <v>62</v>
      </c>
      <c r="C4" s="49" t="s">
        <v>63</v>
      </c>
      <c r="D4" s="1" t="s">
        <v>64</v>
      </c>
      <c r="F4" s="49" t="s">
        <v>62</v>
      </c>
      <c r="G4" s="49" t="s">
        <v>63</v>
      </c>
    </row>
    <row r="5" spans="1:18">
      <c r="A5" t="s">
        <v>65</v>
      </c>
      <c r="B5">
        <v>5.1388423267246498E-2</v>
      </c>
      <c r="C5">
        <v>1.9800000000000002E-2</v>
      </c>
      <c r="D5">
        <v>4.0000000000000002E-4</v>
      </c>
      <c r="F5">
        <f t="shared" ref="F5:F36" si="0">B5-D5</f>
        <v>5.0988423267246501E-2</v>
      </c>
      <c r="G5">
        <f t="shared" ref="G5:G36" si="1">C5-D5</f>
        <v>1.9400000000000001E-2</v>
      </c>
      <c r="J5" t="s">
        <v>129</v>
      </c>
    </row>
    <row r="6" spans="1:18" ht="15.75" customHeight="1" thickBot="1">
      <c r="A6" t="s">
        <v>68</v>
      </c>
      <c r="B6">
        <v>3.85160182031885E-2</v>
      </c>
      <c r="C6">
        <v>3.6099999999999903E-2</v>
      </c>
      <c r="D6">
        <v>4.0000000000000002E-4</v>
      </c>
      <c r="F6">
        <f t="shared" si="0"/>
        <v>3.8116018203188502E-2</v>
      </c>
      <c r="G6">
        <f t="shared" si="1"/>
        <v>3.5699999999999905E-2</v>
      </c>
    </row>
    <row r="7" spans="1:18">
      <c r="A7" t="s">
        <v>71</v>
      </c>
      <c r="B7">
        <v>-3.1586713627368597E-2</v>
      </c>
      <c r="C7">
        <v>2E-3</v>
      </c>
      <c r="D7">
        <v>2.9999999999999997E-4</v>
      </c>
      <c r="F7">
        <f t="shared" si="0"/>
        <v>-3.1886713627368599E-2</v>
      </c>
      <c r="G7">
        <f t="shared" si="1"/>
        <v>1.7000000000000001E-3</v>
      </c>
      <c r="J7" s="23" t="s">
        <v>130</v>
      </c>
      <c r="K7" s="23"/>
    </row>
    <row r="8" spans="1:18">
      <c r="A8" t="s">
        <v>72</v>
      </c>
      <c r="B8">
        <v>-7.9533940251066901E-2</v>
      </c>
      <c r="C8">
        <v>1.14E-2</v>
      </c>
      <c r="D8">
        <v>5.0000000000000001E-4</v>
      </c>
      <c r="F8">
        <f t="shared" si="0"/>
        <v>-8.0033940251066901E-2</v>
      </c>
      <c r="G8">
        <f t="shared" si="1"/>
        <v>1.09E-2</v>
      </c>
      <c r="J8" t="s">
        <v>131</v>
      </c>
      <c r="K8">
        <v>0.699141442456367</v>
      </c>
    </row>
    <row r="9" spans="1:18">
      <c r="A9" t="s">
        <v>73</v>
      </c>
      <c r="B9">
        <v>-3.8486586189144599E-2</v>
      </c>
      <c r="C9">
        <v>1.12E-2</v>
      </c>
      <c r="D9">
        <v>5.9999999999999995E-4</v>
      </c>
      <c r="F9">
        <f t="shared" si="0"/>
        <v>-3.9086586189144602E-2</v>
      </c>
      <c r="G9">
        <f t="shared" si="1"/>
        <v>1.06E-2</v>
      </c>
      <c r="J9" t="s">
        <v>132</v>
      </c>
      <c r="K9">
        <v>0.48879875655996952</v>
      </c>
    </row>
    <row r="10" spans="1:18">
      <c r="A10" t="s">
        <v>74</v>
      </c>
      <c r="B10">
        <v>7.8621253287678404E-3</v>
      </c>
      <c r="C10">
        <v>8.3999999999999995E-3</v>
      </c>
      <c r="D10">
        <v>5.9999999999999995E-4</v>
      </c>
      <c r="F10">
        <f t="shared" si="0"/>
        <v>7.2621253287678406E-3</v>
      </c>
      <c r="G10">
        <f t="shared" si="1"/>
        <v>7.7999999999999996E-3</v>
      </c>
      <c r="J10" t="s">
        <v>133</v>
      </c>
      <c r="K10">
        <v>0.47983031369260049</v>
      </c>
    </row>
    <row r="11" spans="1:18">
      <c r="A11" t="s">
        <v>75</v>
      </c>
      <c r="B11">
        <v>-5.9546051896818698E-2</v>
      </c>
      <c r="C11">
        <v>1.9400000000000001E-2</v>
      </c>
      <c r="D11">
        <v>7.000000000000001E-4</v>
      </c>
      <c r="F11">
        <f t="shared" si="0"/>
        <v>-6.0246051896818698E-2</v>
      </c>
      <c r="G11">
        <f t="shared" si="1"/>
        <v>1.8700000000000001E-2</v>
      </c>
      <c r="J11" t="s">
        <v>134</v>
      </c>
      <c r="K11">
        <v>5.082403213542204E-2</v>
      </c>
    </row>
    <row r="12" spans="1:18" ht="15.75" customHeight="1" thickBot="1">
      <c r="A12" t="s">
        <v>76</v>
      </c>
      <c r="B12">
        <v>-8.9038933076213101E-4</v>
      </c>
      <c r="C12">
        <v>2.5000000000000001E-3</v>
      </c>
      <c r="D12">
        <v>8.9999999999999998E-4</v>
      </c>
      <c r="F12">
        <f t="shared" si="0"/>
        <v>-1.7903893307621311E-3</v>
      </c>
      <c r="G12">
        <f t="shared" si="1"/>
        <v>1.6000000000000001E-3</v>
      </c>
      <c r="J12" s="21" t="s">
        <v>135</v>
      </c>
      <c r="K12" s="21">
        <v>59</v>
      </c>
    </row>
    <row r="13" spans="1:18">
      <c r="A13" t="s">
        <v>77</v>
      </c>
      <c r="B13">
        <v>1.43327526987091E-2</v>
      </c>
      <c r="C13">
        <v>2.5999999999999999E-2</v>
      </c>
      <c r="D13">
        <v>8.9999999999999998E-4</v>
      </c>
      <c r="F13">
        <f t="shared" si="0"/>
        <v>1.34327526987091E-2</v>
      </c>
      <c r="G13">
        <f t="shared" si="1"/>
        <v>2.5099999999999997E-2</v>
      </c>
    </row>
    <row r="14" spans="1:18" ht="15.75" customHeight="1" thickBot="1">
      <c r="A14" t="s">
        <v>78</v>
      </c>
      <c r="B14">
        <v>6.1896583050251801E-2</v>
      </c>
      <c r="C14">
        <v>2.3400000000000001E-2</v>
      </c>
      <c r="D14">
        <v>8.9999999999999998E-4</v>
      </c>
      <c r="F14">
        <f t="shared" si="0"/>
        <v>6.0996583050251803E-2</v>
      </c>
      <c r="G14">
        <f t="shared" si="1"/>
        <v>2.2499999999999999E-2</v>
      </c>
      <c r="J14" t="s">
        <v>136</v>
      </c>
    </row>
    <row r="15" spans="1:18">
      <c r="A15" t="s">
        <v>79</v>
      </c>
      <c r="B15">
        <v>9.4054817028776903E-3</v>
      </c>
      <c r="C15">
        <v>3.2000000000000001E-2</v>
      </c>
      <c r="D15">
        <v>8.0000000000000004E-4</v>
      </c>
      <c r="F15">
        <f t="shared" si="0"/>
        <v>8.60548170287769E-3</v>
      </c>
      <c r="G15">
        <f t="shared" si="1"/>
        <v>3.1200000000000002E-2</v>
      </c>
      <c r="J15" s="22"/>
      <c r="K15" s="22" t="s">
        <v>137</v>
      </c>
      <c r="L15" s="22" t="s">
        <v>138</v>
      </c>
      <c r="M15" s="22" t="s">
        <v>139</v>
      </c>
      <c r="N15" s="22" t="s">
        <v>140</v>
      </c>
      <c r="O15" s="22" t="s">
        <v>141</v>
      </c>
    </row>
    <row r="16" spans="1:18">
      <c r="A16" t="s">
        <v>80</v>
      </c>
      <c r="B16">
        <v>-3.5721274152494798E-3</v>
      </c>
      <c r="C16">
        <v>1.15E-2</v>
      </c>
      <c r="D16">
        <v>8.9999999999999998E-4</v>
      </c>
      <c r="F16">
        <f t="shared" si="0"/>
        <v>-4.47212741524948E-3</v>
      </c>
      <c r="G16">
        <f t="shared" si="1"/>
        <v>1.06E-2</v>
      </c>
      <c r="J16" t="s">
        <v>142</v>
      </c>
      <c r="K16">
        <v>1</v>
      </c>
      <c r="L16">
        <v>0.14078334521383021</v>
      </c>
      <c r="M16">
        <v>0.14078334521383021</v>
      </c>
      <c r="N16">
        <v>54.502076200811743</v>
      </c>
      <c r="O16">
        <v>7.328372571321301E-10</v>
      </c>
    </row>
    <row r="17" spans="1:18">
      <c r="A17" t="s">
        <v>81</v>
      </c>
      <c r="B17">
        <v>6.7005627186340094E-2</v>
      </c>
      <c r="C17">
        <v>5.6899999999999999E-2</v>
      </c>
      <c r="D17">
        <v>1.1999999999999999E-3</v>
      </c>
      <c r="F17">
        <f t="shared" si="0"/>
        <v>6.5805627186340088E-2</v>
      </c>
      <c r="G17">
        <f t="shared" si="1"/>
        <v>5.57E-2</v>
      </c>
      <c r="J17" t="s">
        <v>143</v>
      </c>
      <c r="K17">
        <v>57</v>
      </c>
      <c r="L17">
        <v>0.14723568782263749</v>
      </c>
      <c r="M17">
        <v>2.5830822425024118E-3</v>
      </c>
    </row>
    <row r="18" spans="1:18" ht="15.75" customHeight="1" thickBot="1">
      <c r="A18" t="s">
        <v>82</v>
      </c>
      <c r="B18">
        <v>-3.87033623099984E-2</v>
      </c>
      <c r="C18">
        <v>-3.5400000000000001E-2</v>
      </c>
      <c r="D18">
        <v>1.1000000000000001E-3</v>
      </c>
      <c r="F18">
        <f t="shared" si="0"/>
        <v>-3.9803362309998397E-2</v>
      </c>
      <c r="G18">
        <f t="shared" si="1"/>
        <v>-3.6499999999999998E-2</v>
      </c>
      <c r="J18" s="21" t="s">
        <v>7</v>
      </c>
      <c r="K18" s="21">
        <v>58</v>
      </c>
      <c r="L18" s="21">
        <v>0.28801903303646759</v>
      </c>
      <c r="M18" s="21"/>
      <c r="N18" s="21"/>
      <c r="O18" s="21"/>
    </row>
    <row r="19" spans="1:18" ht="15.75" customHeight="1" thickBot="1">
      <c r="A19" t="s">
        <v>83</v>
      </c>
      <c r="B19">
        <v>-1.5401433289223099E-2</v>
      </c>
      <c r="C19">
        <v>-2.23E-2</v>
      </c>
      <c r="D19">
        <v>1.1000000000000001E-3</v>
      </c>
      <c r="F19">
        <f t="shared" si="0"/>
        <v>-1.65014332892231E-2</v>
      </c>
      <c r="G19">
        <f t="shared" si="1"/>
        <v>-2.3400000000000001E-2</v>
      </c>
    </row>
    <row r="20" spans="1:18">
      <c r="A20" t="s">
        <v>84</v>
      </c>
      <c r="B20">
        <v>-5.5204159568362401E-2</v>
      </c>
      <c r="C20">
        <v>4.3E-3</v>
      </c>
      <c r="D20">
        <v>1.4E-3</v>
      </c>
      <c r="F20">
        <f t="shared" si="0"/>
        <v>-5.66041595683624E-2</v>
      </c>
      <c r="G20">
        <f t="shared" si="1"/>
        <v>2.8999999999999998E-3</v>
      </c>
      <c r="J20" s="22"/>
      <c r="K20" s="22" t="s">
        <v>144</v>
      </c>
      <c r="L20" s="22" t="s">
        <v>134</v>
      </c>
      <c r="M20" s="22" t="s">
        <v>145</v>
      </c>
      <c r="N20" s="22" t="s">
        <v>146</v>
      </c>
      <c r="O20" s="22" t="s">
        <v>147</v>
      </c>
      <c r="P20" s="22" t="s">
        <v>148</v>
      </c>
      <c r="Q20" s="24"/>
      <c r="R20" s="24"/>
    </row>
    <row r="21" spans="1:18">
      <c r="A21" t="s">
        <v>85</v>
      </c>
      <c r="B21">
        <v>-1.43583341177253E-2</v>
      </c>
      <c r="C21">
        <v>2.7900000000000001E-2</v>
      </c>
      <c r="D21">
        <v>1.4E-3</v>
      </c>
      <c r="F21">
        <f t="shared" si="0"/>
        <v>-1.5758334117725301E-2</v>
      </c>
      <c r="G21">
        <f t="shared" si="1"/>
        <v>2.6500000000000003E-2</v>
      </c>
      <c r="J21" t="s">
        <v>149</v>
      </c>
      <c r="K21">
        <v>-1.440145629117434E-2</v>
      </c>
      <c r="L21">
        <v>6.912214016070636E-3</v>
      </c>
      <c r="M21">
        <v>-2.083479512887116</v>
      </c>
      <c r="N21">
        <v>4.1702839881325247E-2</v>
      </c>
      <c r="O21">
        <v>-2.8242926105582961E-2</v>
      </c>
      <c r="P21">
        <v>-5.5998647676572255E-4</v>
      </c>
    </row>
    <row r="22" spans="1:18" ht="15.75" customHeight="1" thickBot="1">
      <c r="A22" t="s">
        <v>86</v>
      </c>
      <c r="B22">
        <v>-1.1393220817302799E-2</v>
      </c>
      <c r="C22">
        <v>6.1999999999999998E-3</v>
      </c>
      <c r="D22">
        <v>1.4E-3</v>
      </c>
      <c r="F22">
        <f t="shared" si="0"/>
        <v>-1.2793220817302799E-2</v>
      </c>
      <c r="G22">
        <f t="shared" si="1"/>
        <v>4.7999999999999996E-3</v>
      </c>
      <c r="J22" s="21" t="s">
        <v>150</v>
      </c>
      <c r="K22" s="21">
        <v>1.051412485380689</v>
      </c>
      <c r="L22" s="21">
        <v>0.14241856535083641</v>
      </c>
      <c r="M22" s="21">
        <v>7.3825521468399868</v>
      </c>
      <c r="N22" s="21">
        <v>7.3283725713213795E-10</v>
      </c>
      <c r="O22" s="21">
        <v>0.76622422750385955</v>
      </c>
      <c r="P22" s="21">
        <v>1.336600743257518</v>
      </c>
    </row>
    <row r="23" spans="1:18">
      <c r="A23" t="s">
        <v>87</v>
      </c>
      <c r="B23">
        <v>3.7437389442292301E-2</v>
      </c>
      <c r="C23">
        <v>3.3499999999999898E-2</v>
      </c>
      <c r="D23">
        <v>1.6000000000000001E-3</v>
      </c>
      <c r="F23">
        <f t="shared" si="0"/>
        <v>3.5837389442292304E-2</v>
      </c>
      <c r="G23">
        <f t="shared" si="1"/>
        <v>3.1899999999999901E-2</v>
      </c>
    </row>
    <row r="24" spans="1:18">
      <c r="A24" t="s">
        <v>88</v>
      </c>
      <c r="B24">
        <v>2.1614208167150799E-2</v>
      </c>
      <c r="C24">
        <v>3.5999999999999997E-2</v>
      </c>
      <c r="D24">
        <v>1.6000000000000001E-3</v>
      </c>
      <c r="F24">
        <f t="shared" si="0"/>
        <v>2.0014208167150799E-2</v>
      </c>
      <c r="G24">
        <f t="shared" si="1"/>
        <v>3.44E-2</v>
      </c>
    </row>
    <row r="25" spans="1:18">
      <c r="A25" t="s">
        <v>89</v>
      </c>
      <c r="B25">
        <v>3.2290991097458401E-2</v>
      </c>
      <c r="C25">
        <v>2.0999999999999999E-3</v>
      </c>
      <c r="D25">
        <v>1.5E-3</v>
      </c>
      <c r="F25">
        <f t="shared" si="0"/>
        <v>3.0790991097458399E-2</v>
      </c>
      <c r="G25">
        <f t="shared" si="1"/>
        <v>5.9999999999999984E-4</v>
      </c>
    </row>
    <row r="26" spans="1:18">
      <c r="A26" t="s">
        <v>90</v>
      </c>
      <c r="B26">
        <v>-0.23662461471363799</v>
      </c>
      <c r="C26">
        <v>-7.4899999999999994E-2</v>
      </c>
      <c r="D26">
        <v>1.9E-3</v>
      </c>
      <c r="F26">
        <f t="shared" si="0"/>
        <v>-0.23852461471363801</v>
      </c>
      <c r="G26">
        <f t="shared" si="1"/>
        <v>-7.6799999999999993E-2</v>
      </c>
    </row>
    <row r="27" spans="1:18">
      <c r="A27" t="s">
        <v>91</v>
      </c>
      <c r="B27">
        <v>9.0294742845796902E-2</v>
      </c>
      <c r="C27">
        <v>1.8699999999999901E-2</v>
      </c>
      <c r="D27">
        <v>1.8E-3</v>
      </c>
      <c r="F27">
        <f t="shared" si="0"/>
        <v>8.8494742845796906E-2</v>
      </c>
      <c r="G27">
        <f t="shared" si="1"/>
        <v>1.6899999999999901E-2</v>
      </c>
    </row>
    <row r="28" spans="1:18">
      <c r="A28" t="s">
        <v>92</v>
      </c>
      <c r="B28">
        <v>-8.5297975685070401E-2</v>
      </c>
      <c r="C28">
        <v>-9.3600000000000003E-2</v>
      </c>
      <c r="D28">
        <v>2E-3</v>
      </c>
      <c r="F28">
        <f t="shared" si="0"/>
        <v>-8.7297975685070403E-2</v>
      </c>
      <c r="G28">
        <f t="shared" si="1"/>
        <v>-9.5600000000000004E-2</v>
      </c>
    </row>
    <row r="29" spans="1:18">
      <c r="A29" t="s">
        <v>93</v>
      </c>
      <c r="B29">
        <v>0.18254592606984599</v>
      </c>
      <c r="C29">
        <v>8.6199999999999999E-2</v>
      </c>
      <c r="D29">
        <v>2.0999999999999999E-3</v>
      </c>
      <c r="F29">
        <f t="shared" si="0"/>
        <v>0.180445926069846</v>
      </c>
      <c r="G29">
        <f t="shared" si="1"/>
        <v>8.4099999999999994E-2</v>
      </c>
    </row>
    <row r="30" spans="1:18">
      <c r="A30" t="s">
        <v>94</v>
      </c>
      <c r="B30">
        <v>3.9572792351278897E-2</v>
      </c>
      <c r="C30">
        <v>3.5799999999999998E-2</v>
      </c>
      <c r="D30">
        <v>1.8E-3</v>
      </c>
      <c r="F30">
        <f t="shared" si="0"/>
        <v>3.7772792351278894E-2</v>
      </c>
      <c r="G30">
        <f t="shared" si="1"/>
        <v>3.3999999999999996E-2</v>
      </c>
    </row>
    <row r="31" spans="1:18">
      <c r="A31" t="s">
        <v>95</v>
      </c>
      <c r="B31">
        <v>2.1501498060615399E-2</v>
      </c>
      <c r="C31">
        <v>1.29E-2</v>
      </c>
      <c r="D31">
        <v>1.9E-3</v>
      </c>
      <c r="F31">
        <f t="shared" si="0"/>
        <v>1.96014980606154E-2</v>
      </c>
      <c r="G31">
        <f t="shared" si="1"/>
        <v>1.0999999999999999E-2</v>
      </c>
    </row>
    <row r="32" spans="1:18">
      <c r="A32" t="s">
        <v>96</v>
      </c>
      <c r="B32">
        <v>-5.8824325616960698E-3</v>
      </c>
      <c r="C32">
        <v>4.1699999999999897E-2</v>
      </c>
      <c r="D32">
        <v>2.0999999999999999E-3</v>
      </c>
      <c r="F32">
        <f t="shared" si="0"/>
        <v>-7.9824325616960692E-3</v>
      </c>
      <c r="G32">
        <f t="shared" si="1"/>
        <v>3.9599999999999899E-2</v>
      </c>
    </row>
    <row r="33" spans="1:7">
      <c r="A33" t="s">
        <v>97</v>
      </c>
      <c r="B33">
        <v>-8.3920448264016595E-2</v>
      </c>
      <c r="C33">
        <v>-6.7299999999999999E-2</v>
      </c>
      <c r="D33">
        <v>2.0999999999999999E-3</v>
      </c>
      <c r="F33">
        <f t="shared" si="0"/>
        <v>-8.60204482640166E-2</v>
      </c>
      <c r="G33">
        <f t="shared" si="1"/>
        <v>-6.9400000000000003E-2</v>
      </c>
    </row>
    <row r="34" spans="1:7">
      <c r="A34" t="s">
        <v>98</v>
      </c>
      <c r="B34">
        <v>8.5912286105190597E-2</v>
      </c>
      <c r="C34">
        <v>7.1099999999999997E-2</v>
      </c>
      <c r="D34">
        <v>1.8E-3</v>
      </c>
      <c r="F34">
        <f t="shared" si="0"/>
        <v>8.4112286105190601E-2</v>
      </c>
      <c r="G34">
        <f t="shared" si="1"/>
        <v>6.93E-2</v>
      </c>
    </row>
    <row r="35" spans="1:7">
      <c r="A35" t="s">
        <v>99</v>
      </c>
      <c r="B35">
        <v>7.4981704280265099E-2</v>
      </c>
      <c r="C35">
        <v>1.38E-2</v>
      </c>
      <c r="D35">
        <v>1.9E-3</v>
      </c>
      <c r="F35">
        <f t="shared" si="0"/>
        <v>7.30817042802651E-2</v>
      </c>
      <c r="G35">
        <f t="shared" si="1"/>
        <v>1.1899999999999999E-2</v>
      </c>
    </row>
    <row r="36" spans="1:7">
      <c r="A36" t="s">
        <v>100</v>
      </c>
      <c r="B36">
        <v>-7.4966739127110701E-2</v>
      </c>
      <c r="C36">
        <v>-2.4199999999999999E-2</v>
      </c>
      <c r="D36">
        <v>1.6000000000000001E-3</v>
      </c>
      <c r="F36">
        <f t="shared" si="0"/>
        <v>-7.6566739127110706E-2</v>
      </c>
      <c r="G36">
        <f t="shared" si="1"/>
        <v>-2.58E-2</v>
      </c>
    </row>
    <row r="37" spans="1:7">
      <c r="A37" t="s">
        <v>101</v>
      </c>
      <c r="B37">
        <v>7.2972721469506799E-2</v>
      </c>
      <c r="C37">
        <v>1.61E-2</v>
      </c>
      <c r="D37">
        <v>1.8E-3</v>
      </c>
      <c r="F37">
        <f t="shared" ref="F37:F63" si="2">B37-D37</f>
        <v>7.1172721469506803E-2</v>
      </c>
      <c r="G37">
        <f t="shared" ref="G37:G63" si="3">C37-D37</f>
        <v>1.43E-2</v>
      </c>
    </row>
    <row r="38" spans="1:7">
      <c r="A38" t="s">
        <v>102</v>
      </c>
      <c r="B38">
        <v>-8.0387834747274498E-2</v>
      </c>
      <c r="C38">
        <v>2.2100000000000002E-2</v>
      </c>
      <c r="D38">
        <v>1.6000000000000001E-3</v>
      </c>
      <c r="F38">
        <f t="shared" si="2"/>
        <v>-8.1987834747274502E-2</v>
      </c>
      <c r="G38">
        <f t="shared" si="3"/>
        <v>2.0500000000000001E-2</v>
      </c>
    </row>
    <row r="39" spans="1:7">
      <c r="A39" t="s">
        <v>103</v>
      </c>
      <c r="B39">
        <v>1.72586475114084E-2</v>
      </c>
      <c r="C39">
        <v>3.9899999999999998E-2</v>
      </c>
      <c r="D39">
        <v>1.1999999999999999E-3</v>
      </c>
      <c r="F39">
        <f t="shared" si="2"/>
        <v>1.6058647511408401E-2</v>
      </c>
      <c r="G39">
        <f t="shared" si="3"/>
        <v>3.8699999999999998E-2</v>
      </c>
    </row>
    <row r="40" spans="1:7">
      <c r="A40" t="s">
        <v>104</v>
      </c>
      <c r="B40">
        <v>-3.0495484202665E-3</v>
      </c>
      <c r="C40">
        <v>2.9100000000000001E-2</v>
      </c>
      <c r="D40">
        <v>1.4E-3</v>
      </c>
      <c r="F40">
        <f t="shared" si="2"/>
        <v>-4.4495484202664998E-3</v>
      </c>
      <c r="G40">
        <f t="shared" si="3"/>
        <v>2.7700000000000002E-2</v>
      </c>
    </row>
    <row r="41" spans="1:7">
      <c r="A41" t="s">
        <v>105</v>
      </c>
      <c r="B41">
        <v>7.2291667790955305E-2</v>
      </c>
      <c r="C41">
        <v>1.9999999999999901E-4</v>
      </c>
      <c r="D41">
        <v>1.2999999999999999E-3</v>
      </c>
      <c r="F41">
        <f t="shared" si="2"/>
        <v>7.099166779095531E-2</v>
      </c>
      <c r="G41">
        <f t="shared" si="3"/>
        <v>-1.1000000000000009E-3</v>
      </c>
    </row>
    <row r="42" spans="1:7">
      <c r="A42" t="s">
        <v>106</v>
      </c>
      <c r="B42">
        <v>-8.5026984485784898E-2</v>
      </c>
      <c r="C42">
        <v>-8.0100000000000005E-2</v>
      </c>
      <c r="D42">
        <v>1.1999999999999999E-3</v>
      </c>
      <c r="F42">
        <f t="shared" si="2"/>
        <v>-8.6226984485784905E-2</v>
      </c>
      <c r="G42">
        <f t="shared" si="3"/>
        <v>-8.1300000000000011E-2</v>
      </c>
    </row>
    <row r="43" spans="1:7">
      <c r="A43" t="s">
        <v>107</v>
      </c>
      <c r="B43">
        <v>-0.14767567632833201</v>
      </c>
      <c r="C43">
        <v>-0.1326</v>
      </c>
      <c r="D43">
        <v>1.2999999999999999E-3</v>
      </c>
      <c r="F43">
        <f t="shared" si="2"/>
        <v>-0.148975676328332</v>
      </c>
      <c r="G43">
        <f t="shared" si="3"/>
        <v>-0.13389999999999999</v>
      </c>
    </row>
    <row r="44" spans="1:7">
      <c r="A44" t="s">
        <v>108</v>
      </c>
      <c r="B44">
        <v>0.13188481384076101</v>
      </c>
      <c r="C44">
        <v>0.13650000000000001</v>
      </c>
      <c r="D44">
        <v>0</v>
      </c>
      <c r="F44">
        <f t="shared" si="2"/>
        <v>0.13188481384076101</v>
      </c>
      <c r="G44">
        <f t="shared" si="3"/>
        <v>0.13650000000000001</v>
      </c>
    </row>
    <row r="45" spans="1:7">
      <c r="A45" t="s">
        <v>109</v>
      </c>
      <c r="B45">
        <v>8.0842695879219592E-3</v>
      </c>
      <c r="C45">
        <v>5.5899999999999998E-2</v>
      </c>
      <c r="D45">
        <v>1E-4</v>
      </c>
      <c r="F45">
        <f t="shared" si="2"/>
        <v>7.9842695879219598E-3</v>
      </c>
      <c r="G45">
        <f t="shared" si="3"/>
        <v>5.5799999999999995E-2</v>
      </c>
    </row>
    <row r="46" spans="1:7">
      <c r="A46" t="s">
        <v>110</v>
      </c>
      <c r="B46">
        <v>-3.30662762235025E-2</v>
      </c>
      <c r="C46">
        <v>2.47E-2</v>
      </c>
      <c r="D46">
        <v>1E-4</v>
      </c>
      <c r="F46">
        <f t="shared" si="2"/>
        <v>-3.3166276223502503E-2</v>
      </c>
      <c r="G46">
        <f t="shared" si="3"/>
        <v>2.46E-2</v>
      </c>
    </row>
    <row r="47" spans="1:7">
      <c r="A47" t="s">
        <v>111</v>
      </c>
      <c r="B47">
        <v>1.7967914804698001E-2</v>
      </c>
      <c r="C47">
        <v>5.7799999999999997E-2</v>
      </c>
      <c r="D47">
        <v>1E-4</v>
      </c>
      <c r="F47">
        <f t="shared" si="2"/>
        <v>1.7867914804698001E-2</v>
      </c>
      <c r="G47">
        <f t="shared" si="3"/>
        <v>5.7699999999999994E-2</v>
      </c>
    </row>
    <row r="48" spans="1:7">
      <c r="A48" t="s">
        <v>112</v>
      </c>
      <c r="B48">
        <v>1.61423811185867E-2</v>
      </c>
      <c r="C48">
        <v>7.6399999999999996E-2</v>
      </c>
      <c r="D48">
        <v>1E-4</v>
      </c>
      <c r="F48">
        <f t="shared" si="2"/>
        <v>1.6042381118586701E-2</v>
      </c>
      <c r="G48">
        <f t="shared" si="3"/>
        <v>7.6299999999999993E-2</v>
      </c>
    </row>
    <row r="49" spans="1:7">
      <c r="A49" t="s">
        <v>113</v>
      </c>
      <c r="B49">
        <v>-1.32998217325723E-2</v>
      </c>
      <c r="C49">
        <v>-3.6199999999999899E-2</v>
      </c>
      <c r="D49">
        <v>1E-4</v>
      </c>
      <c r="F49">
        <f t="shared" si="2"/>
        <v>-1.3399821732572299E-2</v>
      </c>
      <c r="G49">
        <f t="shared" si="3"/>
        <v>-3.6299999999999902E-2</v>
      </c>
    </row>
    <row r="50" spans="1:7">
      <c r="A50" t="s">
        <v>114</v>
      </c>
      <c r="B50">
        <v>-8.2271770332119298E-2</v>
      </c>
      <c r="C50">
        <v>-2.0899999999999998E-2</v>
      </c>
      <c r="D50">
        <v>1E-4</v>
      </c>
      <c r="F50">
        <f t="shared" si="2"/>
        <v>-8.2371770332119301E-2</v>
      </c>
      <c r="G50">
        <f t="shared" si="3"/>
        <v>-2.0999999999999998E-2</v>
      </c>
    </row>
    <row r="51" spans="1:7">
      <c r="A51" t="s">
        <v>115</v>
      </c>
      <c r="B51">
        <v>0.12225608811132101</v>
      </c>
      <c r="C51">
        <v>0.12479999999999999</v>
      </c>
      <c r="D51">
        <v>1E-4</v>
      </c>
      <c r="F51">
        <f t="shared" si="2"/>
        <v>0.122156088111321</v>
      </c>
      <c r="G51">
        <f t="shared" si="3"/>
        <v>0.12469999999999999</v>
      </c>
    </row>
    <row r="52" spans="1:7">
      <c r="A52" t="s">
        <v>116</v>
      </c>
      <c r="B52">
        <v>1.9106268708126699E-2</v>
      </c>
      <c r="C52">
        <v>4.6399999999999997E-2</v>
      </c>
      <c r="D52">
        <v>1E-4</v>
      </c>
      <c r="F52">
        <f t="shared" si="2"/>
        <v>1.9006268708126699E-2</v>
      </c>
      <c r="G52">
        <f t="shared" si="3"/>
        <v>4.6299999999999994E-2</v>
      </c>
    </row>
    <row r="53" spans="1:7">
      <c r="A53" t="s">
        <v>117</v>
      </c>
      <c r="B53">
        <v>-5.3781434156484599E-2</v>
      </c>
      <c r="C53">
        <v>-2.9999999999999997E-4</v>
      </c>
      <c r="D53">
        <v>1E-4</v>
      </c>
      <c r="F53">
        <f t="shared" si="2"/>
        <v>-5.3881434156484602E-2</v>
      </c>
      <c r="G53">
        <f t="shared" si="3"/>
        <v>-3.9999999999999996E-4</v>
      </c>
    </row>
    <row r="54" spans="1:7">
      <c r="A54" t="s">
        <v>118</v>
      </c>
      <c r="B54">
        <v>1.18314414028388E-2</v>
      </c>
      <c r="C54">
        <v>2.7799999999999998E-2</v>
      </c>
      <c r="D54">
        <v>0</v>
      </c>
      <c r="F54">
        <f t="shared" si="2"/>
        <v>1.18314414028388E-2</v>
      </c>
      <c r="G54">
        <f t="shared" si="3"/>
        <v>2.7799999999999998E-2</v>
      </c>
    </row>
    <row r="55" spans="1:7">
      <c r="A55" t="s">
        <v>119</v>
      </c>
      <c r="B55">
        <v>0.120491111390693</v>
      </c>
      <c r="C55">
        <v>3.0800000000000001E-2</v>
      </c>
      <c r="D55">
        <v>0</v>
      </c>
      <c r="F55">
        <f t="shared" si="2"/>
        <v>0.120491111390693</v>
      </c>
      <c r="G55">
        <f t="shared" si="3"/>
        <v>3.0800000000000001E-2</v>
      </c>
    </row>
    <row r="56" spans="1:7">
      <c r="A56" t="s">
        <v>120</v>
      </c>
      <c r="B56">
        <v>6.4685559815085905E-2</v>
      </c>
      <c r="C56">
        <v>4.9299999999999997E-2</v>
      </c>
      <c r="D56">
        <v>0</v>
      </c>
      <c r="F56">
        <f t="shared" si="2"/>
        <v>6.4685559815085905E-2</v>
      </c>
      <c r="G56">
        <f t="shared" si="3"/>
        <v>4.9299999999999997E-2</v>
      </c>
    </row>
    <row r="57" spans="1:7">
      <c r="A57" t="s">
        <v>121</v>
      </c>
      <c r="B57">
        <v>2.4429357670230099E-2</v>
      </c>
      <c r="C57">
        <v>2.8999999999999998E-3</v>
      </c>
      <c r="D57">
        <v>0</v>
      </c>
      <c r="F57">
        <f t="shared" si="2"/>
        <v>2.4429357670230099E-2</v>
      </c>
      <c r="G57">
        <f t="shared" si="3"/>
        <v>2.8999999999999998E-3</v>
      </c>
    </row>
    <row r="58" spans="1:7">
      <c r="A58" t="s">
        <v>122</v>
      </c>
      <c r="B58">
        <v>1.9827391542668101E-2</v>
      </c>
      <c r="C58">
        <v>2.75E-2</v>
      </c>
      <c r="D58">
        <v>0</v>
      </c>
      <c r="F58">
        <f t="shared" si="2"/>
        <v>1.9827391542668101E-2</v>
      </c>
      <c r="G58">
        <f t="shared" si="3"/>
        <v>2.75E-2</v>
      </c>
    </row>
    <row r="59" spans="1:7">
      <c r="A59" t="s">
        <v>123</v>
      </c>
      <c r="B59">
        <v>-3.8406380833571598E-2</v>
      </c>
      <c r="C59">
        <v>1.2699999999999999E-2</v>
      </c>
      <c r="D59">
        <v>0</v>
      </c>
      <c r="F59">
        <f t="shared" si="2"/>
        <v>-3.8406380833571598E-2</v>
      </c>
      <c r="G59">
        <f t="shared" si="3"/>
        <v>1.2699999999999999E-2</v>
      </c>
    </row>
    <row r="60" spans="1:7">
      <c r="A60" t="s">
        <v>124</v>
      </c>
      <c r="B60">
        <v>7.06378682017594E-3</v>
      </c>
      <c r="C60">
        <v>2.8999999999999901E-2</v>
      </c>
      <c r="D60">
        <v>0</v>
      </c>
      <c r="F60">
        <f t="shared" si="2"/>
        <v>7.06378682017594E-3</v>
      </c>
      <c r="G60">
        <f t="shared" si="3"/>
        <v>2.8999999999999901E-2</v>
      </c>
    </row>
    <row r="61" spans="1:7">
      <c r="A61" t="s">
        <v>125</v>
      </c>
      <c r="B61">
        <v>-1.00470631595045E-2</v>
      </c>
      <c r="C61">
        <v>-4.3700000000000003E-2</v>
      </c>
      <c r="D61">
        <v>0</v>
      </c>
      <c r="F61">
        <f t="shared" si="2"/>
        <v>-1.00470631595045E-2</v>
      </c>
      <c r="G61">
        <f t="shared" si="3"/>
        <v>-4.3700000000000003E-2</v>
      </c>
    </row>
    <row r="62" spans="1:7">
      <c r="A62" t="s">
        <v>126</v>
      </c>
      <c r="B62">
        <v>-9.9546513084460705E-2</v>
      </c>
      <c r="C62">
        <v>6.6500000000000004E-2</v>
      </c>
      <c r="D62">
        <v>0</v>
      </c>
      <c r="F62">
        <f t="shared" si="2"/>
        <v>-9.9546513084460705E-2</v>
      </c>
      <c r="G62">
        <f t="shared" si="3"/>
        <v>6.6500000000000004E-2</v>
      </c>
    </row>
    <row r="63" spans="1:7">
      <c r="A63" t="s">
        <v>127</v>
      </c>
      <c r="B63">
        <v>-7.8250983122879394E-3</v>
      </c>
      <c r="C63">
        <v>-1.55E-2</v>
      </c>
      <c r="D63">
        <v>0</v>
      </c>
      <c r="F63">
        <f t="shared" si="2"/>
        <v>-7.8250983122879394E-3</v>
      </c>
      <c r="G63">
        <f t="shared" si="3"/>
        <v>-1.55E-2</v>
      </c>
    </row>
  </sheetData>
  <mergeCells count="2">
    <mergeCell ref="F3:G3"/>
    <mergeCell ref="B3:C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A314C-7AB1-445F-9ACF-1E7EE3F75454}">
  <dimension ref="A3:F34"/>
  <sheetViews>
    <sheetView workbookViewId="0">
      <selection activeCell="G12" sqref="G11:G12"/>
    </sheetView>
  </sheetViews>
  <sheetFormatPr defaultRowHeight="14.5"/>
  <cols>
    <col min="1" max="1" width="8.453125" bestFit="1" customWidth="1"/>
    <col min="2" max="2" width="12.453125" bestFit="1" customWidth="1"/>
    <col min="3" max="3" width="11.54296875" bestFit="1" customWidth="1"/>
    <col min="5" max="5" width="12.54296875" bestFit="1" customWidth="1"/>
    <col min="6" max="6" width="9.54296875" bestFit="1" customWidth="1"/>
  </cols>
  <sheetData>
    <row r="3" spans="1:5">
      <c r="B3" s="273" t="s">
        <v>502</v>
      </c>
      <c r="C3" s="273"/>
    </row>
    <row r="4" spans="1:5">
      <c r="B4" s="3" t="s">
        <v>498</v>
      </c>
      <c r="C4" s="3" t="s">
        <v>499</v>
      </c>
      <c r="D4" s="1" t="s">
        <v>508</v>
      </c>
    </row>
    <row r="5" spans="1:5">
      <c r="A5" s="1"/>
      <c r="B5" s="4">
        <v>0.1</v>
      </c>
      <c r="C5" s="4">
        <v>0.1</v>
      </c>
      <c r="D5" s="12">
        <f>SQRT(C5)</f>
        <v>0.31622776601683794</v>
      </c>
    </row>
    <row r="6" spans="1:5">
      <c r="A6" s="1"/>
      <c r="B6" s="4"/>
      <c r="C6" s="4"/>
      <c r="D6" s="12"/>
    </row>
    <row r="7" spans="1:5">
      <c r="A7" s="1"/>
    </row>
    <row r="8" spans="1:5">
      <c r="B8" s="273" t="s">
        <v>503</v>
      </c>
      <c r="C8" s="273"/>
      <c r="D8" s="273"/>
      <c r="E8" s="273"/>
    </row>
    <row r="9" spans="1:5">
      <c r="B9" s="3" t="s">
        <v>509</v>
      </c>
      <c r="C9" s="3" t="s">
        <v>457</v>
      </c>
      <c r="D9" s="3" t="s">
        <v>188</v>
      </c>
      <c r="E9" s="1" t="s">
        <v>506</v>
      </c>
    </row>
    <row r="10" spans="1:5">
      <c r="A10" s="1" t="s">
        <v>500</v>
      </c>
      <c r="B10" s="4">
        <v>1.2</v>
      </c>
      <c r="C10" s="4">
        <v>0.3</v>
      </c>
      <c r="D10" s="4">
        <f>B10*B5</f>
        <v>0.12</v>
      </c>
      <c r="E10" s="4">
        <f>B10*C5</f>
        <v>0.12</v>
      </c>
    </row>
    <row r="11" spans="1:5">
      <c r="A11" s="1" t="s">
        <v>501</v>
      </c>
      <c r="B11" s="4">
        <v>0.7</v>
      </c>
      <c r="C11" s="4">
        <v>0.09</v>
      </c>
      <c r="D11" s="4">
        <f>B11*B5</f>
        <v>6.9999999999999993E-2</v>
      </c>
      <c r="E11" s="4">
        <f>B11*C5</f>
        <v>6.9999999999999993E-2</v>
      </c>
    </row>
    <row r="13" spans="1:5">
      <c r="A13" s="1" t="s">
        <v>159</v>
      </c>
      <c r="B13">
        <v>0.02</v>
      </c>
    </row>
    <row r="15" spans="1:5">
      <c r="B15" s="273" t="s">
        <v>157</v>
      </c>
      <c r="C15" s="273"/>
    </row>
    <row r="16" spans="1:5">
      <c r="B16">
        <f>C10</f>
        <v>0.3</v>
      </c>
      <c r="C16">
        <v>0.13</v>
      </c>
    </row>
    <row r="17" spans="2:6">
      <c r="B17">
        <v>0.01</v>
      </c>
      <c r="C17">
        <f>C11</f>
        <v>0.09</v>
      </c>
    </row>
    <row r="19" spans="2:6">
      <c r="B19" s="273" t="s">
        <v>13</v>
      </c>
      <c r="C19" s="273"/>
    </row>
    <row r="20" spans="2:6">
      <c r="B20" s="3" t="s">
        <v>0</v>
      </c>
      <c r="C20" s="3" t="s">
        <v>1</v>
      </c>
    </row>
    <row r="21" spans="2:6">
      <c r="B21" s="4">
        <f>D10+B13</f>
        <v>0.13999999999999999</v>
      </c>
      <c r="C21" s="4">
        <f>D11+B13</f>
        <v>0.09</v>
      </c>
    </row>
    <row r="22" spans="2:6">
      <c r="B22" s="4"/>
      <c r="C22" s="4"/>
    </row>
    <row r="23" spans="2:6">
      <c r="B23" s="4"/>
      <c r="C23" s="4"/>
    </row>
    <row r="24" spans="2:6">
      <c r="B24" s="1" t="s">
        <v>220</v>
      </c>
    </row>
    <row r="25" spans="2:6">
      <c r="B25" s="273" t="s">
        <v>6</v>
      </c>
      <c r="C25" s="273"/>
    </row>
    <row r="26" spans="2:6">
      <c r="B26" s="3" t="s">
        <v>0</v>
      </c>
      <c r="C26" s="3" t="s">
        <v>1</v>
      </c>
      <c r="D26" s="1" t="s">
        <v>13</v>
      </c>
      <c r="E26" s="1" t="s">
        <v>227</v>
      </c>
      <c r="F26" s="1" t="s">
        <v>169</v>
      </c>
    </row>
    <row r="27" spans="2:6">
      <c r="B27" s="29">
        <v>0.31891893867158538</v>
      </c>
      <c r="C27" s="29">
        <f>1-B27</f>
        <v>0.68108106132841462</v>
      </c>
      <c r="D27" s="5">
        <f>SUMPRODUCT(B27:C27,B21:C21)</f>
        <v>0.10594594693357925</v>
      </c>
      <c r="E27" s="5">
        <f>SQRT(SUMPRODUCT(MMULT(B27:C27,B16:C17),B27:C27))</f>
        <v>0.32042247863405154</v>
      </c>
      <c r="F27" s="29">
        <f>(D27-0.02)/E27</f>
        <v>0.26822695867020147</v>
      </c>
    </row>
    <row r="29" spans="2:6">
      <c r="B29" s="1" t="s">
        <v>504</v>
      </c>
    </row>
    <row r="30" spans="2:6">
      <c r="B30" s="273" t="s">
        <v>6</v>
      </c>
      <c r="C30" s="273"/>
    </row>
    <row r="31" spans="2:6">
      <c r="B31" s="3" t="s">
        <v>0</v>
      </c>
      <c r="C31" s="3" t="s">
        <v>1</v>
      </c>
      <c r="D31" s="1" t="s">
        <v>505</v>
      </c>
      <c r="E31" s="1" t="s">
        <v>227</v>
      </c>
      <c r="F31" s="1" t="s">
        <v>507</v>
      </c>
    </row>
    <row r="32" spans="2:6">
      <c r="B32" s="29">
        <v>0.31891893867178611</v>
      </c>
      <c r="C32" s="29">
        <f>1-B32</f>
        <v>0.68108106132821389</v>
      </c>
      <c r="D32" s="5">
        <f>B32*E10+C32*E11</f>
        <v>8.5945946933589298E-2</v>
      </c>
      <c r="E32" s="5">
        <f>SQRT(SUMPRODUCT(MMULT(B32:C32,B16:C17),B32:C32))</f>
        <v>0.3204224786340889</v>
      </c>
      <c r="F32" s="29">
        <f>D32/(E32*D5)</f>
        <v>0.84820811925768547</v>
      </c>
    </row>
    <row r="34" spans="4:4">
      <c r="D34" s="40"/>
    </row>
  </sheetData>
  <mergeCells count="6">
    <mergeCell ref="B30:C30"/>
    <mergeCell ref="B15:C15"/>
    <mergeCell ref="B3:C3"/>
    <mergeCell ref="B8:E8"/>
    <mergeCell ref="B19:C19"/>
    <mergeCell ref="B25:C2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A77"/>
  <sheetViews>
    <sheetView topLeftCell="A24" workbookViewId="0">
      <selection activeCell="A2" sqref="A2:C61"/>
    </sheetView>
  </sheetViews>
  <sheetFormatPr defaultRowHeight="14.5"/>
  <cols>
    <col min="1" max="1" width="10.453125" customWidth="1"/>
    <col min="4" max="4" width="3.54296875" customWidth="1"/>
    <col min="5" max="5" width="8.453125" customWidth="1"/>
    <col min="6" max="6" width="9.54296875" bestFit="1" customWidth="1"/>
    <col min="11" max="11" width="2" customWidth="1"/>
    <col min="12" max="12" width="21.453125" bestFit="1" customWidth="1"/>
    <col min="13" max="13" width="4.453125" customWidth="1"/>
    <col min="14" max="14" width="19.81640625" bestFit="1" customWidth="1"/>
    <col min="15" max="15" width="3.453125" customWidth="1"/>
    <col min="17" max="17" width="12" bestFit="1" customWidth="1"/>
    <col min="19" max="19" width="11.453125" bestFit="1" customWidth="1"/>
    <col min="20" max="20" width="12.81640625" bestFit="1" customWidth="1"/>
    <col min="21" max="21" width="14.54296875" bestFit="1" customWidth="1"/>
    <col min="22" max="22" width="11.453125" bestFit="1" customWidth="1"/>
    <col min="23" max="23" width="10.54296875" bestFit="1" customWidth="1"/>
    <col min="24" max="24" width="12.81640625" bestFit="1" customWidth="1"/>
    <col min="25" max="25" width="12.1796875" bestFit="1" customWidth="1"/>
  </cols>
  <sheetData>
    <row r="1" spans="1:27">
      <c r="L1" s="3"/>
      <c r="N1" s="280" t="s">
        <v>60</v>
      </c>
      <c r="O1" s="275"/>
      <c r="P1" s="275"/>
      <c r="Q1" s="275"/>
    </row>
    <row r="2" spans="1:27" ht="15" customHeight="1">
      <c r="B2" s="4" t="s">
        <v>0</v>
      </c>
      <c r="C2" s="4" t="s">
        <v>1</v>
      </c>
      <c r="D2" s="4"/>
      <c r="L2" s="3" t="s">
        <v>221</v>
      </c>
      <c r="N2" s="4" t="s">
        <v>221</v>
      </c>
      <c r="O2" s="4"/>
      <c r="P2" s="4" t="s">
        <v>0</v>
      </c>
      <c r="Q2" s="4" t="s">
        <v>1</v>
      </c>
    </row>
    <row r="3" spans="1:27">
      <c r="A3" s="150">
        <f>DATE(2018,1,31)</f>
        <v>43131</v>
      </c>
      <c r="B3">
        <v>3.740688233997657E-2</v>
      </c>
      <c r="C3" s="4">
        <v>1.6027057198686859E-2</v>
      </c>
      <c r="F3" t="s">
        <v>157</v>
      </c>
      <c r="L3">
        <f>SUMPRODUCT($E$13:$F$13,B3:C3)</f>
        <v>8.2911654583266905E-3</v>
      </c>
      <c r="N3">
        <f t="shared" ref="N3:N34" si="0">L3-$H$9</f>
        <v>6.2911654583266904E-3</v>
      </c>
      <c r="P3">
        <f>B3-$H$9</f>
        <v>3.5406882339976568E-2</v>
      </c>
      <c r="Q3">
        <f t="shared" ref="Q3:Q34" si="1">C3-$H$9</f>
        <v>1.4027057198686859E-2</v>
      </c>
      <c r="S3" s="149"/>
    </row>
    <row r="4" spans="1:27">
      <c r="A4" s="150">
        <v>43159</v>
      </c>
      <c r="B4">
        <v>3.3003306865113533E-2</v>
      </c>
      <c r="C4" s="4">
        <v>3.0956429749007999E-2</v>
      </c>
      <c r="F4" t="s">
        <v>0</v>
      </c>
      <c r="G4" t="s">
        <v>1</v>
      </c>
      <c r="L4">
        <f t="shared" ref="L4:L34" si="2">SUMPRODUCT($E$13:$F$13,B4:C4)</f>
        <v>3.0215805367313085E-2</v>
      </c>
      <c r="N4">
        <f t="shared" si="0"/>
        <v>2.8215805367313086E-2</v>
      </c>
      <c r="P4">
        <f t="shared" ref="P4:P34" si="3">B4-$H$9</f>
        <v>3.1003306865113531E-2</v>
      </c>
      <c r="Q4">
        <f t="shared" si="1"/>
        <v>2.8956429749008E-2</v>
      </c>
      <c r="R4" s="24"/>
      <c r="S4" s="24"/>
      <c r="T4" s="24"/>
      <c r="U4" s="24"/>
      <c r="V4" s="24"/>
      <c r="W4" s="24"/>
    </row>
    <row r="5" spans="1:27">
      <c r="A5" s="150">
        <v>43190</v>
      </c>
      <c r="B5">
        <v>1.2392478128750649E-2</v>
      </c>
      <c r="C5" s="4">
        <v>4.1379592828974694E-3</v>
      </c>
      <c r="E5" t="s">
        <v>0</v>
      </c>
      <c r="F5">
        <f>VARP(B3:B26)</f>
        <v>1.6061948235382803E-3</v>
      </c>
      <c r="G5">
        <f>COVAR(B3:B26,C3:C26)</f>
        <v>1.2752190684524626E-3</v>
      </c>
      <c r="L5">
        <f t="shared" si="2"/>
        <v>1.1512152970001672E-3</v>
      </c>
      <c r="N5">
        <f t="shared" si="0"/>
        <v>-8.4878470299983282E-4</v>
      </c>
      <c r="P5">
        <f t="shared" si="3"/>
        <v>1.0392478128750649E-2</v>
      </c>
      <c r="Q5">
        <f t="shared" si="1"/>
        <v>2.1379592828974694E-3</v>
      </c>
      <c r="S5" s="148"/>
    </row>
    <row r="6" spans="1:27">
      <c r="A6" s="150">
        <v>43220</v>
      </c>
      <c r="B6">
        <v>9.3585909039893434E-3</v>
      </c>
      <c r="C6" s="4">
        <v>1.8943760300476661E-2</v>
      </c>
      <c r="E6" t="s">
        <v>1</v>
      </c>
      <c r="F6" s="147">
        <f>G5</f>
        <v>1.2752190684524626E-3</v>
      </c>
      <c r="G6">
        <f>VARP(C3:C26)</f>
        <v>1.2688609161189716E-3</v>
      </c>
      <c r="L6">
        <f t="shared" si="2"/>
        <v>2.2411975417963182E-2</v>
      </c>
      <c r="N6">
        <f t="shared" si="0"/>
        <v>2.0411975417963184E-2</v>
      </c>
      <c r="P6">
        <f t="shared" si="3"/>
        <v>7.3585909039893434E-3</v>
      </c>
      <c r="Q6">
        <f t="shared" si="1"/>
        <v>1.694376030047666E-2</v>
      </c>
      <c r="T6" s="274" t="s">
        <v>222</v>
      </c>
      <c r="U6" s="275"/>
    </row>
    <row r="7" spans="1:27">
      <c r="A7" s="150">
        <v>43251</v>
      </c>
      <c r="B7">
        <v>-8.0108465214482026E-3</v>
      </c>
      <c r="C7" s="4">
        <v>1.4186134656133749E-2</v>
      </c>
      <c r="L7">
        <f t="shared" si="2"/>
        <v>2.2217699096806626E-2</v>
      </c>
      <c r="N7">
        <f t="shared" si="0"/>
        <v>2.0217699096806624E-2</v>
      </c>
      <c r="P7">
        <f t="shared" si="3"/>
        <v>-1.0010846521448203E-2</v>
      </c>
      <c r="Q7">
        <f t="shared" si="1"/>
        <v>1.2186134656133749E-2</v>
      </c>
      <c r="T7" s="4" t="s">
        <v>0</v>
      </c>
      <c r="U7" s="4" t="s">
        <v>1</v>
      </c>
    </row>
    <row r="8" spans="1:27">
      <c r="A8" s="150">
        <v>43281</v>
      </c>
      <c r="B8">
        <v>4.0293154036286562E-2</v>
      </c>
      <c r="C8" s="4">
        <v>2.170424264385408E-2</v>
      </c>
      <c r="F8" t="s">
        <v>0</v>
      </c>
      <c r="G8" t="s">
        <v>1</v>
      </c>
      <c r="H8" t="s">
        <v>64</v>
      </c>
      <c r="L8">
        <f t="shared" si="2"/>
        <v>1.4978191090453449E-2</v>
      </c>
      <c r="N8">
        <f t="shared" si="0"/>
        <v>1.2978191090453449E-2</v>
      </c>
      <c r="P8">
        <f t="shared" si="3"/>
        <v>3.829315403628656E-2</v>
      </c>
      <c r="Q8">
        <f t="shared" si="1"/>
        <v>1.9704242643854078E-2</v>
      </c>
      <c r="S8" t="s">
        <v>223</v>
      </c>
      <c r="T8">
        <f>INTERCEPT(P3:P26,$N$3:$N$26)</f>
        <v>1.2401000365480641E-12</v>
      </c>
      <c r="U8">
        <f>INTERCEPT(Q3:Q26,$N$3:$N$26)</f>
        <v>3.2948470340965486E-13</v>
      </c>
    </row>
    <row r="9" spans="1:27">
      <c r="A9" s="150">
        <v>43312</v>
      </c>
      <c r="B9">
        <v>1.82603032727406E-2</v>
      </c>
      <c r="C9" s="4">
        <v>2.304557624836371E-2</v>
      </c>
      <c r="E9" t="s">
        <v>13</v>
      </c>
      <c r="F9">
        <f>AVERAGE(B3:B26)</f>
        <v>1.3587847837416893E-2</v>
      </c>
      <c r="G9">
        <f>AVERAGE(C3:C26)</f>
        <v>1.4702029901485581E-2</v>
      </c>
      <c r="H9">
        <v>2E-3</v>
      </c>
      <c r="L9">
        <f t="shared" si="2"/>
        <v>2.4777038196384975E-2</v>
      </c>
      <c r="N9">
        <f t="shared" si="0"/>
        <v>2.2777038196384977E-2</v>
      </c>
      <c r="P9">
        <f t="shared" si="3"/>
        <v>1.6260303272740598E-2</v>
      </c>
      <c r="Q9">
        <f t="shared" si="1"/>
        <v>2.1045576248363708E-2</v>
      </c>
      <c r="S9" t="s">
        <v>536</v>
      </c>
      <c r="T9">
        <f>INTERCEPT(P27:P61,$N$27:$N$61)</f>
        <v>8.5430160511071815E-3</v>
      </c>
      <c r="U9">
        <f>INTERCEPT(Q27:Q61,$N$27:$N$61)</f>
        <v>2.2698341097407877E-3</v>
      </c>
      <c r="V9" s="24"/>
      <c r="W9" s="24"/>
      <c r="X9" s="24"/>
      <c r="Y9" s="24"/>
      <c r="Z9" s="24"/>
      <c r="AA9" s="24"/>
    </row>
    <row r="10" spans="1:27">
      <c r="A10" s="150">
        <v>43343</v>
      </c>
      <c r="B10">
        <v>6.8647883680566946E-3</v>
      </c>
      <c r="C10" s="4">
        <v>1.136834577673611E-2</v>
      </c>
      <c r="L10">
        <f t="shared" si="2"/>
        <v>1.2997874191014775E-2</v>
      </c>
      <c r="N10">
        <f t="shared" si="0"/>
        <v>1.0997874191014775E-2</v>
      </c>
      <c r="P10">
        <f t="shared" si="3"/>
        <v>4.8647883680566946E-3</v>
      </c>
      <c r="Q10">
        <f t="shared" si="1"/>
        <v>9.3683457767361096E-3</v>
      </c>
      <c r="T10" s="58"/>
      <c r="U10" s="5"/>
      <c r="V10" s="5"/>
      <c r="W10" s="5"/>
      <c r="X10" s="5"/>
      <c r="Y10" s="5"/>
    </row>
    <row r="11" spans="1:27">
      <c r="A11" s="150">
        <v>43373</v>
      </c>
      <c r="B11">
        <v>5.858598070929872E-2</v>
      </c>
      <c r="C11" s="4">
        <v>4.2030082699793019E-2</v>
      </c>
      <c r="E11" s="1" t="s">
        <v>224</v>
      </c>
      <c r="F11" s="1" t="s">
        <v>510</v>
      </c>
      <c r="G11" s="1"/>
      <c r="L11">
        <f t="shared" si="2"/>
        <v>3.6039639194310982E-2</v>
      </c>
      <c r="N11">
        <f t="shared" si="0"/>
        <v>3.4039639194310981E-2</v>
      </c>
      <c r="P11">
        <f t="shared" si="3"/>
        <v>5.6585980709298718E-2</v>
      </c>
      <c r="Q11">
        <f t="shared" si="1"/>
        <v>4.0030082699793017E-2</v>
      </c>
      <c r="T11" s="5"/>
      <c r="U11" s="5"/>
      <c r="V11" s="5"/>
      <c r="W11" s="5"/>
      <c r="X11" s="5"/>
      <c r="Y11" s="5"/>
    </row>
    <row r="12" spans="1:27">
      <c r="A12" s="150">
        <v>43404</v>
      </c>
      <c r="B12">
        <v>2.8097626721900221E-2</v>
      </c>
      <c r="C12" s="4">
        <v>3.079891553191157E-2</v>
      </c>
      <c r="E12" t="s">
        <v>225</v>
      </c>
      <c r="F12" t="s">
        <v>226</v>
      </c>
      <c r="G12" t="s">
        <v>13</v>
      </c>
      <c r="H12" t="s">
        <v>24</v>
      </c>
      <c r="I12" t="s">
        <v>227</v>
      </c>
      <c r="J12" t="s">
        <v>169</v>
      </c>
      <c r="L12">
        <f t="shared" si="2"/>
        <v>3.1776326603124551E-2</v>
      </c>
      <c r="N12">
        <f t="shared" si="0"/>
        <v>2.9776326603124549E-2</v>
      </c>
      <c r="P12">
        <f t="shared" si="3"/>
        <v>2.6097626721900219E-2</v>
      </c>
      <c r="Q12">
        <f t="shared" si="1"/>
        <v>2.8798915531911572E-2</v>
      </c>
      <c r="T12" s="5"/>
      <c r="U12" s="5"/>
      <c r="V12" s="5"/>
      <c r="W12" s="5"/>
      <c r="X12" s="5"/>
      <c r="Y12" s="5"/>
    </row>
    <row r="13" spans="1:27">
      <c r="A13" s="150">
        <v>43434</v>
      </c>
      <c r="B13">
        <v>5.1977145491772229E-2</v>
      </c>
      <c r="C13" s="4">
        <v>4.116627278470833E-2</v>
      </c>
      <c r="E13" s="2">
        <v>-0.3618313849265426</v>
      </c>
      <c r="F13" s="2">
        <f>1-E13</f>
        <v>1.3618313849265427</v>
      </c>
      <c r="G13">
        <f>SUMPRODUCT(E13:F13,F9:G9)</f>
        <v>1.510517594078787E-2</v>
      </c>
      <c r="H13">
        <f>SUMPRODUCT(MMULT(E13:F13,F5:G6),E13:F13)</f>
        <v>1.3067593279097068E-3</v>
      </c>
      <c r="I13">
        <f>SQRT(H13)</f>
        <v>3.6149126239920469E-2</v>
      </c>
      <c r="J13">
        <f>(G13-H9)/I13</f>
        <v>0.36253091855690456</v>
      </c>
      <c r="L13">
        <f t="shared" si="2"/>
        <v>3.7254559740846835E-2</v>
      </c>
      <c r="N13">
        <f t="shared" si="0"/>
        <v>3.5254559740846833E-2</v>
      </c>
      <c r="P13">
        <f t="shared" si="3"/>
        <v>4.9977145491772228E-2</v>
      </c>
      <c r="Q13">
        <f t="shared" si="1"/>
        <v>3.9166272784708328E-2</v>
      </c>
    </row>
    <row r="14" spans="1:27">
      <c r="A14" s="150">
        <v>43465</v>
      </c>
      <c r="B14">
        <v>1.3998952073737589E-2</v>
      </c>
      <c r="C14" s="4">
        <v>1.488306537482261E-2</v>
      </c>
      <c r="F14" s="4"/>
      <c r="G14" s="24"/>
      <c r="H14" s="24"/>
      <c r="I14" s="24"/>
      <c r="L14">
        <f t="shared" si="2"/>
        <v>1.5202965314986178E-2</v>
      </c>
      <c r="N14">
        <f t="shared" si="0"/>
        <v>1.3202965314986178E-2</v>
      </c>
      <c r="P14">
        <f t="shared" si="3"/>
        <v>1.1998952073737589E-2</v>
      </c>
      <c r="Q14">
        <f t="shared" si="1"/>
        <v>1.288306537482261E-2</v>
      </c>
    </row>
    <row r="15" spans="1:27">
      <c r="A15" s="150">
        <v>43496</v>
      </c>
      <c r="B15">
        <v>4.4229700041933821E-2</v>
      </c>
      <c r="C15" s="4">
        <v>6.6278251466594384E-2</v>
      </c>
      <c r="L15">
        <f t="shared" si="2"/>
        <v>7.4256109364203404E-2</v>
      </c>
      <c r="N15">
        <f t="shared" si="0"/>
        <v>7.2256109364203402E-2</v>
      </c>
      <c r="P15">
        <f t="shared" si="3"/>
        <v>4.2229700041933819E-2</v>
      </c>
      <c r="Q15">
        <f t="shared" si="1"/>
        <v>6.4278251466594383E-2</v>
      </c>
      <c r="R15" s="24"/>
    </row>
    <row r="16" spans="1:27">
      <c r="A16" s="150">
        <v>43524</v>
      </c>
      <c r="B16">
        <v>-2.1075248020869981E-2</v>
      </c>
      <c r="C16" s="4">
        <v>-3.0186461671909501E-2</v>
      </c>
      <c r="L16">
        <f t="shared" si="2"/>
        <v>-3.3483184725626759E-2</v>
      </c>
      <c r="N16">
        <f t="shared" si="0"/>
        <v>-3.5483184725626761E-2</v>
      </c>
      <c r="P16">
        <f t="shared" si="3"/>
        <v>-2.3075248020869979E-2</v>
      </c>
      <c r="Q16">
        <f t="shared" si="1"/>
        <v>-3.21864616719095E-2</v>
      </c>
    </row>
    <row r="17" spans="1:24">
      <c r="A17" s="150">
        <v>43555</v>
      </c>
      <c r="B17">
        <v>7.3484942321304387E-3</v>
      </c>
      <c r="C17" s="4">
        <v>-1.6102862911855E-2</v>
      </c>
      <c r="L17">
        <f t="shared" si="2"/>
        <v>-2.458829994567022E-2</v>
      </c>
      <c r="N17">
        <f t="shared" si="0"/>
        <v>-2.6588299945670218E-2</v>
      </c>
      <c r="P17">
        <f t="shared" si="3"/>
        <v>5.3484942321304386E-3</v>
      </c>
      <c r="Q17">
        <f t="shared" si="1"/>
        <v>-1.8102862911854999E-2</v>
      </c>
      <c r="S17" s="24"/>
      <c r="T17" s="24"/>
      <c r="U17" s="24"/>
      <c r="V17" s="24"/>
      <c r="W17" s="24"/>
      <c r="X17" s="24"/>
    </row>
    <row r="18" spans="1:24">
      <c r="A18" s="150">
        <v>43585</v>
      </c>
      <c r="B18">
        <v>1.054923929037656E-2</v>
      </c>
      <c r="C18" s="4">
        <v>1.1314072096081099E-2</v>
      </c>
      <c r="L18">
        <f t="shared" si="2"/>
        <v>1.1590812609406427E-2</v>
      </c>
      <c r="N18">
        <f t="shared" si="0"/>
        <v>9.590812609406427E-3</v>
      </c>
      <c r="P18">
        <f t="shared" si="3"/>
        <v>8.5492392903765597E-3</v>
      </c>
      <c r="Q18">
        <f t="shared" si="1"/>
        <v>9.3140720960810993E-3</v>
      </c>
    </row>
    <row r="19" spans="1:24">
      <c r="A19" s="150">
        <v>43616</v>
      </c>
      <c r="B19">
        <v>6.3506315347609907E-2</v>
      </c>
      <c r="C19" s="4">
        <v>2.5795887870656498E-2</v>
      </c>
      <c r="F19" s="24"/>
      <c r="G19" s="24"/>
      <c r="H19" s="24"/>
      <c r="I19" s="24"/>
      <c r="L19">
        <f t="shared" si="2"/>
        <v>1.2151071670498507E-2</v>
      </c>
      <c r="N19">
        <f t="shared" si="0"/>
        <v>1.0151071670498507E-2</v>
      </c>
      <c r="P19">
        <f t="shared" si="3"/>
        <v>6.1506315347609905E-2</v>
      </c>
      <c r="Q19">
        <f t="shared" si="1"/>
        <v>2.37958878706565E-2</v>
      </c>
    </row>
    <row r="20" spans="1:24">
      <c r="A20" s="150">
        <v>43646</v>
      </c>
      <c r="B20">
        <v>1.6676807211442182E-2</v>
      </c>
      <c r="C20" s="4">
        <v>1.9896382133415241E-2</v>
      </c>
      <c r="L20">
        <f t="shared" si="2"/>
        <v>2.1061325386307519E-2</v>
      </c>
      <c r="N20">
        <f t="shared" si="0"/>
        <v>1.9061325386307518E-2</v>
      </c>
      <c r="P20">
        <f t="shared" si="3"/>
        <v>1.4676807211442182E-2</v>
      </c>
      <c r="Q20">
        <f t="shared" si="1"/>
        <v>1.789638213341524E-2</v>
      </c>
    </row>
    <row r="21" spans="1:24">
      <c r="A21" s="150">
        <v>43677</v>
      </c>
      <c r="B21">
        <v>3.8207769101732778E-2</v>
      </c>
      <c r="C21" s="4">
        <v>7.8045124709978667E-2</v>
      </c>
      <c r="L21">
        <f t="shared" si="2"/>
        <v>9.2459530261521441E-2</v>
      </c>
      <c r="N21">
        <f t="shared" si="0"/>
        <v>9.045953026152144E-2</v>
      </c>
      <c r="P21">
        <f t="shared" si="3"/>
        <v>3.6207769101732776E-2</v>
      </c>
      <c r="Q21">
        <f t="shared" si="1"/>
        <v>7.6045124709978665E-2</v>
      </c>
    </row>
    <row r="22" spans="1:24">
      <c r="A22" s="150">
        <v>43708</v>
      </c>
      <c r="B22">
        <v>4.6072876284257117E-2</v>
      </c>
      <c r="C22" s="4">
        <v>3.7500340866408008E-2</v>
      </c>
      <c r="L22">
        <f t="shared" si="2"/>
        <v>3.4398528503835832E-2</v>
      </c>
      <c r="N22">
        <f t="shared" si="0"/>
        <v>3.239852850383583E-2</v>
      </c>
      <c r="P22">
        <f t="shared" si="3"/>
        <v>4.4072876284257115E-2</v>
      </c>
      <c r="Q22">
        <f t="shared" si="1"/>
        <v>3.5500340866408006E-2</v>
      </c>
    </row>
    <row r="23" spans="1:24">
      <c r="A23" s="150">
        <v>43738</v>
      </c>
      <c r="B23">
        <v>-1.2307640461429461E-2</v>
      </c>
      <c r="C23" s="4">
        <v>9.8648634916479565E-3</v>
      </c>
      <c r="L23">
        <f t="shared" si="2"/>
        <v>1.7887571304279197E-2</v>
      </c>
      <c r="N23">
        <f t="shared" si="0"/>
        <v>1.5887571304279195E-2</v>
      </c>
      <c r="P23">
        <f t="shared" si="3"/>
        <v>-1.4307640461429461E-2</v>
      </c>
      <c r="Q23">
        <f t="shared" si="1"/>
        <v>7.8648634916479564E-3</v>
      </c>
    </row>
    <row r="24" spans="1:24">
      <c r="A24" s="150">
        <v>43769</v>
      </c>
      <c r="B24">
        <v>-8.9185754515932844E-2</v>
      </c>
      <c r="C24" s="4">
        <v>-5.7079838773318417E-2</v>
      </c>
      <c r="L24">
        <f t="shared" si="2"/>
        <v>-4.5462910815833354E-2</v>
      </c>
      <c r="N24">
        <f t="shared" si="0"/>
        <v>-4.7462910815833356E-2</v>
      </c>
      <c r="P24">
        <f t="shared" si="3"/>
        <v>-9.1185754515932846E-2</v>
      </c>
      <c r="Q24">
        <f t="shared" si="1"/>
        <v>-5.9079838773318419E-2</v>
      </c>
    </row>
    <row r="25" spans="1:24">
      <c r="A25" s="150">
        <v>43799</v>
      </c>
      <c r="B25">
        <v>2.8068455766481541E-2</v>
      </c>
      <c r="C25" s="4">
        <v>3.461586283846748E-2</v>
      </c>
      <c r="L25">
        <f t="shared" si="2"/>
        <v>3.6984920207001996E-2</v>
      </c>
      <c r="N25">
        <f t="shared" si="0"/>
        <v>3.4984920207001995E-2</v>
      </c>
      <c r="P25">
        <f t="shared" si="3"/>
        <v>2.6068455766481542E-2</v>
      </c>
      <c r="Q25">
        <f t="shared" si="1"/>
        <v>3.2615862838467478E-2</v>
      </c>
    </row>
    <row r="26" spans="1:24">
      <c r="A26" s="150">
        <v>43830</v>
      </c>
      <c r="B26">
        <v>-0.1082110285699011</v>
      </c>
      <c r="C26" s="4">
        <v>-9.6340746727904603E-2</v>
      </c>
      <c r="L26">
        <f t="shared" si="2"/>
        <v>-9.2045706209546621E-2</v>
      </c>
      <c r="N26">
        <f t="shared" si="0"/>
        <v>-9.4045706209546623E-2</v>
      </c>
      <c r="P26">
        <f t="shared" si="3"/>
        <v>-0.1102110285699011</v>
      </c>
      <c r="Q26">
        <f t="shared" si="1"/>
        <v>-9.8340746727904604E-2</v>
      </c>
    </row>
    <row r="27" spans="1:24">
      <c r="A27" s="150">
        <v>43861</v>
      </c>
      <c r="B27">
        <v>0.1434608541899661</v>
      </c>
      <c r="C27" s="4">
        <v>0.1000669035555391</v>
      </c>
      <c r="L27">
        <f t="shared" si="2"/>
        <v>8.4365610300050353E-2</v>
      </c>
      <c r="N27">
        <f t="shared" si="0"/>
        <v>8.2365610300050351E-2</v>
      </c>
      <c r="P27">
        <f t="shared" si="3"/>
        <v>0.1414608541899661</v>
      </c>
      <c r="Q27">
        <f t="shared" si="1"/>
        <v>9.8066903555539098E-2</v>
      </c>
    </row>
    <row r="28" spans="1:24">
      <c r="A28" s="150">
        <v>43890</v>
      </c>
      <c r="B28">
        <v>6.4838824550135024E-2</v>
      </c>
      <c r="C28" s="4">
        <v>5.8027254394265072E-2</v>
      </c>
      <c r="L28">
        <f t="shared" si="2"/>
        <v>5.5562614531242338E-2</v>
      </c>
      <c r="N28">
        <f t="shared" si="0"/>
        <v>5.3562614531242336E-2</v>
      </c>
      <c r="P28">
        <f t="shared" si="3"/>
        <v>6.2838824550135022E-2</v>
      </c>
      <c r="Q28">
        <f t="shared" si="1"/>
        <v>5.6027254394265071E-2</v>
      </c>
    </row>
    <row r="29" spans="1:24">
      <c r="A29" s="150">
        <v>43921</v>
      </c>
      <c r="B29">
        <v>-2.497773036918202E-3</v>
      </c>
      <c r="C29" s="4">
        <v>1.3801614614052269E-2</v>
      </c>
      <c r="L29">
        <f t="shared" si="2"/>
        <v>1.9699244621257501E-2</v>
      </c>
      <c r="N29">
        <f t="shared" si="0"/>
        <v>1.76992446212575E-2</v>
      </c>
      <c r="P29">
        <f t="shared" si="3"/>
        <v>-4.4977730369182021E-3</v>
      </c>
      <c r="Q29">
        <f t="shared" si="1"/>
        <v>1.1801614614052269E-2</v>
      </c>
    </row>
    <row r="30" spans="1:24">
      <c r="A30" s="150">
        <v>43951</v>
      </c>
      <c r="B30">
        <v>6.0242698969129371E-2</v>
      </c>
      <c r="C30" s="4">
        <v>5.409478357604354E-2</v>
      </c>
      <c r="L30">
        <f t="shared" si="2"/>
        <v>5.1870274834952081E-2</v>
      </c>
      <c r="N30">
        <f t="shared" si="0"/>
        <v>4.9870274834952079E-2</v>
      </c>
      <c r="P30">
        <f t="shared" si="3"/>
        <v>5.824269896912937E-2</v>
      </c>
      <c r="Q30">
        <f t="shared" si="1"/>
        <v>5.2094783576043538E-2</v>
      </c>
    </row>
    <row r="31" spans="1:24">
      <c r="A31" s="150">
        <v>43982</v>
      </c>
      <c r="B31">
        <v>-5.7239837754769339E-2</v>
      </c>
      <c r="C31" s="4">
        <v>-5.3396628727814567E-2</v>
      </c>
      <c r="L31">
        <f t="shared" si="2"/>
        <v>-5.2006035083029339E-2</v>
      </c>
      <c r="N31">
        <f t="shared" si="0"/>
        <v>-5.4006035083029341E-2</v>
      </c>
      <c r="P31">
        <f t="shared" si="3"/>
        <v>-5.9239837754769341E-2</v>
      </c>
      <c r="Q31">
        <f t="shared" si="1"/>
        <v>-5.5396628727814569E-2</v>
      </c>
    </row>
    <row r="32" spans="1:24">
      <c r="A32" s="150">
        <v>44012</v>
      </c>
      <c r="B32">
        <v>8.9968310183936404E-2</v>
      </c>
      <c r="C32" s="4">
        <v>7.3701745332027946E-2</v>
      </c>
      <c r="L32">
        <f t="shared" si="2"/>
        <v>6.7815991643664503E-2</v>
      </c>
      <c r="N32">
        <f t="shared" si="0"/>
        <v>6.5815991643664501E-2</v>
      </c>
      <c r="P32">
        <f t="shared" si="3"/>
        <v>8.7968310183936402E-2</v>
      </c>
      <c r="Q32">
        <f t="shared" si="1"/>
        <v>7.1701745332027944E-2</v>
      </c>
    </row>
    <row r="33" spans="1:17">
      <c r="A33" s="150">
        <v>44043</v>
      </c>
      <c r="B33">
        <v>1.7176910309131019E-2</v>
      </c>
      <c r="C33" s="4">
        <v>2.3418889763075521E-2</v>
      </c>
      <c r="L33">
        <f t="shared" si="2"/>
        <v>2.5677433833579285E-2</v>
      </c>
      <c r="N33">
        <f t="shared" si="0"/>
        <v>2.3677433833579287E-2</v>
      </c>
      <c r="P33">
        <f t="shared" si="3"/>
        <v>1.5176910309131019E-2</v>
      </c>
      <c r="Q33">
        <f t="shared" si="1"/>
        <v>2.1418889763075523E-2</v>
      </c>
    </row>
    <row r="34" spans="1:17">
      <c r="A34" s="150">
        <v>44074</v>
      </c>
      <c r="B34">
        <v>-2.7608979999527231E-2</v>
      </c>
      <c r="C34" s="4">
        <v>-1.9915066608707909E-2</v>
      </c>
      <c r="L34">
        <f t="shared" si="2"/>
        <v>-1.7131167271002883E-2</v>
      </c>
      <c r="N34">
        <f t="shared" si="0"/>
        <v>-1.9131167271002884E-2</v>
      </c>
      <c r="P34">
        <f t="shared" si="3"/>
        <v>-2.9608979999527232E-2</v>
      </c>
      <c r="Q34">
        <f t="shared" si="1"/>
        <v>-2.1915066608707907E-2</v>
      </c>
    </row>
    <row r="35" spans="1:17">
      <c r="A35" s="150">
        <v>44104</v>
      </c>
      <c r="B35">
        <v>3.1934506723313258E-2</v>
      </c>
      <c r="C35" s="4">
        <v>5.0690399599471553E-2</v>
      </c>
      <c r="L35">
        <f t="shared" ref="L35:L61" si="4">SUMPRODUCT($E$13:$F$13,B35:C35)</f>
        <v>5.7476870294385779E-2</v>
      </c>
      <c r="N35">
        <f t="shared" ref="N35:N61" si="5">L35-$H$9</f>
        <v>5.5476870294385777E-2</v>
      </c>
      <c r="P35">
        <f t="shared" ref="P35:P61" si="6">B35-$H$9</f>
        <v>2.9934506723313256E-2</v>
      </c>
      <c r="Q35">
        <f t="shared" ref="Q35:Q61" si="7">C35-$H$9</f>
        <v>4.8690399599471551E-2</v>
      </c>
    </row>
    <row r="36" spans="1:17">
      <c r="A36" s="150">
        <v>44135</v>
      </c>
      <c r="B36">
        <v>3.7793785341722202E-2</v>
      </c>
      <c r="C36" s="4">
        <v>2.3261634493759221E-2</v>
      </c>
      <c r="L36">
        <f t="shared" si="4"/>
        <v>1.8003446226479349E-2</v>
      </c>
      <c r="N36">
        <f t="shared" si="5"/>
        <v>1.6003446226479347E-2</v>
      </c>
      <c r="P36">
        <f t="shared" si="6"/>
        <v>3.5793785341722201E-2</v>
      </c>
      <c r="Q36">
        <f t="shared" si="7"/>
        <v>2.1261634493759222E-2</v>
      </c>
    </row>
    <row r="37" spans="1:17">
      <c r="A37" s="150">
        <v>44165</v>
      </c>
      <c r="B37">
        <v>5.6467149521676377E-2</v>
      </c>
      <c r="C37" s="4">
        <v>5.2320506797257277E-2</v>
      </c>
      <c r="L37">
        <f t="shared" si="4"/>
        <v>5.0820121317485145E-2</v>
      </c>
      <c r="N37">
        <f t="shared" si="5"/>
        <v>4.8820121317485143E-2</v>
      </c>
      <c r="P37">
        <f t="shared" si="6"/>
        <v>5.4467149521676375E-2</v>
      </c>
      <c r="Q37">
        <f t="shared" si="7"/>
        <v>5.0320506797257275E-2</v>
      </c>
    </row>
    <row r="38" spans="1:17">
      <c r="A38" s="150">
        <v>44196</v>
      </c>
      <c r="B38">
        <v>4.1025681414097938E-2</v>
      </c>
      <c r="C38" s="4">
        <v>3.0220902875834361E-2</v>
      </c>
      <c r="L38">
        <f t="shared" si="4"/>
        <v>2.6311394893509865E-2</v>
      </c>
      <c r="N38">
        <f t="shared" si="5"/>
        <v>2.4311394893509863E-2</v>
      </c>
      <c r="P38">
        <f t="shared" si="6"/>
        <v>3.9025681414097936E-2</v>
      </c>
      <c r="Q38">
        <f t="shared" si="7"/>
        <v>2.8220902875834362E-2</v>
      </c>
    </row>
    <row r="39" spans="1:17">
      <c r="A39" s="150">
        <v>44227</v>
      </c>
      <c r="B39">
        <v>-1.10826228735037E-2</v>
      </c>
      <c r="C39" s="4">
        <v>-1.098422121196828E-2</v>
      </c>
      <c r="L39">
        <f t="shared" si="4"/>
        <v>-1.0948616402495847E-2</v>
      </c>
      <c r="N39">
        <f t="shared" si="5"/>
        <v>-1.2948616402495847E-2</v>
      </c>
      <c r="P39">
        <f t="shared" si="6"/>
        <v>-1.30826228735037E-2</v>
      </c>
      <c r="Q39">
        <f t="shared" si="7"/>
        <v>-1.298422121196828E-2</v>
      </c>
    </row>
    <row r="40" spans="1:17">
      <c r="A40" s="150">
        <v>44255</v>
      </c>
      <c r="B40">
        <v>-8.2724074975737708E-2</v>
      </c>
      <c r="C40" s="4">
        <v>-8.3419313124761293E-2</v>
      </c>
      <c r="L40">
        <f t="shared" si="4"/>
        <v>-8.3670872107076272E-2</v>
      </c>
      <c r="N40">
        <f t="shared" si="5"/>
        <v>-8.5670872107076274E-2</v>
      </c>
      <c r="P40">
        <f t="shared" si="6"/>
        <v>-8.4724074975737709E-2</v>
      </c>
      <c r="Q40">
        <f t="shared" si="7"/>
        <v>-8.5419313124761295E-2</v>
      </c>
    </row>
    <row r="41" spans="1:17">
      <c r="A41" s="150">
        <v>44286</v>
      </c>
      <c r="B41">
        <v>-0.19460373923925209</v>
      </c>
      <c r="C41" s="4">
        <v>-0.16076281455386571</v>
      </c>
      <c r="L41">
        <f t="shared" si="4"/>
        <v>-0.14851810590775755</v>
      </c>
      <c r="N41">
        <f t="shared" si="5"/>
        <v>-0.15051810590775755</v>
      </c>
      <c r="P41">
        <f t="shared" si="6"/>
        <v>-0.19660373923925209</v>
      </c>
      <c r="Q41">
        <f t="shared" si="7"/>
        <v>-0.16276281455386571</v>
      </c>
    </row>
    <row r="42" spans="1:17">
      <c r="A42" s="150">
        <v>44316</v>
      </c>
      <c r="B42">
        <v>0.16932661485258629</v>
      </c>
      <c r="C42" s="4">
        <v>0.17507544730376129</v>
      </c>
      <c r="L42">
        <f t="shared" si="4"/>
        <v>0.1771555553112806</v>
      </c>
      <c r="N42">
        <f t="shared" si="5"/>
        <v>0.1751555553112806</v>
      </c>
      <c r="P42">
        <f t="shared" si="6"/>
        <v>0.16732661485258629</v>
      </c>
      <c r="Q42">
        <f t="shared" si="7"/>
        <v>0.17307544730376129</v>
      </c>
    </row>
    <row r="43" spans="1:17">
      <c r="A43" s="150">
        <v>44347</v>
      </c>
      <c r="B43">
        <v>0.1027952771958347</v>
      </c>
      <c r="C43" s="4">
        <v>4.2789791198676402E-2</v>
      </c>
      <c r="L43">
        <f t="shared" si="4"/>
        <v>2.1077923097134361E-2</v>
      </c>
      <c r="N43">
        <f t="shared" si="5"/>
        <v>1.907792309713436E-2</v>
      </c>
      <c r="P43">
        <f t="shared" si="6"/>
        <v>0.1007952771958347</v>
      </c>
      <c r="Q43">
        <f t="shared" si="7"/>
        <v>4.0789791198676401E-2</v>
      </c>
    </row>
    <row r="44" spans="1:17">
      <c r="A44" s="150">
        <v>44377</v>
      </c>
      <c r="B44">
        <v>4.6001993861861039E-2</v>
      </c>
      <c r="C44" s="4">
        <v>-2.1140895411832919E-4</v>
      </c>
      <c r="L44">
        <f t="shared" si="4"/>
        <v>-1.6932868497192329E-2</v>
      </c>
      <c r="N44">
        <f t="shared" si="5"/>
        <v>-1.8932868497192328E-2</v>
      </c>
      <c r="P44">
        <f t="shared" si="6"/>
        <v>4.4001993861861037E-2</v>
      </c>
      <c r="Q44">
        <f t="shared" si="7"/>
        <v>-2.2114089541183293E-3</v>
      </c>
    </row>
    <row r="45" spans="1:17">
      <c r="A45" s="150">
        <v>44408</v>
      </c>
      <c r="B45">
        <v>5.0933118745561237E-2</v>
      </c>
      <c r="C45" s="4">
        <v>4.4207106749235212E-2</v>
      </c>
      <c r="L45">
        <f t="shared" si="4"/>
        <v>4.1773424513572022E-2</v>
      </c>
      <c r="N45">
        <f t="shared" si="5"/>
        <v>3.977342451357202E-2</v>
      </c>
      <c r="P45">
        <f t="shared" si="6"/>
        <v>4.8933118745561235E-2</v>
      </c>
      <c r="Q45">
        <f t="shared" si="7"/>
        <v>4.220710674923521E-2</v>
      </c>
    </row>
    <row r="46" spans="1:17">
      <c r="A46" s="150">
        <v>44439</v>
      </c>
      <c r="B46">
        <v>7.8198671209930529E-2</v>
      </c>
      <c r="C46" s="4">
        <v>4.9343947206453027E-2</v>
      </c>
      <c r="L46">
        <f t="shared" si="4"/>
        <v>3.8903402458601612E-2</v>
      </c>
      <c r="N46">
        <f t="shared" si="5"/>
        <v>3.690340245860161E-2</v>
      </c>
      <c r="P46">
        <f t="shared" si="6"/>
        <v>7.6198671209930527E-2</v>
      </c>
      <c r="Q46">
        <f t="shared" si="7"/>
        <v>4.7343947206453026E-2</v>
      </c>
    </row>
    <row r="47" spans="1:17">
      <c r="A47" s="150">
        <v>44469</v>
      </c>
      <c r="B47">
        <v>-1.620088413147067E-2</v>
      </c>
      <c r="C47" s="4">
        <v>-8.8414284636068249E-3</v>
      </c>
      <c r="L47">
        <f t="shared" si="4"/>
        <v>-6.1785464269981574E-3</v>
      </c>
      <c r="N47">
        <f t="shared" si="5"/>
        <v>-8.1785464269981574E-3</v>
      </c>
      <c r="P47">
        <f t="shared" si="6"/>
        <v>-1.8200884131470668E-2</v>
      </c>
      <c r="Q47">
        <f t="shared" si="7"/>
        <v>-1.0841428463606825E-2</v>
      </c>
    </row>
    <row r="48" spans="1:17">
      <c r="A48" s="150">
        <v>44500</v>
      </c>
      <c r="B48">
        <v>4.3692342697910273E-2</v>
      </c>
      <c r="C48" s="4">
        <v>2.3095390111224899E-3</v>
      </c>
      <c r="L48">
        <f t="shared" si="4"/>
        <v>-1.2664058159011166E-2</v>
      </c>
      <c r="N48">
        <f t="shared" si="5"/>
        <v>-1.4664058159011166E-2</v>
      </c>
      <c r="P48">
        <f t="shared" si="6"/>
        <v>4.1692342697910272E-2</v>
      </c>
      <c r="Q48">
        <f t="shared" si="7"/>
        <v>3.0953901112248982E-4</v>
      </c>
    </row>
    <row r="49" spans="1:17">
      <c r="A49" s="150">
        <v>44530</v>
      </c>
      <c r="B49">
        <v>0.17874612493054839</v>
      </c>
      <c r="C49" s="4">
        <v>0.15408795610704679</v>
      </c>
      <c r="L49">
        <f t="shared" si="4"/>
        <v>0.14516585673188673</v>
      </c>
      <c r="N49">
        <f t="shared" si="5"/>
        <v>0.14316585673188673</v>
      </c>
      <c r="P49">
        <f t="shared" si="6"/>
        <v>0.17674612493054839</v>
      </c>
      <c r="Q49">
        <f t="shared" si="7"/>
        <v>0.15208795610704678</v>
      </c>
    </row>
    <row r="50" spans="1:17">
      <c r="A50" s="150">
        <v>44561</v>
      </c>
      <c r="B50">
        <v>0.10441339017418449</v>
      </c>
      <c r="C50" s="4">
        <v>5.3632977167595387E-2</v>
      </c>
      <c r="L50">
        <f t="shared" si="4"/>
        <v>3.5259030002279437E-2</v>
      </c>
      <c r="N50">
        <f t="shared" si="5"/>
        <v>3.3259030002279436E-2</v>
      </c>
      <c r="P50">
        <f t="shared" si="6"/>
        <v>0.10241339017418449</v>
      </c>
      <c r="Q50">
        <f t="shared" si="7"/>
        <v>5.1632977167595386E-2</v>
      </c>
    </row>
    <row r="51" spans="1:17">
      <c r="A51" s="150">
        <v>44592</v>
      </c>
      <c r="B51">
        <v>3.8333478578069562E-2</v>
      </c>
      <c r="C51" s="4">
        <v>5.1992136263190906E-3</v>
      </c>
      <c r="L51">
        <f t="shared" si="4"/>
        <v>-6.7898033496957833E-3</v>
      </c>
      <c r="N51">
        <f t="shared" si="5"/>
        <v>-8.7898033496957833E-3</v>
      </c>
      <c r="P51">
        <f t="shared" si="6"/>
        <v>3.633347857806956E-2</v>
      </c>
      <c r="Q51">
        <f t="shared" si="7"/>
        <v>3.1992136263190906E-3</v>
      </c>
    </row>
    <row r="52" spans="1:17">
      <c r="A52" s="150">
        <v>44620</v>
      </c>
      <c r="B52">
        <v>9.2324064147121021E-2</v>
      </c>
      <c r="C52" s="4">
        <v>7.8652022646892403E-2</v>
      </c>
      <c r="L52">
        <f t="shared" si="4"/>
        <v>7.3705048936091533E-2</v>
      </c>
      <c r="N52">
        <f t="shared" si="5"/>
        <v>7.1705048936091531E-2</v>
      </c>
      <c r="P52">
        <f t="shared" si="6"/>
        <v>9.0324064147121019E-2</v>
      </c>
      <c r="Q52">
        <f t="shared" si="7"/>
        <v>7.6652022646892401E-2</v>
      </c>
    </row>
    <row r="53" spans="1:17">
      <c r="A53" s="150">
        <v>44651</v>
      </c>
      <c r="B53">
        <v>3.2484093508839101E-2</v>
      </c>
      <c r="C53" s="4">
        <v>6.0653289144261727E-2</v>
      </c>
      <c r="L53">
        <f t="shared" si="4"/>
        <v>7.0845788213293417E-2</v>
      </c>
      <c r="N53">
        <f t="shared" si="5"/>
        <v>6.8845788213293416E-2</v>
      </c>
      <c r="P53">
        <f t="shared" si="6"/>
        <v>3.04840935088391E-2</v>
      </c>
      <c r="Q53">
        <f t="shared" si="7"/>
        <v>5.8653289144261725E-2</v>
      </c>
    </row>
    <row r="54" spans="1:17">
      <c r="A54" s="150">
        <v>44681</v>
      </c>
      <c r="B54">
        <v>5.3439983381125537E-2</v>
      </c>
      <c r="C54" s="4">
        <v>4.7268386769371902E-2</v>
      </c>
      <c r="L54">
        <f t="shared" si="4"/>
        <v>4.5035309420133132E-2</v>
      </c>
      <c r="N54">
        <f t="shared" si="5"/>
        <v>4.303530942013313E-2</v>
      </c>
      <c r="P54">
        <f t="shared" si="6"/>
        <v>5.1439983381125536E-2</v>
      </c>
      <c r="Q54">
        <f t="shared" si="7"/>
        <v>4.52683867693719E-2</v>
      </c>
    </row>
    <row r="55" spans="1:17">
      <c r="A55" s="150">
        <v>44712</v>
      </c>
      <c r="B55">
        <v>1.023209696610862E-2</v>
      </c>
      <c r="C55" s="4">
        <v>3.048766818341981E-3</v>
      </c>
      <c r="L55">
        <f t="shared" si="4"/>
        <v>4.4961252259099202E-4</v>
      </c>
      <c r="N55">
        <f t="shared" si="5"/>
        <v>-1.550387477409008E-3</v>
      </c>
      <c r="P55">
        <f t="shared" si="6"/>
        <v>8.2320969661086197E-3</v>
      </c>
      <c r="Q55">
        <f t="shared" si="7"/>
        <v>1.048766818341981E-3</v>
      </c>
    </row>
    <row r="56" spans="1:17">
      <c r="A56" s="150">
        <v>44742</v>
      </c>
      <c r="B56">
        <v>2.4525390118283561E-2</v>
      </c>
      <c r="C56" s="4">
        <v>3.2925580715202511E-2</v>
      </c>
      <c r="L56">
        <f t="shared" si="4"/>
        <v>3.5965033312532618E-2</v>
      </c>
      <c r="N56">
        <f t="shared" si="5"/>
        <v>3.3965033312532616E-2</v>
      </c>
      <c r="P56">
        <f t="shared" si="6"/>
        <v>2.2525390118283563E-2</v>
      </c>
      <c r="Q56">
        <f t="shared" si="7"/>
        <v>3.0925580715202509E-2</v>
      </c>
    </row>
    <row r="57" spans="1:17">
      <c r="A57" s="150">
        <v>44773</v>
      </c>
      <c r="B57">
        <v>-1.712448410576952E-2</v>
      </c>
      <c r="C57" s="4">
        <v>1.759896553989572E-2</v>
      </c>
      <c r="L57">
        <f t="shared" si="4"/>
        <v>3.0162999414613839E-2</v>
      </c>
      <c r="N57">
        <f t="shared" si="5"/>
        <v>2.8162999414613837E-2</v>
      </c>
      <c r="P57">
        <f t="shared" si="6"/>
        <v>-1.9124484105769522E-2</v>
      </c>
      <c r="Q57">
        <f t="shared" si="7"/>
        <v>1.559896553989572E-2</v>
      </c>
    </row>
    <row r="58" spans="1:17">
      <c r="A58" s="150">
        <v>44804</v>
      </c>
      <c r="B58">
        <v>4.0357519800720262E-2</v>
      </c>
      <c r="C58" s="4">
        <v>2.6591002823204261E-2</v>
      </c>
      <c r="L58">
        <f t="shared" si="4"/>
        <v>2.1609844919614887E-2</v>
      </c>
      <c r="N58">
        <f t="shared" si="5"/>
        <v>1.9609844919614886E-2</v>
      </c>
      <c r="P58">
        <f t="shared" si="6"/>
        <v>3.8357519800720261E-2</v>
      </c>
      <c r="Q58">
        <f t="shared" si="7"/>
        <v>2.4591002823204262E-2</v>
      </c>
    </row>
    <row r="59" spans="1:17">
      <c r="A59" s="150">
        <v>44834</v>
      </c>
      <c r="B59">
        <v>-1.886092194040994E-2</v>
      </c>
      <c r="C59" s="4">
        <v>-3.109628410819178E-2</v>
      </c>
      <c r="L59">
        <f t="shared" si="4"/>
        <v>-3.5523422146438104E-2</v>
      </c>
      <c r="N59">
        <f t="shared" si="5"/>
        <v>-3.7523422146438105E-2</v>
      </c>
      <c r="P59">
        <f t="shared" si="6"/>
        <v>-2.0860921940409942E-2</v>
      </c>
      <c r="Q59">
        <f t="shared" si="7"/>
        <v>-3.3096284108191779E-2</v>
      </c>
    </row>
    <row r="60" spans="1:17">
      <c r="A60" s="150">
        <v>44865</v>
      </c>
      <c r="B60">
        <v>5.2638184940862663E-2</v>
      </c>
      <c r="C60" s="4">
        <v>4.9684360835778943E-2</v>
      </c>
      <c r="L60">
        <f t="shared" si="4"/>
        <v>4.86155745690071E-2</v>
      </c>
      <c r="N60">
        <f t="shared" si="5"/>
        <v>4.6615574569007098E-2</v>
      </c>
      <c r="P60">
        <f t="shared" si="6"/>
        <v>5.0638184940862661E-2</v>
      </c>
      <c r="Q60">
        <f t="shared" si="7"/>
        <v>4.7684360835778941E-2</v>
      </c>
    </row>
    <row r="61" spans="1:17">
      <c r="A61" s="150">
        <v>44895</v>
      </c>
      <c r="B61">
        <v>-4.0956615356035592E-2</v>
      </c>
      <c r="C61" s="4">
        <v>-2.9675948530376129E-2</v>
      </c>
      <c r="L61">
        <f t="shared" si="4"/>
        <v>-2.5594249229952862E-2</v>
      </c>
      <c r="N61">
        <f t="shared" si="5"/>
        <v>-2.7594249229952864E-2</v>
      </c>
      <c r="P61">
        <f t="shared" si="6"/>
        <v>-4.2956615356035593E-2</v>
      </c>
      <c r="Q61">
        <f t="shared" si="7"/>
        <v>-3.1675948530376127E-2</v>
      </c>
    </row>
    <row r="62" spans="1:17">
      <c r="A62" s="43"/>
      <c r="C62" s="4"/>
      <c r="D62" s="4"/>
    </row>
    <row r="63" spans="1:17">
      <c r="C63" s="4"/>
      <c r="D63" s="4"/>
    </row>
    <row r="64" spans="1:17">
      <c r="C64" s="4"/>
      <c r="D64" s="4"/>
    </row>
    <row r="65" spans="3:4">
      <c r="C65" s="4"/>
      <c r="D65" s="4"/>
    </row>
    <row r="66" spans="3:4">
      <c r="C66" s="4"/>
      <c r="D66" s="4"/>
    </row>
    <row r="67" spans="3:4">
      <c r="C67" s="4"/>
      <c r="D67" s="4"/>
    </row>
    <row r="68" spans="3:4">
      <c r="C68" s="4"/>
      <c r="D68" s="4"/>
    </row>
    <row r="69" spans="3:4">
      <c r="C69" s="4"/>
      <c r="D69" s="4"/>
    </row>
    <row r="70" spans="3:4">
      <c r="C70" s="4"/>
      <c r="D70" s="4"/>
    </row>
    <row r="71" spans="3:4">
      <c r="C71" s="4"/>
      <c r="D71" s="4"/>
    </row>
    <row r="72" spans="3:4">
      <c r="C72" s="4"/>
      <c r="D72" s="4"/>
    </row>
    <row r="73" spans="3:4">
      <c r="C73" s="4"/>
      <c r="D73" s="4"/>
    </row>
    <row r="74" spans="3:4">
      <c r="C74" s="4"/>
      <c r="D74" s="4"/>
    </row>
    <row r="75" spans="3:4">
      <c r="C75" s="4"/>
      <c r="D75" s="4"/>
    </row>
    <row r="76" spans="3:4">
      <c r="C76" s="4"/>
      <c r="D76" s="4"/>
    </row>
    <row r="77" spans="3:4">
      <c r="C77" s="4"/>
      <c r="D77" s="4"/>
    </row>
  </sheetData>
  <mergeCells count="2">
    <mergeCell ref="T6:U6"/>
    <mergeCell ref="N1:Q1"/>
  </mergeCells>
  <pageMargins left="0.7" right="0.7" top="0.75" bottom="0.75" header="0.3" footer="0.3"/>
  <pageSetup orientation="portrait" horizontalDpi="1200" verticalDpi="12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AAE4D-3EDD-4083-8110-7445F09C1E8F}">
  <dimension ref="A2:I24"/>
  <sheetViews>
    <sheetView workbookViewId="0">
      <selection activeCell="D25" sqref="D25"/>
    </sheetView>
  </sheetViews>
  <sheetFormatPr defaultRowHeight="14.5"/>
  <cols>
    <col min="1" max="1" width="12" customWidth="1"/>
    <col min="2" max="2" width="11.1796875" style="3" bestFit="1" customWidth="1"/>
    <col min="3" max="3" width="17.54296875" customWidth="1"/>
    <col min="4" max="5" width="13.54296875" bestFit="1" customWidth="1"/>
    <col min="6" max="6" width="10.453125" customWidth="1"/>
    <col min="8" max="8" width="12.453125" bestFit="1" customWidth="1"/>
  </cols>
  <sheetData>
    <row r="2" spans="1:8">
      <c r="D2" s="273" t="s">
        <v>444</v>
      </c>
      <c r="E2" s="273"/>
      <c r="F2" s="273"/>
    </row>
    <row r="3" spans="1:8">
      <c r="D3" s="3">
        <v>1</v>
      </c>
      <c r="E3" s="3">
        <v>2</v>
      </c>
      <c r="H3" s="1" t="s">
        <v>212</v>
      </c>
    </row>
    <row r="4" spans="1:8">
      <c r="A4" s="1" t="s">
        <v>516</v>
      </c>
      <c r="B4" s="3" t="s">
        <v>513</v>
      </c>
      <c r="C4" s="1" t="s">
        <v>514</v>
      </c>
      <c r="D4" s="1" t="s">
        <v>512</v>
      </c>
      <c r="E4" s="1" t="s">
        <v>181</v>
      </c>
      <c r="F4" s="1" t="s">
        <v>515</v>
      </c>
      <c r="H4" s="1"/>
    </row>
    <row r="5" spans="1:8">
      <c r="A5" s="169" t="s">
        <v>0</v>
      </c>
      <c r="B5" s="2">
        <v>100</v>
      </c>
      <c r="C5" s="6">
        <v>0.7</v>
      </c>
      <c r="D5" s="6">
        <v>0.12</v>
      </c>
      <c r="E5" s="6">
        <v>-0.14000000000000001</v>
      </c>
      <c r="F5" s="6">
        <f>B5/SUM($B$5:$B$8)</f>
        <v>6.6666666666666666E-2</v>
      </c>
      <c r="H5" s="4">
        <v>0.1</v>
      </c>
    </row>
    <row r="6" spans="1:8">
      <c r="A6" s="169" t="s">
        <v>1</v>
      </c>
      <c r="B6" s="2">
        <v>200</v>
      </c>
      <c r="C6" s="6">
        <v>0.05</v>
      </c>
      <c r="D6" s="6">
        <v>7.0000000000000007E-2</v>
      </c>
      <c r="E6" s="6">
        <v>0.12</v>
      </c>
      <c r="F6" s="6">
        <f>B6/SUM($B$5:$B$8)</f>
        <v>0.13333333333333333</v>
      </c>
      <c r="H6" s="6">
        <v>0.06</v>
      </c>
    </row>
    <row r="7" spans="1:8">
      <c r="A7" s="169" t="s">
        <v>2</v>
      </c>
      <c r="B7" s="2">
        <v>500</v>
      </c>
      <c r="C7" s="6">
        <v>0.5</v>
      </c>
      <c r="D7" s="6">
        <v>-0.05</v>
      </c>
      <c r="E7" s="6">
        <v>-7.0000000000000007E-2</v>
      </c>
      <c r="F7" s="6">
        <f>B7/SUM($B$5:$B$8)</f>
        <v>0.33333333333333331</v>
      </c>
      <c r="H7" s="6">
        <v>-0.05</v>
      </c>
    </row>
    <row r="8" spans="1:8">
      <c r="A8" s="169" t="s">
        <v>433</v>
      </c>
      <c r="B8" s="2">
        <v>700</v>
      </c>
      <c r="C8" s="6">
        <v>0.15</v>
      </c>
      <c r="D8" s="6">
        <v>-0.14000000000000001</v>
      </c>
      <c r="E8" s="6">
        <v>0.09</v>
      </c>
      <c r="F8" s="6">
        <f>B8/SUM($B$5:$B$8)</f>
        <v>0.46666666666666667</v>
      </c>
      <c r="H8" s="6">
        <v>0.08</v>
      </c>
    </row>
    <row r="10" spans="1:8">
      <c r="C10" t="s">
        <v>7</v>
      </c>
      <c r="D10" s="11">
        <f>SUM(D5:D8)</f>
        <v>0</v>
      </c>
      <c r="E10" s="11">
        <f>SUM(E5:E8)</f>
        <v>0</v>
      </c>
      <c r="F10" s="6">
        <f>SUM(F5:F8)</f>
        <v>1</v>
      </c>
    </row>
    <row r="12" spans="1:8">
      <c r="B12" s="168"/>
      <c r="D12" s="1" t="s">
        <v>444</v>
      </c>
      <c r="E12" s="1" t="s">
        <v>511</v>
      </c>
      <c r="F12" s="1" t="s">
        <v>520</v>
      </c>
    </row>
    <row r="13" spans="1:8">
      <c r="D13" s="1" t="s">
        <v>214</v>
      </c>
    </row>
    <row r="14" spans="1:8">
      <c r="C14" s="3" t="s">
        <v>0</v>
      </c>
      <c r="D14" s="2">
        <f>F5+1.5*D5+0.7*E5</f>
        <v>0.14866666666666664</v>
      </c>
      <c r="E14" s="2">
        <f>D14-F5</f>
        <v>8.1999999999999976E-2</v>
      </c>
      <c r="F14" s="2">
        <f>1.5*D5+0.7*E5</f>
        <v>8.199999999999999E-2</v>
      </c>
    </row>
    <row r="15" spans="1:8">
      <c r="C15" s="3" t="s">
        <v>1</v>
      </c>
      <c r="D15" s="2">
        <f>F6+1.5*D6+0.7*E6</f>
        <v>0.32233333333333336</v>
      </c>
      <c r="E15" s="2">
        <f>D15-F6</f>
        <v>0.18900000000000003</v>
      </c>
      <c r="F15" s="2">
        <f>1.5*D6+0.7*E6</f>
        <v>0.189</v>
      </c>
    </row>
    <row r="16" spans="1:8">
      <c r="C16" s="3" t="s">
        <v>2</v>
      </c>
      <c r="D16" s="2">
        <f>F7+1.5*D7+0.7*E7</f>
        <v>0.20933333333333332</v>
      </c>
      <c r="E16" s="2">
        <f>D16-F7</f>
        <v>-0.124</v>
      </c>
      <c r="F16" s="2">
        <f>1.5*D7+0.7*E7</f>
        <v>-0.12400000000000001</v>
      </c>
    </row>
    <row r="17" spans="3:9">
      <c r="C17" s="3" t="s">
        <v>433</v>
      </c>
      <c r="D17" s="2">
        <f>F8+1.5*D8+0.7*E8</f>
        <v>0.31966666666666665</v>
      </c>
      <c r="E17" s="2">
        <f>D17-F8</f>
        <v>-0.14700000000000002</v>
      </c>
      <c r="F17" s="2">
        <f>1.5*D8+0.7*E8</f>
        <v>-0.14700000000000002</v>
      </c>
    </row>
    <row r="19" spans="3:9">
      <c r="C19" s="3" t="s">
        <v>7</v>
      </c>
      <c r="D19" s="2">
        <f>SUM(D14:D17)</f>
        <v>0.99999999999999989</v>
      </c>
      <c r="E19" s="2">
        <f>SUM(E14:E17)</f>
        <v>0</v>
      </c>
    </row>
    <row r="20" spans="3:9">
      <c r="C20" s="3"/>
      <c r="D20" s="2"/>
      <c r="E20" s="2"/>
    </row>
    <row r="21" spans="3:9">
      <c r="F21" s="1" t="s">
        <v>517</v>
      </c>
      <c r="G21" s="1" t="s">
        <v>518</v>
      </c>
      <c r="H21" s="1" t="s">
        <v>515</v>
      </c>
      <c r="I21" s="1" t="s">
        <v>228</v>
      </c>
    </row>
    <row r="22" spans="3:9">
      <c r="C22" s="3" t="s">
        <v>519</v>
      </c>
      <c r="D22">
        <f>SUMPRODUCT(D14:D17,H5:H8)</f>
        <v>4.9313333333333334E-2</v>
      </c>
      <c r="F22">
        <f>SUMPRODUCT(D5:D8,H5:H8)</f>
        <v>7.4999999999999997E-3</v>
      </c>
      <c r="G22">
        <f>SUMPRODUCT(E5:E8,H5:H8)</f>
        <v>3.8999999999999981E-3</v>
      </c>
      <c r="H22">
        <f>SUMPRODUCT(F5:F8,H5:H8)</f>
        <v>3.5333333333333342E-2</v>
      </c>
      <c r="I22">
        <f>SUMPRODUCT(E14:E17,H5:H8)</f>
        <v>1.3979999999999998E-2</v>
      </c>
    </row>
    <row r="23" spans="3:9">
      <c r="C23" s="1" t="s">
        <v>521</v>
      </c>
      <c r="D23">
        <f>H22+I22</f>
        <v>4.9313333333333341E-2</v>
      </c>
    </row>
    <row r="24" spans="3:9">
      <c r="C24" s="1" t="s">
        <v>522</v>
      </c>
      <c r="D24">
        <f>H22+1.5*F22+0.7*G22</f>
        <v>4.9313333333333334E-2</v>
      </c>
    </row>
  </sheetData>
  <mergeCells count="1">
    <mergeCell ref="D2:F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92EFA-6765-4396-B07C-6ADBB9326B8C}">
  <dimension ref="A1:B739"/>
  <sheetViews>
    <sheetView workbookViewId="0">
      <selection activeCell="C1" sqref="C1"/>
    </sheetView>
  </sheetViews>
  <sheetFormatPr defaultRowHeight="14.5"/>
  <sheetData>
    <row r="1" spans="1:2">
      <c r="A1" t="s">
        <v>533</v>
      </c>
      <c r="B1" t="s">
        <v>534</v>
      </c>
    </row>
    <row r="2" spans="1:2">
      <c r="A2">
        <v>196307</v>
      </c>
      <c r="B2">
        <v>1.3600000000000001E-2</v>
      </c>
    </row>
    <row r="3" spans="1:2">
      <c r="A3">
        <v>196308</v>
      </c>
      <c r="B3">
        <v>3.5200000000000002E-2</v>
      </c>
    </row>
    <row r="4" spans="1:2">
      <c r="A4">
        <v>196309</v>
      </c>
      <c r="B4">
        <v>-3.1000000000000003E-2</v>
      </c>
    </row>
    <row r="5" spans="1:2">
      <c r="A5">
        <v>196310</v>
      </c>
      <c r="B5">
        <v>1.24E-2</v>
      </c>
    </row>
    <row r="6" spans="1:2">
      <c r="A6">
        <v>196311</v>
      </c>
      <c r="B6">
        <v>-9.1000000000000004E-3</v>
      </c>
    </row>
    <row r="7" spans="1:2">
      <c r="A7">
        <v>196312</v>
      </c>
      <c r="B7">
        <v>3.85E-2</v>
      </c>
    </row>
    <row r="8" spans="1:2">
      <c r="A8">
        <v>196401</v>
      </c>
      <c r="B8">
        <v>3.73E-2</v>
      </c>
    </row>
    <row r="9" spans="1:2">
      <c r="A9">
        <v>196402</v>
      </c>
      <c r="B9">
        <v>1.1000000000000001E-2</v>
      </c>
    </row>
    <row r="10" spans="1:2">
      <c r="A10">
        <v>196403</v>
      </c>
      <c r="B10">
        <v>1.0500000000000001E-2</v>
      </c>
    </row>
    <row r="11" spans="1:2">
      <c r="A11">
        <v>196404</v>
      </c>
      <c r="B11">
        <v>2.6499999999999999E-2</v>
      </c>
    </row>
    <row r="12" spans="1:2">
      <c r="A12">
        <v>196405</v>
      </c>
      <c r="B12">
        <v>1.6299999999999999E-2</v>
      </c>
    </row>
    <row r="13" spans="1:2">
      <c r="A13">
        <v>196406</v>
      </c>
      <c r="B13">
        <v>1.52E-2</v>
      </c>
    </row>
    <row r="14" spans="1:2">
      <c r="A14">
        <v>196407</v>
      </c>
      <c r="B14">
        <v>4.0800000000000003E-2</v>
      </c>
    </row>
    <row r="15" spans="1:2">
      <c r="A15">
        <v>196408</v>
      </c>
      <c r="B15">
        <v>1.34E-2</v>
      </c>
    </row>
    <row r="16" spans="1:2">
      <c r="A16">
        <v>196409</v>
      </c>
      <c r="B16">
        <v>2.8799999999999999E-2</v>
      </c>
    </row>
    <row r="17" spans="1:2">
      <c r="A17">
        <v>196410</v>
      </c>
      <c r="B17">
        <v>1.17E-2</v>
      </c>
    </row>
    <row r="18" spans="1:2">
      <c r="A18">
        <v>196411</v>
      </c>
      <c r="B18">
        <v>1.3100000000000001E-2</v>
      </c>
    </row>
    <row r="19" spans="1:2">
      <c r="A19">
        <v>196412</v>
      </c>
      <c r="B19">
        <v>-1.1000000000000001E-3</v>
      </c>
    </row>
    <row r="20" spans="1:2">
      <c r="A20">
        <v>196501</v>
      </c>
      <c r="B20">
        <v>2.8799999999999999E-2</v>
      </c>
    </row>
    <row r="21" spans="1:2">
      <c r="A21">
        <v>196502</v>
      </c>
      <c r="B21">
        <v>1.17E-2</v>
      </c>
    </row>
    <row r="22" spans="1:2">
      <c r="A22">
        <v>196503</v>
      </c>
      <c r="B22">
        <v>-1E-4</v>
      </c>
    </row>
    <row r="23" spans="1:2">
      <c r="A23">
        <v>196504</v>
      </c>
      <c r="B23">
        <v>1.29E-2</v>
      </c>
    </row>
    <row r="24" spans="1:2">
      <c r="A24">
        <v>196505</v>
      </c>
      <c r="B24">
        <v>-1E-3</v>
      </c>
    </row>
    <row r="25" spans="1:2">
      <c r="A25">
        <v>196506</v>
      </c>
      <c r="B25">
        <v>-5.0700000000000002E-2</v>
      </c>
    </row>
    <row r="26" spans="1:2">
      <c r="A26">
        <v>196507</v>
      </c>
      <c r="B26">
        <v>2.1000000000000001E-2</v>
      </c>
    </row>
    <row r="27" spans="1:2">
      <c r="A27">
        <v>196508</v>
      </c>
      <c r="B27">
        <v>1.17E-2</v>
      </c>
    </row>
    <row r="28" spans="1:2">
      <c r="A28">
        <v>196509</v>
      </c>
      <c r="B28">
        <v>4.9200000000000001E-2</v>
      </c>
    </row>
    <row r="29" spans="1:2">
      <c r="A29">
        <v>196510</v>
      </c>
      <c r="B29">
        <v>1.7600000000000001E-2</v>
      </c>
    </row>
    <row r="30" spans="1:2">
      <c r="A30">
        <v>196511</v>
      </c>
      <c r="B30">
        <v>1.3500000000000002E-2</v>
      </c>
    </row>
    <row r="31" spans="1:2">
      <c r="A31">
        <v>196512</v>
      </c>
      <c r="B31">
        <v>6.3E-3</v>
      </c>
    </row>
    <row r="32" spans="1:2">
      <c r="A32">
        <v>196601</v>
      </c>
      <c r="B32">
        <v>9.9000000000000008E-3</v>
      </c>
    </row>
    <row r="33" spans="1:2">
      <c r="A33">
        <v>196602</v>
      </c>
      <c r="B33">
        <v>-3.5099999999999999E-2</v>
      </c>
    </row>
    <row r="34" spans="1:2">
      <c r="A34">
        <v>196603</v>
      </c>
      <c r="B34">
        <v>-1.34E-2</v>
      </c>
    </row>
    <row r="35" spans="1:2">
      <c r="A35">
        <v>196604</v>
      </c>
      <c r="B35">
        <v>2.7000000000000003E-2</v>
      </c>
    </row>
    <row r="36" spans="1:2">
      <c r="A36">
        <v>196605</v>
      </c>
      <c r="B36">
        <v>-4.8399999999999999E-2</v>
      </c>
    </row>
    <row r="37" spans="1:2">
      <c r="A37">
        <v>196606</v>
      </c>
      <c r="B37">
        <v>-2.0800000000000003E-2</v>
      </c>
    </row>
    <row r="38" spans="1:2">
      <c r="A38">
        <v>196607</v>
      </c>
      <c r="B38">
        <v>-3.5999999999999999E-3</v>
      </c>
    </row>
    <row r="39" spans="1:2">
      <c r="A39">
        <v>196608</v>
      </c>
      <c r="B39">
        <v>-6.88E-2</v>
      </c>
    </row>
    <row r="40" spans="1:2">
      <c r="A40">
        <v>196609</v>
      </c>
      <c r="B40">
        <v>1.5900000000000001E-2</v>
      </c>
    </row>
    <row r="41" spans="1:2">
      <c r="A41">
        <v>196610</v>
      </c>
      <c r="B41">
        <v>5.7800000000000004E-2</v>
      </c>
    </row>
    <row r="42" spans="1:2">
      <c r="A42">
        <v>196611</v>
      </c>
      <c r="B42">
        <v>-1.0900000000000002E-2</v>
      </c>
    </row>
    <row r="43" spans="1:2">
      <c r="A43">
        <v>196612</v>
      </c>
      <c r="B43">
        <v>-1.6000000000000001E-3</v>
      </c>
    </row>
    <row r="44" spans="1:2">
      <c r="A44">
        <v>196701</v>
      </c>
      <c r="B44">
        <v>3.78E-2</v>
      </c>
    </row>
    <row r="45" spans="1:2">
      <c r="A45">
        <v>196702</v>
      </c>
      <c r="B45">
        <v>-8.8999999999999999E-3</v>
      </c>
    </row>
    <row r="46" spans="1:2">
      <c r="A46">
        <v>196703</v>
      </c>
      <c r="B46">
        <v>4.5400000000000003E-2</v>
      </c>
    </row>
    <row r="47" spans="1:2">
      <c r="A47">
        <v>196704</v>
      </c>
      <c r="B47">
        <v>1.2200000000000001E-2</v>
      </c>
    </row>
    <row r="48" spans="1:2">
      <c r="A48">
        <v>196705</v>
      </c>
      <c r="B48">
        <v>-1.8600000000000002E-2</v>
      </c>
    </row>
    <row r="49" spans="1:2">
      <c r="A49">
        <v>196706</v>
      </c>
      <c r="B49">
        <v>1.8500000000000003E-2</v>
      </c>
    </row>
    <row r="50" spans="1:2">
      <c r="A50">
        <v>196707</v>
      </c>
      <c r="B50">
        <v>5.0000000000000001E-3</v>
      </c>
    </row>
    <row r="51" spans="1:2">
      <c r="A51">
        <v>196708</v>
      </c>
      <c r="B51">
        <v>-1.26E-2</v>
      </c>
    </row>
    <row r="52" spans="1:2">
      <c r="A52">
        <v>196709</v>
      </c>
      <c r="B52">
        <v>1.29E-2</v>
      </c>
    </row>
    <row r="53" spans="1:2">
      <c r="A53">
        <v>196710</v>
      </c>
      <c r="B53">
        <v>-3.7100000000000001E-2</v>
      </c>
    </row>
    <row r="54" spans="1:2">
      <c r="A54">
        <v>196711</v>
      </c>
      <c r="B54">
        <v>8.6E-3</v>
      </c>
    </row>
    <row r="55" spans="1:2">
      <c r="A55">
        <v>196712</v>
      </c>
      <c r="B55">
        <v>2.5499999999999998E-2</v>
      </c>
    </row>
    <row r="56" spans="1:2">
      <c r="A56">
        <v>196801</v>
      </c>
      <c r="B56">
        <v>3.0000000000000001E-3</v>
      </c>
    </row>
    <row r="57" spans="1:2">
      <c r="A57">
        <v>196802</v>
      </c>
      <c r="B57">
        <v>-1.95E-2</v>
      </c>
    </row>
    <row r="58" spans="1:2">
      <c r="A58">
        <v>196803</v>
      </c>
      <c r="B58">
        <v>-1.26E-2</v>
      </c>
    </row>
    <row r="59" spans="1:2">
      <c r="A59">
        <v>196804</v>
      </c>
      <c r="B59">
        <v>4.6500000000000007E-2</v>
      </c>
    </row>
    <row r="60" spans="1:2">
      <c r="A60">
        <v>196805</v>
      </c>
      <c r="B60">
        <v>1.0500000000000001E-2</v>
      </c>
    </row>
    <row r="61" spans="1:2">
      <c r="A61">
        <v>196806</v>
      </c>
      <c r="B61">
        <v>4.2699999999999995E-2</v>
      </c>
    </row>
    <row r="62" spans="1:2">
      <c r="A62">
        <v>196807</v>
      </c>
      <c r="B62">
        <v>3.2300000000000002E-2</v>
      </c>
    </row>
    <row r="63" spans="1:2">
      <c r="A63">
        <v>196808</v>
      </c>
      <c r="B63">
        <v>9.4000000000000004E-3</v>
      </c>
    </row>
    <row r="64" spans="1:2">
      <c r="A64">
        <v>196809</v>
      </c>
      <c r="B64">
        <v>1.7500000000000002E-2</v>
      </c>
    </row>
    <row r="65" spans="1:2">
      <c r="A65">
        <v>196810</v>
      </c>
      <c r="B65">
        <v>2.4300000000000002E-2</v>
      </c>
    </row>
    <row r="66" spans="1:2">
      <c r="A66">
        <v>196811</v>
      </c>
      <c r="B66">
        <v>6.88E-2</v>
      </c>
    </row>
    <row r="67" spans="1:2">
      <c r="A67">
        <v>196812</v>
      </c>
      <c r="B67">
        <v>-4.6699999999999998E-2</v>
      </c>
    </row>
    <row r="68" spans="1:2">
      <c r="A68">
        <v>196901</v>
      </c>
      <c r="B68">
        <v>9.1999999999999998E-3</v>
      </c>
    </row>
    <row r="69" spans="1:2">
      <c r="A69">
        <v>196902</v>
      </c>
      <c r="B69">
        <v>-4.1200000000000001E-2</v>
      </c>
    </row>
    <row r="70" spans="1:2">
      <c r="A70">
        <v>196903</v>
      </c>
      <c r="B70">
        <v>3.1200000000000002E-2</v>
      </c>
    </row>
    <row r="71" spans="1:2">
      <c r="A71">
        <v>196904</v>
      </c>
      <c r="B71">
        <v>2.3300000000000001E-2</v>
      </c>
    </row>
    <row r="72" spans="1:2">
      <c r="A72">
        <v>196905</v>
      </c>
      <c r="B72">
        <v>1.6299999999999999E-2</v>
      </c>
    </row>
    <row r="73" spans="1:2">
      <c r="A73">
        <v>196906</v>
      </c>
      <c r="B73">
        <v>-6.480000000000001E-2</v>
      </c>
    </row>
    <row r="74" spans="1:2">
      <c r="A74">
        <v>196907</v>
      </c>
      <c r="B74">
        <v>-5.7500000000000002E-2</v>
      </c>
    </row>
    <row r="75" spans="1:2">
      <c r="A75">
        <v>196908</v>
      </c>
      <c r="B75">
        <v>2.92E-2</v>
      </c>
    </row>
    <row r="76" spans="1:2">
      <c r="A76">
        <v>196909</v>
      </c>
      <c r="B76">
        <v>-4.9700000000000001E-2</v>
      </c>
    </row>
    <row r="77" spans="1:2">
      <c r="A77">
        <v>196910</v>
      </c>
      <c r="B77">
        <v>3.04E-2</v>
      </c>
    </row>
    <row r="78" spans="1:2">
      <c r="A78">
        <v>196911</v>
      </c>
      <c r="B78">
        <v>-3.5099999999999999E-2</v>
      </c>
    </row>
    <row r="79" spans="1:2">
      <c r="A79">
        <v>196912</v>
      </c>
      <c r="B79">
        <v>-2.63E-2</v>
      </c>
    </row>
    <row r="80" spans="1:2">
      <c r="A80">
        <v>197001</v>
      </c>
      <c r="B80">
        <v>-5.9699999999999996E-2</v>
      </c>
    </row>
    <row r="81" spans="1:2">
      <c r="A81">
        <v>197002</v>
      </c>
      <c r="B81">
        <v>6.13E-2</v>
      </c>
    </row>
    <row r="82" spans="1:2">
      <c r="A82">
        <v>197003</v>
      </c>
      <c r="B82">
        <v>1.84E-2</v>
      </c>
    </row>
    <row r="83" spans="1:2">
      <c r="A83">
        <v>197004</v>
      </c>
      <c r="B83">
        <v>-8.1000000000000003E-2</v>
      </c>
    </row>
    <row r="84" spans="1:2">
      <c r="A84">
        <v>197005</v>
      </c>
      <c r="B84">
        <v>-1.3300000000000001E-2</v>
      </c>
    </row>
    <row r="85" spans="1:2">
      <c r="A85">
        <v>197006</v>
      </c>
      <c r="B85">
        <v>-5.2000000000000005E-2</v>
      </c>
    </row>
    <row r="86" spans="1:2">
      <c r="A86">
        <v>197007</v>
      </c>
      <c r="B86">
        <v>9.2100000000000015E-2</v>
      </c>
    </row>
    <row r="87" spans="1:2">
      <c r="A87">
        <v>197008</v>
      </c>
      <c r="B87">
        <v>3.8300000000000001E-2</v>
      </c>
    </row>
    <row r="88" spans="1:2">
      <c r="A88">
        <v>197009</v>
      </c>
      <c r="B88">
        <v>2.9999999999999997E-4</v>
      </c>
    </row>
    <row r="89" spans="1:2">
      <c r="A89">
        <v>197010</v>
      </c>
      <c r="B89">
        <v>2.3999999999999998E-3</v>
      </c>
    </row>
    <row r="90" spans="1:2">
      <c r="A90">
        <v>197011</v>
      </c>
      <c r="B90">
        <v>6.5799999999999997E-2</v>
      </c>
    </row>
    <row r="91" spans="1:2">
      <c r="A91">
        <v>197012</v>
      </c>
      <c r="B91">
        <v>4.4299999999999999E-2</v>
      </c>
    </row>
    <row r="92" spans="1:2">
      <c r="A92">
        <v>197101</v>
      </c>
      <c r="B92">
        <v>3.8199999999999998E-2</v>
      </c>
    </row>
    <row r="93" spans="1:2">
      <c r="A93">
        <v>197102</v>
      </c>
      <c r="B93">
        <v>-1.9E-3</v>
      </c>
    </row>
    <row r="94" spans="1:2">
      <c r="A94">
        <v>197103</v>
      </c>
      <c r="B94">
        <v>2.2400000000000003E-2</v>
      </c>
    </row>
    <row r="95" spans="1:2">
      <c r="A95">
        <v>197104</v>
      </c>
      <c r="B95">
        <v>9.4000000000000004E-3</v>
      </c>
    </row>
    <row r="96" spans="1:2">
      <c r="A96">
        <v>197105</v>
      </c>
      <c r="B96">
        <v>-4.0599999999999997E-2</v>
      </c>
    </row>
    <row r="97" spans="1:2">
      <c r="A97">
        <v>197106</v>
      </c>
      <c r="B97">
        <v>1.3300000000000001E-2</v>
      </c>
    </row>
    <row r="98" spans="1:2">
      <c r="A98">
        <v>197107</v>
      </c>
      <c r="B98">
        <v>-1.38E-2</v>
      </c>
    </row>
    <row r="99" spans="1:2">
      <c r="A99">
        <v>197108</v>
      </c>
      <c r="B99">
        <v>-5.0000000000000001E-4</v>
      </c>
    </row>
    <row r="100" spans="1:2">
      <c r="A100">
        <v>197109</v>
      </c>
      <c r="B100">
        <v>-4.7000000000000002E-3</v>
      </c>
    </row>
    <row r="101" spans="1:2">
      <c r="A101">
        <v>197110</v>
      </c>
      <c r="B101">
        <v>-9.1000000000000004E-3</v>
      </c>
    </row>
    <row r="102" spans="1:2">
      <c r="A102">
        <v>197111</v>
      </c>
      <c r="B102">
        <v>1.7000000000000001E-3</v>
      </c>
    </row>
    <row r="103" spans="1:2">
      <c r="A103">
        <v>197112</v>
      </c>
      <c r="B103">
        <v>7.2300000000000003E-2</v>
      </c>
    </row>
    <row r="104" spans="1:2">
      <c r="A104">
        <v>197201</v>
      </c>
      <c r="B104">
        <v>7.4000000000000003E-3</v>
      </c>
    </row>
    <row r="105" spans="1:2">
      <c r="A105">
        <v>197202</v>
      </c>
      <c r="B105">
        <v>1.3700000000000002E-2</v>
      </c>
    </row>
    <row r="106" spans="1:2">
      <c r="A106">
        <v>197203</v>
      </c>
      <c r="B106">
        <v>-1.3999999999999999E-2</v>
      </c>
    </row>
    <row r="107" spans="1:2">
      <c r="A107">
        <v>197204</v>
      </c>
      <c r="B107">
        <v>5.9999999999999995E-4</v>
      </c>
    </row>
    <row r="108" spans="1:2">
      <c r="A108">
        <v>197205</v>
      </c>
      <c r="B108">
        <v>2.06E-2</v>
      </c>
    </row>
    <row r="109" spans="1:2">
      <c r="A109">
        <v>197206</v>
      </c>
      <c r="B109">
        <v>-1.17E-2</v>
      </c>
    </row>
    <row r="110" spans="1:2">
      <c r="A110">
        <v>197207</v>
      </c>
      <c r="B110">
        <v>1.18E-2</v>
      </c>
    </row>
    <row r="111" spans="1:2">
      <c r="A111">
        <v>197208</v>
      </c>
      <c r="B111">
        <v>6.0700000000000004E-2</v>
      </c>
    </row>
    <row r="112" spans="1:2">
      <c r="A112">
        <v>197209</v>
      </c>
      <c r="B112">
        <v>1.0400000000000001E-2</v>
      </c>
    </row>
    <row r="113" spans="1:2">
      <c r="A113">
        <v>197210</v>
      </c>
      <c r="B113">
        <v>3.5000000000000003E-2</v>
      </c>
    </row>
    <row r="114" spans="1:2">
      <c r="A114">
        <v>197211</v>
      </c>
      <c r="B114">
        <v>4.6699999999999998E-2</v>
      </c>
    </row>
    <row r="115" spans="1:2">
      <c r="A115">
        <v>197212</v>
      </c>
      <c r="B115">
        <v>1.4199999999999999E-2</v>
      </c>
    </row>
    <row r="116" spans="1:2">
      <c r="A116">
        <v>197301</v>
      </c>
      <c r="B116">
        <v>-2.5000000000000001E-3</v>
      </c>
    </row>
    <row r="117" spans="1:2">
      <c r="A117">
        <v>197302</v>
      </c>
      <c r="B117">
        <v>-3.73E-2</v>
      </c>
    </row>
    <row r="118" spans="1:2">
      <c r="A118">
        <v>197303</v>
      </c>
      <c r="B118">
        <v>1.26E-2</v>
      </c>
    </row>
    <row r="119" spans="1:2">
      <c r="A119">
        <v>197304</v>
      </c>
      <c r="B119">
        <v>-5.8999999999999999E-3</v>
      </c>
    </row>
    <row r="120" spans="1:2">
      <c r="A120">
        <v>197305</v>
      </c>
      <c r="B120">
        <v>4.1999999999999997E-3</v>
      </c>
    </row>
    <row r="121" spans="1:2">
      <c r="A121">
        <v>197306</v>
      </c>
      <c r="B121">
        <v>9.4999999999999998E-3</v>
      </c>
    </row>
    <row r="122" spans="1:2">
      <c r="A122">
        <v>197307</v>
      </c>
      <c r="B122">
        <v>1.7600000000000001E-2</v>
      </c>
    </row>
    <row r="123" spans="1:2">
      <c r="A123">
        <v>197308</v>
      </c>
      <c r="B123">
        <v>-3.8399999999999997E-2</v>
      </c>
    </row>
    <row r="124" spans="1:2">
      <c r="A124">
        <v>197309</v>
      </c>
      <c r="B124">
        <v>4.3600000000000007E-2</v>
      </c>
    </row>
    <row r="125" spans="1:2">
      <c r="A125">
        <v>197310</v>
      </c>
      <c r="B125">
        <v>1.7500000000000002E-2</v>
      </c>
    </row>
    <row r="126" spans="1:2">
      <c r="A126">
        <v>197311</v>
      </c>
      <c r="B126">
        <v>-8.2799999999999999E-2</v>
      </c>
    </row>
    <row r="127" spans="1:2">
      <c r="A127">
        <v>197312</v>
      </c>
      <c r="B127">
        <v>2.9900000000000003E-2</v>
      </c>
    </row>
    <row r="128" spans="1:2">
      <c r="A128">
        <v>197401</v>
      </c>
      <c r="B128">
        <v>-3.7400000000000003E-2</v>
      </c>
    </row>
    <row r="129" spans="1:2">
      <c r="A129">
        <v>197402</v>
      </c>
      <c r="B129">
        <v>2.0000000000000001E-4</v>
      </c>
    </row>
    <row r="130" spans="1:2">
      <c r="A130">
        <v>197403</v>
      </c>
      <c r="B130">
        <v>-1.7100000000000001E-2</v>
      </c>
    </row>
    <row r="131" spans="1:2">
      <c r="A131">
        <v>197404</v>
      </c>
      <c r="B131">
        <v>-4.5400000000000003E-2</v>
      </c>
    </row>
    <row r="132" spans="1:2">
      <c r="A132">
        <v>197405</v>
      </c>
      <c r="B132">
        <v>-3.61E-2</v>
      </c>
    </row>
    <row r="133" spans="1:2">
      <c r="A133">
        <v>197406</v>
      </c>
      <c r="B133">
        <v>-2.0899999999999998E-2</v>
      </c>
    </row>
    <row r="134" spans="1:2">
      <c r="A134">
        <v>197407</v>
      </c>
      <c r="B134">
        <v>-6.1900000000000004E-2</v>
      </c>
    </row>
    <row r="135" spans="1:2">
      <c r="A135">
        <v>197408</v>
      </c>
      <c r="B135">
        <v>-7.5999999999999998E-2</v>
      </c>
    </row>
    <row r="136" spans="1:2">
      <c r="A136">
        <v>197409</v>
      </c>
      <c r="B136">
        <v>-9.8500000000000004E-2</v>
      </c>
    </row>
    <row r="137" spans="1:2">
      <c r="A137">
        <v>197410</v>
      </c>
      <c r="B137">
        <v>0.1852</v>
      </c>
    </row>
    <row r="138" spans="1:2">
      <c r="A138">
        <v>197411</v>
      </c>
      <c r="B138">
        <v>-3.9300000000000002E-2</v>
      </c>
    </row>
    <row r="139" spans="1:2">
      <c r="A139">
        <v>197412</v>
      </c>
      <c r="B139">
        <v>-5.2000000000000006E-3</v>
      </c>
    </row>
    <row r="140" spans="1:2">
      <c r="A140">
        <v>197501</v>
      </c>
      <c r="B140">
        <v>8.2300000000000012E-2</v>
      </c>
    </row>
    <row r="141" spans="1:2">
      <c r="A141">
        <v>197502</v>
      </c>
      <c r="B141">
        <v>5.9900000000000002E-2</v>
      </c>
    </row>
    <row r="142" spans="1:2">
      <c r="A142">
        <v>197503</v>
      </c>
      <c r="B142">
        <v>-4.5000000000000005E-3</v>
      </c>
    </row>
    <row r="143" spans="1:2">
      <c r="A143">
        <v>197504</v>
      </c>
      <c r="B143">
        <v>3.44E-2</v>
      </c>
    </row>
    <row r="144" spans="1:2">
      <c r="A144">
        <v>197505</v>
      </c>
      <c r="B144">
        <v>7.0599999999999996E-2</v>
      </c>
    </row>
    <row r="145" spans="1:2">
      <c r="A145">
        <v>197506</v>
      </c>
      <c r="B145">
        <v>4.2000000000000003E-2</v>
      </c>
    </row>
    <row r="146" spans="1:2">
      <c r="A146">
        <v>197507</v>
      </c>
      <c r="B146">
        <v>-4.8200000000000007E-2</v>
      </c>
    </row>
    <row r="147" spans="1:2">
      <c r="A147">
        <v>197508</v>
      </c>
      <c r="B147">
        <v>-2.01E-2</v>
      </c>
    </row>
    <row r="148" spans="1:2">
      <c r="A148">
        <v>197509</v>
      </c>
      <c r="B148">
        <v>-2.2499999999999999E-2</v>
      </c>
    </row>
    <row r="149" spans="1:2">
      <c r="A149">
        <v>197510</v>
      </c>
      <c r="B149">
        <v>3.9199999999999999E-2</v>
      </c>
    </row>
    <row r="150" spans="1:2">
      <c r="A150">
        <v>197511</v>
      </c>
      <c r="B150">
        <v>1.5900000000000001E-2</v>
      </c>
    </row>
    <row r="151" spans="1:2">
      <c r="A151">
        <v>197512</v>
      </c>
      <c r="B151">
        <v>-4.0000000000000002E-4</v>
      </c>
    </row>
    <row r="152" spans="1:2">
      <c r="A152">
        <v>197601</v>
      </c>
      <c r="B152">
        <v>7.8200000000000006E-2</v>
      </c>
    </row>
    <row r="153" spans="1:2">
      <c r="A153">
        <v>197602</v>
      </c>
      <c r="B153">
        <v>-1.3000000000000001E-2</v>
      </c>
    </row>
    <row r="154" spans="1:2">
      <c r="A154">
        <v>197603</v>
      </c>
      <c r="B154">
        <v>3.4799999999999998E-2</v>
      </c>
    </row>
    <row r="155" spans="1:2">
      <c r="A155">
        <v>197604</v>
      </c>
      <c r="B155">
        <v>8.3999999999999995E-3</v>
      </c>
    </row>
    <row r="156" spans="1:2">
      <c r="A156">
        <v>197605</v>
      </c>
      <c r="B156">
        <v>9.1999999999999998E-3</v>
      </c>
    </row>
    <row r="157" spans="1:2">
      <c r="A157">
        <v>197606</v>
      </c>
      <c r="B157">
        <v>4.2000000000000003E-2</v>
      </c>
    </row>
    <row r="158" spans="1:2">
      <c r="A158">
        <v>197607</v>
      </c>
      <c r="B158">
        <v>8.6999999999999994E-3</v>
      </c>
    </row>
    <row r="159" spans="1:2">
      <c r="A159">
        <v>197608</v>
      </c>
      <c r="B159">
        <v>1.47E-2</v>
      </c>
    </row>
    <row r="160" spans="1:2">
      <c r="A160">
        <v>197609</v>
      </c>
      <c r="B160">
        <v>4.1200000000000001E-2</v>
      </c>
    </row>
    <row r="161" spans="1:2">
      <c r="A161">
        <v>197610</v>
      </c>
      <c r="B161">
        <v>-8.199999999999999E-3</v>
      </c>
    </row>
    <row r="162" spans="1:2">
      <c r="A162">
        <v>197611</v>
      </c>
      <c r="B162">
        <v>1.5500000000000002E-2</v>
      </c>
    </row>
    <row r="163" spans="1:2">
      <c r="A163">
        <v>197612</v>
      </c>
      <c r="B163">
        <v>4.8399999999999999E-2</v>
      </c>
    </row>
    <row r="164" spans="1:2">
      <c r="A164">
        <v>197701</v>
      </c>
      <c r="B164">
        <v>-1.1000000000000001E-2</v>
      </c>
    </row>
    <row r="165" spans="1:2">
      <c r="A165">
        <v>197702</v>
      </c>
      <c r="B165">
        <v>-1.24E-2</v>
      </c>
    </row>
    <row r="166" spans="1:2">
      <c r="A166">
        <v>197703</v>
      </c>
      <c r="B166">
        <v>-1.18E-2</v>
      </c>
    </row>
    <row r="167" spans="1:2">
      <c r="A167">
        <v>197704</v>
      </c>
      <c r="B167">
        <v>1.9699999999999999E-2</v>
      </c>
    </row>
    <row r="168" spans="1:2">
      <c r="A168">
        <v>197705</v>
      </c>
      <c r="B168">
        <v>-1.4000000000000002E-3</v>
      </c>
    </row>
    <row r="169" spans="1:2">
      <c r="A169">
        <v>197706</v>
      </c>
      <c r="B169">
        <v>3.6799999999999999E-2</v>
      </c>
    </row>
    <row r="170" spans="1:2">
      <c r="A170">
        <v>197707</v>
      </c>
      <c r="B170">
        <v>-1.4800000000000001E-2</v>
      </c>
    </row>
    <row r="171" spans="1:2">
      <c r="A171">
        <v>197708</v>
      </c>
      <c r="B171">
        <v>-3.0099999999999998E-2</v>
      </c>
    </row>
    <row r="172" spans="1:2">
      <c r="A172">
        <v>197709</v>
      </c>
      <c r="B172">
        <v>9.1999999999999998E-3</v>
      </c>
    </row>
    <row r="173" spans="1:2">
      <c r="A173">
        <v>197710</v>
      </c>
      <c r="B173">
        <v>-3.44E-2</v>
      </c>
    </row>
    <row r="174" spans="1:2">
      <c r="A174">
        <v>197711</v>
      </c>
      <c r="B174">
        <v>2.5700000000000001E-2</v>
      </c>
    </row>
    <row r="175" spans="1:2">
      <c r="A175">
        <v>197712</v>
      </c>
      <c r="B175">
        <v>1.47E-2</v>
      </c>
    </row>
    <row r="176" spans="1:2">
      <c r="A176">
        <v>197801</v>
      </c>
      <c r="B176">
        <v>-5.2699999999999997E-2</v>
      </c>
    </row>
    <row r="177" spans="1:2">
      <c r="A177">
        <v>197802</v>
      </c>
      <c r="B177">
        <v>1E-4</v>
      </c>
    </row>
    <row r="178" spans="1:2">
      <c r="A178">
        <v>197803</v>
      </c>
      <c r="B178">
        <v>2.23E-2</v>
      </c>
    </row>
    <row r="179" spans="1:2">
      <c r="A179">
        <v>197804</v>
      </c>
      <c r="B179">
        <v>4.8399999999999999E-2</v>
      </c>
    </row>
    <row r="180" spans="1:2">
      <c r="A180">
        <v>197805</v>
      </c>
      <c r="B180">
        <v>8.6999999999999994E-3</v>
      </c>
    </row>
    <row r="181" spans="1:2">
      <c r="A181">
        <v>197806</v>
      </c>
      <c r="B181">
        <v>-1.9099999999999999E-2</v>
      </c>
    </row>
    <row r="182" spans="1:2">
      <c r="A182">
        <v>197807</v>
      </c>
      <c r="B182">
        <v>2.6600000000000002E-2</v>
      </c>
    </row>
    <row r="183" spans="1:2">
      <c r="A183">
        <v>197808</v>
      </c>
      <c r="B183">
        <v>3.8399999999999997E-2</v>
      </c>
    </row>
    <row r="184" spans="1:2">
      <c r="A184">
        <v>197809</v>
      </c>
      <c r="B184">
        <v>2.4500000000000001E-2</v>
      </c>
    </row>
    <row r="185" spans="1:2">
      <c r="A185">
        <v>197810</v>
      </c>
      <c r="B185">
        <v>-7.6200000000000004E-2</v>
      </c>
    </row>
    <row r="186" spans="1:2">
      <c r="A186">
        <v>197811</v>
      </c>
      <c r="B186">
        <v>3.7100000000000001E-2</v>
      </c>
    </row>
    <row r="187" spans="1:2">
      <c r="A187">
        <v>197812</v>
      </c>
      <c r="B187">
        <v>9.7000000000000003E-3</v>
      </c>
    </row>
    <row r="188" spans="1:2">
      <c r="A188">
        <v>197901</v>
      </c>
      <c r="B188">
        <v>4.1700000000000001E-2</v>
      </c>
    </row>
    <row r="189" spans="1:2">
      <c r="A189">
        <v>197902</v>
      </c>
      <c r="B189">
        <v>-9.4000000000000004E-3</v>
      </c>
    </row>
    <row r="190" spans="1:2">
      <c r="A190">
        <v>197903</v>
      </c>
      <c r="B190">
        <v>4.7599999999999996E-2</v>
      </c>
    </row>
    <row r="191" spans="1:2">
      <c r="A191">
        <v>197904</v>
      </c>
      <c r="B191">
        <v>7.0999999999999995E-3</v>
      </c>
    </row>
    <row r="192" spans="1:2">
      <c r="A192">
        <v>197905</v>
      </c>
      <c r="B192">
        <v>-1.03E-2</v>
      </c>
    </row>
    <row r="193" spans="1:2">
      <c r="A193">
        <v>197906</v>
      </c>
      <c r="B193">
        <v>5.1799999999999999E-2</v>
      </c>
    </row>
    <row r="194" spans="1:2">
      <c r="A194">
        <v>197907</v>
      </c>
      <c r="B194">
        <v>1.06E-2</v>
      </c>
    </row>
    <row r="195" spans="1:2">
      <c r="A195">
        <v>197908</v>
      </c>
      <c r="B195">
        <v>3.9300000000000002E-2</v>
      </c>
    </row>
    <row r="196" spans="1:2">
      <c r="A196">
        <v>197909</v>
      </c>
      <c r="B196">
        <v>-6.8000000000000005E-3</v>
      </c>
    </row>
    <row r="197" spans="1:2">
      <c r="A197">
        <v>197910</v>
      </c>
      <c r="B197">
        <v>-3.8300000000000001E-2</v>
      </c>
    </row>
    <row r="198" spans="1:2">
      <c r="A198">
        <v>197911</v>
      </c>
      <c r="B198">
        <v>6.3600000000000004E-2</v>
      </c>
    </row>
    <row r="199" spans="1:2">
      <c r="A199">
        <v>197912</v>
      </c>
      <c r="B199">
        <v>0</v>
      </c>
    </row>
    <row r="200" spans="1:2">
      <c r="A200">
        <v>198001</v>
      </c>
      <c r="B200">
        <v>5.4000000000000006E-2</v>
      </c>
    </row>
    <row r="201" spans="1:2">
      <c r="A201">
        <v>198002</v>
      </c>
      <c r="B201">
        <v>2.0199999999999999E-2</v>
      </c>
    </row>
    <row r="202" spans="1:2">
      <c r="A202">
        <v>198003</v>
      </c>
      <c r="B202">
        <v>-9.1400000000000009E-2</v>
      </c>
    </row>
    <row r="203" spans="1:2">
      <c r="A203">
        <v>198004</v>
      </c>
      <c r="B203">
        <v>7.5800000000000006E-2</v>
      </c>
    </row>
    <row r="204" spans="1:2">
      <c r="A204">
        <v>198005</v>
      </c>
      <c r="B204">
        <v>4.5700000000000005E-2</v>
      </c>
    </row>
    <row r="205" spans="1:2">
      <c r="A205">
        <v>198006</v>
      </c>
      <c r="B205">
        <v>3.4799999999999998E-2</v>
      </c>
    </row>
    <row r="206" spans="1:2">
      <c r="A206">
        <v>198007</v>
      </c>
      <c r="B206">
        <v>6.9999999999999993E-3</v>
      </c>
    </row>
    <row r="207" spans="1:2">
      <c r="A207">
        <v>198008</v>
      </c>
      <c r="B207">
        <v>4.5999999999999999E-3</v>
      </c>
    </row>
    <row r="208" spans="1:2">
      <c r="A208">
        <v>198009</v>
      </c>
      <c r="B208">
        <v>-1.7600000000000001E-2</v>
      </c>
    </row>
    <row r="209" spans="1:2">
      <c r="A209">
        <v>198010</v>
      </c>
      <c r="B209">
        <v>-1.6500000000000001E-2</v>
      </c>
    </row>
    <row r="210" spans="1:2">
      <c r="A210">
        <v>198011</v>
      </c>
      <c r="B210">
        <v>-1.6000000000000001E-3</v>
      </c>
    </row>
    <row r="211" spans="1:2">
      <c r="A211">
        <v>198012</v>
      </c>
      <c r="B211">
        <v>3.2599999999999997E-2</v>
      </c>
    </row>
    <row r="212" spans="1:2">
      <c r="A212">
        <v>198101</v>
      </c>
      <c r="B212">
        <v>2.2599999999999999E-2</v>
      </c>
    </row>
    <row r="213" spans="1:2">
      <c r="A213">
        <v>198102</v>
      </c>
      <c r="B213">
        <v>1.2200000000000001E-2</v>
      </c>
    </row>
    <row r="214" spans="1:2">
      <c r="A214">
        <v>198103</v>
      </c>
      <c r="B214">
        <v>3.27E-2</v>
      </c>
    </row>
    <row r="215" spans="1:2">
      <c r="A215">
        <v>198104</v>
      </c>
      <c r="B215">
        <v>2.9500000000000002E-2</v>
      </c>
    </row>
    <row r="216" spans="1:2">
      <c r="A216">
        <v>198105</v>
      </c>
      <c r="B216">
        <v>3.9900000000000005E-2</v>
      </c>
    </row>
    <row r="217" spans="1:2">
      <c r="A217">
        <v>198106</v>
      </c>
      <c r="B217">
        <v>8.1000000000000013E-3</v>
      </c>
    </row>
    <row r="218" spans="1:2">
      <c r="A218">
        <v>198107</v>
      </c>
      <c r="B218">
        <v>3.9000000000000003E-3</v>
      </c>
    </row>
    <row r="219" spans="1:2">
      <c r="A219">
        <v>198108</v>
      </c>
      <c r="B219">
        <v>-6.8999999999999999E-3</v>
      </c>
    </row>
    <row r="220" spans="1:2">
      <c r="A220">
        <v>198109</v>
      </c>
      <c r="B220">
        <v>1.9E-3</v>
      </c>
    </row>
    <row r="221" spans="1:2">
      <c r="A221">
        <v>198110</v>
      </c>
      <c r="B221">
        <v>5.2300000000000006E-2</v>
      </c>
    </row>
    <row r="222" spans="1:2">
      <c r="A222">
        <v>198111</v>
      </c>
      <c r="B222">
        <v>4.1200000000000001E-2</v>
      </c>
    </row>
    <row r="223" spans="1:2">
      <c r="A223">
        <v>198112</v>
      </c>
      <c r="B223">
        <v>-2.4E-2</v>
      </c>
    </row>
    <row r="224" spans="1:2">
      <c r="A224">
        <v>198201</v>
      </c>
      <c r="B224">
        <v>1.5900000000000001E-2</v>
      </c>
    </row>
    <row r="225" spans="1:2">
      <c r="A225">
        <v>198202</v>
      </c>
      <c r="B225">
        <v>-1.2800000000000001E-2</v>
      </c>
    </row>
    <row r="226" spans="1:2">
      <c r="A226">
        <v>198203</v>
      </c>
      <c r="B226">
        <v>2.9100000000000001E-2</v>
      </c>
    </row>
    <row r="227" spans="1:2">
      <c r="A227">
        <v>198204</v>
      </c>
      <c r="B227">
        <v>2.2799999999999997E-2</v>
      </c>
    </row>
    <row r="228" spans="1:2">
      <c r="A228">
        <v>198205</v>
      </c>
      <c r="B228">
        <v>-1.0900000000000002E-2</v>
      </c>
    </row>
    <row r="229" spans="1:2">
      <c r="A229">
        <v>198206</v>
      </c>
      <c r="B229">
        <v>-1.5100000000000001E-2</v>
      </c>
    </row>
    <row r="230" spans="1:2">
      <c r="A230">
        <v>198207</v>
      </c>
      <c r="B230">
        <v>1.1000000000000001E-3</v>
      </c>
    </row>
    <row r="231" spans="1:2">
      <c r="A231">
        <v>198208</v>
      </c>
      <c r="B231">
        <v>0.1137</v>
      </c>
    </row>
    <row r="232" spans="1:2">
      <c r="A232">
        <v>198209</v>
      </c>
      <c r="B232">
        <v>9.4999999999999998E-3</v>
      </c>
    </row>
    <row r="233" spans="1:2">
      <c r="A233">
        <v>198210</v>
      </c>
      <c r="B233">
        <v>7.2599999999999998E-2</v>
      </c>
    </row>
    <row r="234" spans="1:2">
      <c r="A234">
        <v>198211</v>
      </c>
      <c r="B234">
        <v>3.44E-2</v>
      </c>
    </row>
    <row r="235" spans="1:2">
      <c r="A235">
        <v>198212</v>
      </c>
      <c r="B235">
        <v>1.17E-2</v>
      </c>
    </row>
    <row r="236" spans="1:2">
      <c r="A236">
        <v>198301</v>
      </c>
      <c r="B236">
        <v>5.2900000000000003E-2</v>
      </c>
    </row>
    <row r="237" spans="1:2">
      <c r="A237">
        <v>198302</v>
      </c>
      <c r="B237">
        <v>1.3899999999999999E-2</v>
      </c>
    </row>
    <row r="238" spans="1:2">
      <c r="A238">
        <v>198303</v>
      </c>
      <c r="B238">
        <v>2.0400000000000001E-2</v>
      </c>
    </row>
    <row r="239" spans="1:2">
      <c r="A239">
        <v>198304</v>
      </c>
      <c r="B239">
        <v>4.5700000000000005E-2</v>
      </c>
    </row>
    <row r="240" spans="1:2">
      <c r="A240">
        <v>198305</v>
      </c>
      <c r="B240">
        <v>-1.9699999999999999E-2</v>
      </c>
    </row>
    <row r="241" spans="1:2">
      <c r="A241">
        <v>198306</v>
      </c>
      <c r="B241">
        <v>-1.2800000000000001E-2</v>
      </c>
    </row>
    <row r="242" spans="1:2">
      <c r="A242">
        <v>198307</v>
      </c>
      <c r="B242">
        <v>-1.6299999999999999E-2</v>
      </c>
    </row>
    <row r="243" spans="1:2">
      <c r="A243">
        <v>198308</v>
      </c>
      <c r="B243">
        <v>2.1400000000000002E-2</v>
      </c>
    </row>
    <row r="244" spans="1:2">
      <c r="A244">
        <v>198309</v>
      </c>
      <c r="B244">
        <v>4.0399999999999998E-2</v>
      </c>
    </row>
    <row r="245" spans="1:2">
      <c r="A245">
        <v>198310</v>
      </c>
      <c r="B245">
        <v>1.0800000000000001E-2</v>
      </c>
    </row>
    <row r="246" spans="1:2">
      <c r="A246">
        <v>198311</v>
      </c>
      <c r="B246">
        <v>1.3100000000000001E-2</v>
      </c>
    </row>
    <row r="247" spans="1:2">
      <c r="A247">
        <v>198312</v>
      </c>
      <c r="B247">
        <v>-2.98E-2</v>
      </c>
    </row>
    <row r="248" spans="1:2">
      <c r="A248">
        <v>198401</v>
      </c>
      <c r="B248">
        <v>1.0400000000000001E-2</v>
      </c>
    </row>
    <row r="249" spans="1:2">
      <c r="A249">
        <v>198402</v>
      </c>
      <c r="B249">
        <v>-3.4100000000000005E-2</v>
      </c>
    </row>
    <row r="250" spans="1:2">
      <c r="A250">
        <v>198403</v>
      </c>
      <c r="B250">
        <v>-1.5500000000000002E-2</v>
      </c>
    </row>
    <row r="251" spans="1:2">
      <c r="A251">
        <v>198404</v>
      </c>
      <c r="B251">
        <v>3.3000000000000004E-3</v>
      </c>
    </row>
    <row r="252" spans="1:2">
      <c r="A252">
        <v>198405</v>
      </c>
      <c r="B252">
        <v>-1.7600000000000001E-2</v>
      </c>
    </row>
    <row r="253" spans="1:2">
      <c r="A253">
        <v>198406</v>
      </c>
      <c r="B253">
        <v>5.2000000000000005E-2</v>
      </c>
    </row>
    <row r="254" spans="1:2">
      <c r="A254">
        <v>198407</v>
      </c>
      <c r="B254">
        <v>1.3500000000000002E-2</v>
      </c>
    </row>
    <row r="255" spans="1:2">
      <c r="A255">
        <v>198408</v>
      </c>
      <c r="B255">
        <v>6.3200000000000006E-2</v>
      </c>
    </row>
    <row r="256" spans="1:2">
      <c r="A256">
        <v>198409</v>
      </c>
      <c r="B256">
        <v>3.0499999999999999E-2</v>
      </c>
    </row>
    <row r="257" spans="1:2">
      <c r="A257">
        <v>198410</v>
      </c>
      <c r="B257">
        <v>2.8999999999999998E-2</v>
      </c>
    </row>
    <row r="258" spans="1:2">
      <c r="A258">
        <v>198411</v>
      </c>
      <c r="B258">
        <v>1.4199999999999999E-2</v>
      </c>
    </row>
    <row r="259" spans="1:2">
      <c r="A259">
        <v>198412</v>
      </c>
      <c r="B259">
        <v>2.2000000000000002E-2</v>
      </c>
    </row>
    <row r="260" spans="1:2">
      <c r="A260">
        <v>198501</v>
      </c>
      <c r="B260">
        <v>2.6099999999999998E-2</v>
      </c>
    </row>
    <row r="261" spans="1:2">
      <c r="A261">
        <v>198502</v>
      </c>
      <c r="B261">
        <v>2.8300000000000002E-2</v>
      </c>
    </row>
    <row r="262" spans="1:2">
      <c r="A262">
        <v>198503</v>
      </c>
      <c r="B262">
        <v>4.6600000000000003E-2</v>
      </c>
    </row>
    <row r="263" spans="1:2">
      <c r="A263">
        <v>198504</v>
      </c>
      <c r="B263">
        <v>-5.8999999999999999E-3</v>
      </c>
    </row>
    <row r="264" spans="1:2">
      <c r="A264">
        <v>198505</v>
      </c>
      <c r="B264">
        <v>6.8499999999999991E-2</v>
      </c>
    </row>
    <row r="265" spans="1:2">
      <c r="A265">
        <v>198506</v>
      </c>
      <c r="B265">
        <v>3.6799999999999999E-2</v>
      </c>
    </row>
    <row r="266" spans="1:2">
      <c r="A266">
        <v>198507</v>
      </c>
      <c r="B266">
        <v>-4.1799999999999997E-2</v>
      </c>
    </row>
    <row r="267" spans="1:2">
      <c r="A267">
        <v>198508</v>
      </c>
      <c r="B267">
        <v>1.3100000000000001E-2</v>
      </c>
    </row>
    <row r="268" spans="1:2">
      <c r="A268">
        <v>198509</v>
      </c>
      <c r="B268">
        <v>-2.7200000000000002E-2</v>
      </c>
    </row>
    <row r="269" spans="1:2">
      <c r="A269">
        <v>198510</v>
      </c>
      <c r="B269">
        <v>5.5099999999999996E-2</v>
      </c>
    </row>
    <row r="270" spans="1:2">
      <c r="A270">
        <v>198511</v>
      </c>
      <c r="B270">
        <v>7.17E-2</v>
      </c>
    </row>
    <row r="271" spans="1:2">
      <c r="A271">
        <v>198512</v>
      </c>
      <c r="B271">
        <v>4.7800000000000002E-2</v>
      </c>
    </row>
    <row r="272" spans="1:2">
      <c r="A272">
        <v>198601</v>
      </c>
      <c r="B272">
        <v>0</v>
      </c>
    </row>
    <row r="273" spans="1:2">
      <c r="A273">
        <v>198602</v>
      </c>
      <c r="B273">
        <v>8.6300000000000016E-2</v>
      </c>
    </row>
    <row r="274" spans="1:2">
      <c r="A274">
        <v>198603</v>
      </c>
      <c r="B274">
        <v>5.5E-2</v>
      </c>
    </row>
    <row r="275" spans="1:2">
      <c r="A275">
        <v>198604</v>
      </c>
      <c r="B275">
        <v>-7.3000000000000001E-3</v>
      </c>
    </row>
    <row r="276" spans="1:2">
      <c r="A276">
        <v>198605</v>
      </c>
      <c r="B276">
        <v>4.5499999999999999E-2</v>
      </c>
    </row>
    <row r="277" spans="1:2">
      <c r="A277">
        <v>198606</v>
      </c>
      <c r="B277">
        <v>4.6699999999999998E-2</v>
      </c>
    </row>
    <row r="278" spans="1:2">
      <c r="A278">
        <v>198607</v>
      </c>
      <c r="B278">
        <v>1.9E-3</v>
      </c>
    </row>
    <row r="279" spans="1:2">
      <c r="A279">
        <v>198608</v>
      </c>
      <c r="B279">
        <v>4.99E-2</v>
      </c>
    </row>
    <row r="280" spans="1:2">
      <c r="A280">
        <v>198609</v>
      </c>
      <c r="B280">
        <v>-9.6799999999999997E-2</v>
      </c>
    </row>
    <row r="281" spans="1:2">
      <c r="A281">
        <v>198610</v>
      </c>
      <c r="B281">
        <v>7.1599999999999997E-2</v>
      </c>
    </row>
    <row r="282" spans="1:2">
      <c r="A282">
        <v>198611</v>
      </c>
      <c r="B282">
        <v>1.18E-2</v>
      </c>
    </row>
    <row r="283" spans="1:2">
      <c r="A283">
        <v>198612</v>
      </c>
      <c r="B283">
        <v>-3.0800000000000001E-2</v>
      </c>
    </row>
    <row r="284" spans="1:2">
      <c r="A284">
        <v>198701</v>
      </c>
      <c r="B284">
        <v>9.6500000000000002E-2</v>
      </c>
    </row>
    <row r="285" spans="1:2">
      <c r="A285">
        <v>198702</v>
      </c>
      <c r="B285">
        <v>-6.3E-3</v>
      </c>
    </row>
    <row r="286" spans="1:2">
      <c r="A286">
        <v>198703</v>
      </c>
      <c r="B286">
        <v>8.6999999999999994E-3</v>
      </c>
    </row>
    <row r="287" spans="1:2">
      <c r="A287">
        <v>198704</v>
      </c>
      <c r="B287">
        <v>-3.4599999999999999E-2</v>
      </c>
    </row>
    <row r="288" spans="1:2">
      <c r="A288">
        <v>198705</v>
      </c>
      <c r="B288">
        <v>8.6999999999999994E-3</v>
      </c>
    </row>
    <row r="289" spans="1:2">
      <c r="A289">
        <v>198706</v>
      </c>
      <c r="B289">
        <v>4.7599999999999996E-2</v>
      </c>
    </row>
    <row r="290" spans="1:2">
      <c r="A290">
        <v>198707</v>
      </c>
      <c r="B290">
        <v>2.4900000000000002E-2</v>
      </c>
    </row>
    <row r="291" spans="1:2">
      <c r="A291">
        <v>198708</v>
      </c>
      <c r="B291">
        <v>3.2599999999999997E-2</v>
      </c>
    </row>
    <row r="292" spans="1:2">
      <c r="A292">
        <v>198709</v>
      </c>
      <c r="B292">
        <v>-2.5400000000000002E-2</v>
      </c>
    </row>
    <row r="293" spans="1:2">
      <c r="A293">
        <v>198710</v>
      </c>
      <c r="B293">
        <v>-0.12130000000000001</v>
      </c>
    </row>
    <row r="294" spans="1:2">
      <c r="A294">
        <v>198711</v>
      </c>
      <c r="B294">
        <v>-6.5500000000000003E-2</v>
      </c>
    </row>
    <row r="295" spans="1:2">
      <c r="A295">
        <v>198712</v>
      </c>
      <c r="B295">
        <v>3.2500000000000001E-2</v>
      </c>
    </row>
    <row r="296" spans="1:2">
      <c r="A296">
        <v>198801</v>
      </c>
      <c r="B296">
        <v>9.6500000000000002E-2</v>
      </c>
    </row>
    <row r="297" spans="1:2">
      <c r="A297">
        <v>198802</v>
      </c>
      <c r="B297">
        <v>1.5600000000000001E-2</v>
      </c>
    </row>
    <row r="298" spans="1:2">
      <c r="A298">
        <v>198803</v>
      </c>
      <c r="B298">
        <v>-1.23E-2</v>
      </c>
    </row>
    <row r="299" spans="1:2">
      <c r="A299">
        <v>198804</v>
      </c>
      <c r="B299">
        <v>2.2499999999999999E-2</v>
      </c>
    </row>
    <row r="300" spans="1:2">
      <c r="A300">
        <v>198805</v>
      </c>
      <c r="B300">
        <v>1.49E-2</v>
      </c>
    </row>
    <row r="301" spans="1:2">
      <c r="A301">
        <v>198806</v>
      </c>
      <c r="B301">
        <v>0</v>
      </c>
    </row>
    <row r="302" spans="1:2">
      <c r="A302">
        <v>198807</v>
      </c>
      <c r="B302">
        <v>5.5000000000000005E-3</v>
      </c>
    </row>
    <row r="303" spans="1:2">
      <c r="A303">
        <v>198808</v>
      </c>
      <c r="B303">
        <v>-1.0200000000000001E-2</v>
      </c>
    </row>
    <row r="304" spans="1:2">
      <c r="A304">
        <v>198809</v>
      </c>
      <c r="B304">
        <v>1.84E-2</v>
      </c>
    </row>
    <row r="305" spans="1:2">
      <c r="A305">
        <v>198810</v>
      </c>
      <c r="B305">
        <v>1.8700000000000001E-2</v>
      </c>
    </row>
    <row r="306" spans="1:2">
      <c r="A306">
        <v>198811</v>
      </c>
      <c r="B306">
        <v>-7.000000000000001E-4</v>
      </c>
    </row>
    <row r="307" spans="1:2">
      <c r="A307">
        <v>198812</v>
      </c>
      <c r="B307">
        <v>1.67E-2</v>
      </c>
    </row>
    <row r="308" spans="1:2">
      <c r="A308">
        <v>198901</v>
      </c>
      <c r="B308">
        <v>2.7099999999999999E-2</v>
      </c>
    </row>
    <row r="309" spans="1:2">
      <c r="A309">
        <v>198902</v>
      </c>
      <c r="B309">
        <v>-1.2E-2</v>
      </c>
    </row>
    <row r="310" spans="1:2">
      <c r="A310">
        <v>198903</v>
      </c>
      <c r="B310">
        <v>1.6399999999999998E-2</v>
      </c>
    </row>
    <row r="311" spans="1:2">
      <c r="A311">
        <v>198904</v>
      </c>
      <c r="B311">
        <v>3.9E-2</v>
      </c>
    </row>
    <row r="312" spans="1:2">
      <c r="A312">
        <v>198905</v>
      </c>
      <c r="B312">
        <v>4.4600000000000001E-2</v>
      </c>
    </row>
    <row r="313" spans="1:2">
      <c r="A313">
        <v>198906</v>
      </c>
      <c r="B313">
        <v>1.7399999999999999E-2</v>
      </c>
    </row>
    <row r="314" spans="1:2">
      <c r="A314">
        <v>198907</v>
      </c>
      <c r="B314">
        <v>5.2400000000000002E-2</v>
      </c>
    </row>
    <row r="315" spans="1:2">
      <c r="A315">
        <v>198908</v>
      </c>
      <c r="B315">
        <v>-6.1999999999999998E-3</v>
      </c>
    </row>
    <row r="316" spans="1:2">
      <c r="A316">
        <v>198909</v>
      </c>
      <c r="B316">
        <v>2.2000000000000001E-3</v>
      </c>
    </row>
    <row r="317" spans="1:2">
      <c r="A317">
        <v>198910</v>
      </c>
      <c r="B317">
        <v>1.6E-2</v>
      </c>
    </row>
    <row r="318" spans="1:2">
      <c r="A318">
        <v>198911</v>
      </c>
      <c r="B318">
        <v>2.92E-2</v>
      </c>
    </row>
    <row r="319" spans="1:2">
      <c r="A319">
        <v>198912</v>
      </c>
      <c r="B319">
        <v>3.85E-2</v>
      </c>
    </row>
    <row r="320" spans="1:2">
      <c r="A320">
        <v>199001</v>
      </c>
      <c r="B320">
        <v>-4.8300000000000003E-2</v>
      </c>
    </row>
    <row r="321" spans="1:2">
      <c r="A321">
        <v>199002</v>
      </c>
      <c r="B321">
        <v>7.7000000000000002E-3</v>
      </c>
    </row>
    <row r="322" spans="1:2">
      <c r="A322">
        <v>199003</v>
      </c>
      <c r="B322">
        <v>-6.8000000000000005E-3</v>
      </c>
    </row>
    <row r="323" spans="1:2">
      <c r="A323">
        <v>199004</v>
      </c>
      <c r="B323">
        <v>-4.5499999999999999E-2</v>
      </c>
    </row>
    <row r="324" spans="1:2">
      <c r="A324">
        <v>199005</v>
      </c>
      <c r="B324">
        <v>4.4600000000000001E-2</v>
      </c>
    </row>
    <row r="325" spans="1:2">
      <c r="A325">
        <v>199006</v>
      </c>
      <c r="B325">
        <v>4.4000000000000003E-3</v>
      </c>
    </row>
    <row r="326" spans="1:2">
      <c r="A326">
        <v>199007</v>
      </c>
      <c r="B326">
        <v>2.0199999999999999E-2</v>
      </c>
    </row>
    <row r="327" spans="1:2">
      <c r="A327">
        <v>199008</v>
      </c>
      <c r="B327">
        <v>-6.4899999999999999E-2</v>
      </c>
    </row>
    <row r="328" spans="1:2">
      <c r="A328">
        <v>199009</v>
      </c>
      <c r="B328">
        <v>-3.9000000000000003E-3</v>
      </c>
    </row>
    <row r="329" spans="1:2">
      <c r="A329">
        <v>199010</v>
      </c>
      <c r="B329">
        <v>5.2400000000000002E-2</v>
      </c>
    </row>
    <row r="330" spans="1:2">
      <c r="A330">
        <v>199011</v>
      </c>
      <c r="B330">
        <v>2.1499999999999998E-2</v>
      </c>
    </row>
    <row r="331" spans="1:2">
      <c r="A331">
        <v>199012</v>
      </c>
      <c r="B331">
        <v>1.5600000000000001E-2</v>
      </c>
    </row>
    <row r="332" spans="1:2">
      <c r="A332">
        <v>199101</v>
      </c>
      <c r="B332">
        <v>-1.0200000000000001E-2</v>
      </c>
    </row>
    <row r="333" spans="1:2">
      <c r="A333">
        <v>199102</v>
      </c>
      <c r="B333">
        <v>5.33E-2</v>
      </c>
    </row>
    <row r="334" spans="1:2">
      <c r="A334">
        <v>199103</v>
      </c>
      <c r="B334">
        <v>2.3100000000000002E-2</v>
      </c>
    </row>
    <row r="335" spans="1:2">
      <c r="A335">
        <v>199104</v>
      </c>
      <c r="B335">
        <v>7.0999999999999995E-3</v>
      </c>
    </row>
    <row r="336" spans="1:2">
      <c r="A336">
        <v>199105</v>
      </c>
      <c r="B336">
        <v>-1.8E-3</v>
      </c>
    </row>
    <row r="337" spans="1:2">
      <c r="A337">
        <v>199106</v>
      </c>
      <c r="B337">
        <v>-1.5500000000000002E-2</v>
      </c>
    </row>
    <row r="338" spans="1:2">
      <c r="A338">
        <v>199107</v>
      </c>
      <c r="B338">
        <v>4.7699999999999999E-2</v>
      </c>
    </row>
    <row r="339" spans="1:2">
      <c r="A339">
        <v>199108</v>
      </c>
      <c r="B339">
        <v>2.5099999999999997E-2</v>
      </c>
    </row>
    <row r="340" spans="1:2">
      <c r="A340">
        <v>199109</v>
      </c>
      <c r="B340">
        <v>3.4500000000000003E-2</v>
      </c>
    </row>
    <row r="341" spans="1:2">
      <c r="A341">
        <v>199110</v>
      </c>
      <c r="B341">
        <v>1.5500000000000002E-2</v>
      </c>
    </row>
    <row r="342" spans="1:2">
      <c r="A342">
        <v>199111</v>
      </c>
      <c r="B342">
        <v>2.6000000000000003E-3</v>
      </c>
    </row>
    <row r="343" spans="1:2">
      <c r="A343">
        <v>199112</v>
      </c>
      <c r="B343">
        <v>5.5999999999999994E-2</v>
      </c>
    </row>
    <row r="344" spans="1:2">
      <c r="A344">
        <v>199201</v>
      </c>
      <c r="B344">
        <v>-3.5499999999999997E-2</v>
      </c>
    </row>
    <row r="345" spans="1:2">
      <c r="A345">
        <v>199202</v>
      </c>
      <c r="B345">
        <v>-1.3700000000000002E-2</v>
      </c>
    </row>
    <row r="346" spans="1:2">
      <c r="A346">
        <v>199203</v>
      </c>
      <c r="B346">
        <v>-1.2E-2</v>
      </c>
    </row>
    <row r="347" spans="1:2">
      <c r="A347">
        <v>199204</v>
      </c>
      <c r="B347">
        <v>3.61E-2</v>
      </c>
    </row>
    <row r="348" spans="1:2">
      <c r="A348">
        <v>199205</v>
      </c>
      <c r="B348">
        <v>1.84E-2</v>
      </c>
    </row>
    <row r="349" spans="1:2">
      <c r="A349">
        <v>199206</v>
      </c>
      <c r="B349">
        <v>3.3000000000000004E-3</v>
      </c>
    </row>
    <row r="350" spans="1:2">
      <c r="A350">
        <v>199207</v>
      </c>
      <c r="B350">
        <v>6.1699999999999998E-2</v>
      </c>
    </row>
    <row r="351" spans="1:2">
      <c r="A351">
        <v>199208</v>
      </c>
      <c r="B351">
        <v>-2.2000000000000001E-3</v>
      </c>
    </row>
    <row r="352" spans="1:2">
      <c r="A352">
        <v>199209</v>
      </c>
      <c r="B352">
        <v>6.7000000000000002E-3</v>
      </c>
    </row>
    <row r="353" spans="1:2">
      <c r="A353">
        <v>199210</v>
      </c>
      <c r="B353">
        <v>-5.2000000000000006E-3</v>
      </c>
    </row>
    <row r="354" spans="1:2">
      <c r="A354">
        <v>199211</v>
      </c>
      <c r="B354">
        <v>-1.2500000000000001E-2</v>
      </c>
    </row>
    <row r="355" spans="1:2">
      <c r="A355">
        <v>199212</v>
      </c>
      <c r="B355">
        <v>3.15E-2</v>
      </c>
    </row>
    <row r="356" spans="1:2">
      <c r="A356">
        <v>199301</v>
      </c>
      <c r="B356">
        <v>2.9300000000000003E-2</v>
      </c>
    </row>
    <row r="357" spans="1:2">
      <c r="A357">
        <v>199302</v>
      </c>
      <c r="B357">
        <v>5.1400000000000001E-2</v>
      </c>
    </row>
    <row r="358" spans="1:2">
      <c r="A358">
        <v>199303</v>
      </c>
      <c r="B358">
        <v>2.29E-2</v>
      </c>
    </row>
    <row r="359" spans="1:2">
      <c r="A359">
        <v>199304</v>
      </c>
      <c r="B359">
        <v>-5.6999999999999993E-3</v>
      </c>
    </row>
    <row r="360" spans="1:2">
      <c r="A360">
        <v>199305</v>
      </c>
      <c r="B360">
        <v>5.7999999999999996E-3</v>
      </c>
    </row>
    <row r="361" spans="1:2">
      <c r="A361">
        <v>199306</v>
      </c>
      <c r="B361">
        <v>1.9800000000000002E-2</v>
      </c>
    </row>
    <row r="362" spans="1:2">
      <c r="A362">
        <v>199307</v>
      </c>
      <c r="B362">
        <v>7.7000000000000002E-3</v>
      </c>
    </row>
    <row r="363" spans="1:2">
      <c r="A363">
        <v>199308</v>
      </c>
      <c r="B363">
        <v>3.49E-2</v>
      </c>
    </row>
    <row r="364" spans="1:2">
      <c r="A364">
        <v>199309</v>
      </c>
      <c r="B364">
        <v>-5.6000000000000008E-3</v>
      </c>
    </row>
    <row r="365" spans="1:2">
      <c r="A365">
        <v>199310</v>
      </c>
      <c r="B365">
        <v>-9.1000000000000004E-3</v>
      </c>
    </row>
    <row r="366" spans="1:2">
      <c r="A366">
        <v>199311</v>
      </c>
      <c r="B366">
        <v>-3.6200000000000003E-2</v>
      </c>
    </row>
    <row r="367" spans="1:2">
      <c r="A367">
        <v>199312</v>
      </c>
      <c r="B367">
        <v>2.1600000000000001E-2</v>
      </c>
    </row>
    <row r="368" spans="1:2">
      <c r="A368">
        <v>199401</v>
      </c>
      <c r="B368">
        <v>6.8999999999999999E-3</v>
      </c>
    </row>
    <row r="369" spans="1:2">
      <c r="A369">
        <v>199402</v>
      </c>
      <c r="B369">
        <v>-4.3400000000000001E-2</v>
      </c>
    </row>
    <row r="370" spans="1:2">
      <c r="A370">
        <v>199403</v>
      </c>
      <c r="B370">
        <v>-2.8700000000000003E-2</v>
      </c>
    </row>
    <row r="371" spans="1:2">
      <c r="A371">
        <v>199404</v>
      </c>
      <c r="B371">
        <v>2.5000000000000001E-2</v>
      </c>
    </row>
    <row r="372" spans="1:2">
      <c r="A372">
        <v>199405</v>
      </c>
      <c r="B372">
        <v>-8.8000000000000005E-3</v>
      </c>
    </row>
    <row r="373" spans="1:2">
      <c r="A373">
        <v>199406</v>
      </c>
      <c r="B373">
        <v>-2.4100000000000003E-2</v>
      </c>
    </row>
    <row r="374" spans="1:2">
      <c r="A374">
        <v>199407</v>
      </c>
      <c r="B374">
        <v>2.8999999999999998E-2</v>
      </c>
    </row>
    <row r="375" spans="1:2">
      <c r="A375">
        <v>199408</v>
      </c>
      <c r="B375">
        <v>1.2E-2</v>
      </c>
    </row>
    <row r="376" spans="1:2">
      <c r="A376">
        <v>199409</v>
      </c>
      <c r="B376">
        <v>-1.01E-2</v>
      </c>
    </row>
    <row r="377" spans="1:2">
      <c r="A377">
        <v>199410</v>
      </c>
      <c r="B377">
        <v>2.7000000000000003E-2</v>
      </c>
    </row>
    <row r="378" spans="1:2">
      <c r="A378">
        <v>199411</v>
      </c>
      <c r="B378">
        <v>-4.0399999999999998E-2</v>
      </c>
    </row>
    <row r="379" spans="1:2">
      <c r="A379">
        <v>199412</v>
      </c>
      <c r="B379">
        <v>7.0999999999999995E-3</v>
      </c>
    </row>
    <row r="380" spans="1:2">
      <c r="A380">
        <v>199501</v>
      </c>
      <c r="B380">
        <v>2.6499999999999999E-2</v>
      </c>
    </row>
    <row r="381" spans="1:2">
      <c r="A381">
        <v>199502</v>
      </c>
      <c r="B381">
        <v>2.92E-2</v>
      </c>
    </row>
    <row r="382" spans="1:2">
      <c r="A382">
        <v>199503</v>
      </c>
      <c r="B382">
        <v>2.7799999999999998E-2</v>
      </c>
    </row>
    <row r="383" spans="1:2">
      <c r="A383">
        <v>199504</v>
      </c>
      <c r="B383">
        <v>4.1100000000000005E-2</v>
      </c>
    </row>
    <row r="384" spans="1:2">
      <c r="A384">
        <v>199505</v>
      </c>
      <c r="B384">
        <v>3.1899999999999998E-2</v>
      </c>
    </row>
    <row r="385" spans="1:2">
      <c r="A385">
        <v>199506</v>
      </c>
      <c r="B385">
        <v>1.4000000000000002E-3</v>
      </c>
    </row>
    <row r="386" spans="1:2">
      <c r="A386">
        <v>199507</v>
      </c>
      <c r="B386">
        <v>3.9300000000000002E-2</v>
      </c>
    </row>
    <row r="387" spans="1:2">
      <c r="A387">
        <v>199508</v>
      </c>
      <c r="B387">
        <v>7.8000000000000005E-3</v>
      </c>
    </row>
    <row r="388" spans="1:2">
      <c r="A388">
        <v>199509</v>
      </c>
      <c r="B388">
        <v>2.5600000000000001E-2</v>
      </c>
    </row>
    <row r="389" spans="1:2">
      <c r="A389">
        <v>199510</v>
      </c>
      <c r="B389">
        <v>1.1599999999999999E-2</v>
      </c>
    </row>
    <row r="390" spans="1:2">
      <c r="A390">
        <v>199511</v>
      </c>
      <c r="B390">
        <v>2.4500000000000001E-2</v>
      </c>
    </row>
    <row r="391" spans="1:2">
      <c r="A391">
        <v>199512</v>
      </c>
      <c r="B391">
        <v>5.4400000000000004E-2</v>
      </c>
    </row>
    <row r="392" spans="1:2">
      <c r="A392">
        <v>199601</v>
      </c>
      <c r="B392">
        <v>2.2799999999999997E-2</v>
      </c>
    </row>
    <row r="393" spans="1:2">
      <c r="A393">
        <v>199602</v>
      </c>
      <c r="B393">
        <v>-7.3000000000000001E-3</v>
      </c>
    </row>
    <row r="394" spans="1:2">
      <c r="A394">
        <v>199603</v>
      </c>
      <c r="B394">
        <v>-8.8999999999999999E-3</v>
      </c>
    </row>
    <row r="395" spans="1:2">
      <c r="A395">
        <v>199604</v>
      </c>
      <c r="B395">
        <v>1.3200000000000002E-2</v>
      </c>
    </row>
    <row r="396" spans="1:2">
      <c r="A396">
        <v>199605</v>
      </c>
      <c r="B396">
        <v>7.3000000000000001E-3</v>
      </c>
    </row>
    <row r="397" spans="1:2">
      <c r="A397">
        <v>199606</v>
      </c>
      <c r="B397">
        <v>1.4800000000000001E-2</v>
      </c>
    </row>
    <row r="398" spans="1:2">
      <c r="A398">
        <v>199607</v>
      </c>
      <c r="B398">
        <v>-3.95E-2</v>
      </c>
    </row>
    <row r="399" spans="1:2">
      <c r="A399">
        <v>199608</v>
      </c>
      <c r="B399">
        <v>3.8800000000000001E-2</v>
      </c>
    </row>
    <row r="400" spans="1:2">
      <c r="A400">
        <v>199609</v>
      </c>
      <c r="B400">
        <v>2.8700000000000003E-2</v>
      </c>
    </row>
    <row r="401" spans="1:2">
      <c r="A401">
        <v>199610</v>
      </c>
      <c r="B401">
        <v>2.8799999999999999E-2</v>
      </c>
    </row>
    <row r="402" spans="1:2">
      <c r="A402">
        <v>199611</v>
      </c>
      <c r="B402">
        <v>6.9400000000000003E-2</v>
      </c>
    </row>
    <row r="403" spans="1:2">
      <c r="A403">
        <v>199612</v>
      </c>
      <c r="B403">
        <v>-7.8000000000000005E-3</v>
      </c>
    </row>
    <row r="404" spans="1:2">
      <c r="A404">
        <v>199701</v>
      </c>
      <c r="B404">
        <v>2.52E-2</v>
      </c>
    </row>
    <row r="405" spans="1:2">
      <c r="A405">
        <v>199702</v>
      </c>
      <c r="B405">
        <v>-1.52E-2</v>
      </c>
    </row>
    <row r="406" spans="1:2">
      <c r="A406">
        <v>199703</v>
      </c>
      <c r="B406">
        <v>-3.09E-2</v>
      </c>
    </row>
    <row r="407" spans="1:2">
      <c r="A407">
        <v>199704</v>
      </c>
      <c r="B407">
        <v>3.2100000000000004E-2</v>
      </c>
    </row>
    <row r="408" spans="1:2">
      <c r="A408">
        <v>199705</v>
      </c>
      <c r="B408">
        <v>6.7599999999999993E-2</v>
      </c>
    </row>
    <row r="409" spans="1:2">
      <c r="A409">
        <v>199706</v>
      </c>
      <c r="B409">
        <v>4.1299999999999996E-2</v>
      </c>
    </row>
    <row r="410" spans="1:2">
      <c r="A410">
        <v>199707</v>
      </c>
      <c r="B410">
        <v>5.9299999999999999E-2</v>
      </c>
    </row>
    <row r="411" spans="1:2">
      <c r="A411">
        <v>199708</v>
      </c>
      <c r="B411">
        <v>-6.4000000000000003E-3</v>
      </c>
    </row>
    <row r="412" spans="1:2">
      <c r="A412">
        <v>199709</v>
      </c>
      <c r="B412">
        <v>4.1299999999999996E-2</v>
      </c>
    </row>
    <row r="413" spans="1:2">
      <c r="A413">
        <v>199710</v>
      </c>
      <c r="B413">
        <v>-4.8200000000000007E-2</v>
      </c>
    </row>
    <row r="414" spans="1:2">
      <c r="A414">
        <v>199711</v>
      </c>
      <c r="B414">
        <v>1.95E-2</v>
      </c>
    </row>
    <row r="415" spans="1:2">
      <c r="A415">
        <v>199712</v>
      </c>
      <c r="B415">
        <v>1.5300000000000001E-2</v>
      </c>
    </row>
    <row r="416" spans="1:2">
      <c r="A416">
        <v>199801</v>
      </c>
      <c r="B416">
        <v>-5.7999999999999996E-3</v>
      </c>
    </row>
    <row r="417" spans="1:2">
      <c r="A417">
        <v>199802</v>
      </c>
      <c r="B417">
        <v>7.9000000000000001E-2</v>
      </c>
    </row>
    <row r="418" spans="1:2">
      <c r="A418">
        <v>199803</v>
      </c>
      <c r="B418">
        <v>6.9199999999999998E-2</v>
      </c>
    </row>
    <row r="419" spans="1:2">
      <c r="A419">
        <v>199804</v>
      </c>
      <c r="B419">
        <v>2.5000000000000001E-3</v>
      </c>
    </row>
    <row r="420" spans="1:2">
      <c r="A420">
        <v>199805</v>
      </c>
      <c r="B420">
        <v>-2.0299999999999999E-2</v>
      </c>
    </row>
    <row r="421" spans="1:2">
      <c r="A421">
        <v>199806</v>
      </c>
      <c r="B421">
        <v>2.76E-2</v>
      </c>
    </row>
    <row r="422" spans="1:2">
      <c r="A422">
        <v>199807</v>
      </c>
      <c r="B422">
        <v>-1.2800000000000001E-2</v>
      </c>
    </row>
    <row r="423" spans="1:2">
      <c r="A423">
        <v>199808</v>
      </c>
      <c r="B423">
        <v>-0.1198</v>
      </c>
    </row>
    <row r="424" spans="1:2">
      <c r="A424">
        <v>199809</v>
      </c>
      <c r="B424">
        <v>7.2999999999999995E-2</v>
      </c>
    </row>
    <row r="425" spans="1:2">
      <c r="A425">
        <v>199810</v>
      </c>
      <c r="B425">
        <v>6.7000000000000004E-2</v>
      </c>
    </row>
    <row r="426" spans="1:2">
      <c r="A426">
        <v>199811</v>
      </c>
      <c r="B426">
        <v>3.1400000000000004E-2</v>
      </c>
    </row>
    <row r="427" spans="1:2">
      <c r="A427">
        <v>199812</v>
      </c>
      <c r="B427">
        <v>4.8099999999999997E-2</v>
      </c>
    </row>
    <row r="428" spans="1:2">
      <c r="A428">
        <v>199901</v>
      </c>
      <c r="B428">
        <v>-5.2000000000000006E-3</v>
      </c>
    </row>
    <row r="429" spans="1:2">
      <c r="A429">
        <v>199902</v>
      </c>
      <c r="B429">
        <v>-1.0900000000000002E-2</v>
      </c>
    </row>
    <row r="430" spans="1:2">
      <c r="A430">
        <v>199903</v>
      </c>
      <c r="B430">
        <v>1.5500000000000002E-2</v>
      </c>
    </row>
    <row r="431" spans="1:2">
      <c r="A431">
        <v>199904</v>
      </c>
      <c r="B431">
        <v>3.1400000000000004E-2</v>
      </c>
    </row>
    <row r="432" spans="1:2">
      <c r="A432">
        <v>199905</v>
      </c>
      <c r="B432">
        <v>-2.9399999999999999E-2</v>
      </c>
    </row>
    <row r="433" spans="1:2">
      <c r="A433">
        <v>199906</v>
      </c>
      <c r="B433">
        <v>3.9900000000000005E-2</v>
      </c>
    </row>
    <row r="434" spans="1:2">
      <c r="A434">
        <v>199907</v>
      </c>
      <c r="B434">
        <v>-2.3100000000000002E-2</v>
      </c>
    </row>
    <row r="435" spans="1:2">
      <c r="A435">
        <v>199908</v>
      </c>
      <c r="B435">
        <v>2.12E-2</v>
      </c>
    </row>
    <row r="436" spans="1:2">
      <c r="A436">
        <v>199909</v>
      </c>
      <c r="B436">
        <v>-4.9400000000000006E-2</v>
      </c>
    </row>
    <row r="437" spans="1:2">
      <c r="A437">
        <v>199910</v>
      </c>
      <c r="B437">
        <v>3.8900000000000004E-2</v>
      </c>
    </row>
    <row r="438" spans="1:2">
      <c r="A438">
        <v>199911</v>
      </c>
      <c r="B438">
        <v>-2.5400000000000002E-2</v>
      </c>
    </row>
    <row r="439" spans="1:2">
      <c r="A439">
        <v>199912</v>
      </c>
      <c r="B439">
        <v>-3.1899999999999998E-2</v>
      </c>
    </row>
    <row r="440" spans="1:2">
      <c r="A440">
        <v>200001</v>
      </c>
      <c r="B440">
        <v>-3.9100000000000003E-2</v>
      </c>
    </row>
    <row r="441" spans="1:2">
      <c r="A441">
        <v>200002</v>
      </c>
      <c r="B441">
        <v>-6.7000000000000004E-2</v>
      </c>
    </row>
    <row r="442" spans="1:2">
      <c r="A442">
        <v>200003</v>
      </c>
      <c r="B442">
        <v>9.3800000000000008E-2</v>
      </c>
    </row>
    <row r="443" spans="1:2">
      <c r="A443">
        <v>200004</v>
      </c>
      <c r="B443">
        <v>4.6500000000000007E-2</v>
      </c>
    </row>
    <row r="444" spans="1:2">
      <c r="A444">
        <v>200005</v>
      </c>
      <c r="B444">
        <v>4.7699999999999999E-2</v>
      </c>
    </row>
    <row r="445" spans="1:2">
      <c r="A445">
        <v>200006</v>
      </c>
      <c r="B445">
        <v>4.3E-3</v>
      </c>
    </row>
    <row r="446" spans="1:2">
      <c r="A446">
        <v>200007</v>
      </c>
      <c r="B446">
        <v>-4.4500000000000005E-2</v>
      </c>
    </row>
    <row r="447" spans="1:2">
      <c r="A447">
        <v>200008</v>
      </c>
      <c r="B447">
        <v>9.3100000000000002E-2</v>
      </c>
    </row>
    <row r="448" spans="1:2">
      <c r="A448">
        <v>200009</v>
      </c>
      <c r="B448">
        <v>5.5999999999999994E-2</v>
      </c>
    </row>
    <row r="449" spans="1:2">
      <c r="A449">
        <v>200010</v>
      </c>
      <c r="B449">
        <v>2.6000000000000003E-3</v>
      </c>
    </row>
    <row r="450" spans="1:2">
      <c r="A450">
        <v>200011</v>
      </c>
      <c r="B450">
        <v>1.0800000000000001E-2</v>
      </c>
    </row>
    <row r="451" spans="1:2">
      <c r="A451">
        <v>200012</v>
      </c>
      <c r="B451">
        <v>4.1500000000000002E-2</v>
      </c>
    </row>
    <row r="452" spans="1:2">
      <c r="A452">
        <v>200101</v>
      </c>
      <c r="B452">
        <v>-7.9200000000000007E-2</v>
      </c>
    </row>
    <row r="453" spans="1:2">
      <c r="A453">
        <v>200102</v>
      </c>
      <c r="B453">
        <v>2.6800000000000001E-2</v>
      </c>
    </row>
    <row r="454" spans="1:2">
      <c r="A454">
        <v>200103</v>
      </c>
      <c r="B454">
        <v>-2.8999999999999998E-2</v>
      </c>
    </row>
    <row r="455" spans="1:2">
      <c r="A455">
        <v>200104</v>
      </c>
      <c r="B455">
        <v>5.7099999999999998E-2</v>
      </c>
    </row>
    <row r="456" spans="1:2">
      <c r="A456">
        <v>200105</v>
      </c>
      <c r="B456">
        <v>2.5099999999999997E-2</v>
      </c>
    </row>
    <row r="457" spans="1:2">
      <c r="A457">
        <v>200106</v>
      </c>
      <c r="B457">
        <v>-3.2300000000000002E-2</v>
      </c>
    </row>
    <row r="458" spans="1:2">
      <c r="A458">
        <v>200107</v>
      </c>
      <c r="B458">
        <v>-2.4799999999999999E-2</v>
      </c>
    </row>
    <row r="459" spans="1:2">
      <c r="A459">
        <v>200108</v>
      </c>
      <c r="B459">
        <v>1.2E-2</v>
      </c>
    </row>
    <row r="460" spans="1:2">
      <c r="A460">
        <v>200109</v>
      </c>
      <c r="B460">
        <v>-3.85E-2</v>
      </c>
    </row>
    <row r="461" spans="1:2">
      <c r="A461">
        <v>200110</v>
      </c>
      <c r="B461">
        <v>7.9000000000000008E-3</v>
      </c>
    </row>
    <row r="462" spans="1:2">
      <c r="A462">
        <v>200111</v>
      </c>
      <c r="B462">
        <v>4.7999999999999996E-3</v>
      </c>
    </row>
    <row r="463" spans="1:2">
      <c r="A463">
        <v>200112</v>
      </c>
      <c r="B463">
        <v>3.4100000000000005E-2</v>
      </c>
    </row>
    <row r="464" spans="1:2">
      <c r="A464">
        <v>200201</v>
      </c>
      <c r="B464">
        <v>-4.7999999999999996E-3</v>
      </c>
    </row>
    <row r="465" spans="1:2">
      <c r="A465">
        <v>200202</v>
      </c>
      <c r="B465">
        <v>2.1700000000000001E-2</v>
      </c>
    </row>
    <row r="466" spans="1:2">
      <c r="A466">
        <v>200203</v>
      </c>
      <c r="B466">
        <v>5.2800000000000007E-2</v>
      </c>
    </row>
    <row r="467" spans="1:2">
      <c r="A467">
        <v>200204</v>
      </c>
      <c r="B467">
        <v>1.7100000000000001E-2</v>
      </c>
    </row>
    <row r="468" spans="1:2">
      <c r="A468">
        <v>200205</v>
      </c>
      <c r="B468">
        <v>-1.78E-2</v>
      </c>
    </row>
    <row r="469" spans="1:2">
      <c r="A469">
        <v>200206</v>
      </c>
      <c r="B469">
        <v>-7.9299999999999995E-2</v>
      </c>
    </row>
    <row r="470" spans="1:2">
      <c r="A470">
        <v>200207</v>
      </c>
      <c r="B470">
        <v>-4.3200000000000002E-2</v>
      </c>
    </row>
    <row r="471" spans="1:2">
      <c r="A471">
        <v>200208</v>
      </c>
      <c r="B471">
        <v>3.2400000000000005E-2</v>
      </c>
    </row>
    <row r="472" spans="1:2">
      <c r="A472">
        <v>200209</v>
      </c>
      <c r="B472">
        <v>-7.110000000000001E-2</v>
      </c>
    </row>
    <row r="473" spans="1:2">
      <c r="A473">
        <v>200210</v>
      </c>
      <c r="B473">
        <v>3.7000000000000005E-2</v>
      </c>
    </row>
    <row r="474" spans="1:2">
      <c r="A474">
        <v>200211</v>
      </c>
      <c r="B474">
        <v>2.12E-2</v>
      </c>
    </row>
    <row r="475" spans="1:2">
      <c r="A475">
        <v>200212</v>
      </c>
      <c r="B475">
        <v>0</v>
      </c>
    </row>
    <row r="476" spans="1:2">
      <c r="A476">
        <v>200301</v>
      </c>
      <c r="B476">
        <v>-3.0200000000000001E-2</v>
      </c>
    </row>
    <row r="477" spans="1:2">
      <c r="A477">
        <v>200302</v>
      </c>
      <c r="B477">
        <v>-3.09E-2</v>
      </c>
    </row>
    <row r="478" spans="1:2">
      <c r="A478">
        <v>200303</v>
      </c>
      <c r="B478">
        <v>1.1000000000000001E-2</v>
      </c>
    </row>
    <row r="479" spans="1:2">
      <c r="A479">
        <v>200304</v>
      </c>
      <c r="B479">
        <v>3.6200000000000003E-2</v>
      </c>
    </row>
    <row r="480" spans="1:2">
      <c r="A480">
        <v>200305</v>
      </c>
      <c r="B480">
        <v>5.0300000000000004E-2</v>
      </c>
    </row>
    <row r="481" spans="1:2">
      <c r="A481">
        <v>200306</v>
      </c>
      <c r="B481">
        <v>2.9700000000000004E-2</v>
      </c>
    </row>
    <row r="482" spans="1:2">
      <c r="A482">
        <v>200307</v>
      </c>
      <c r="B482">
        <v>-2.9399999999999999E-2</v>
      </c>
    </row>
    <row r="483" spans="1:2">
      <c r="A483">
        <v>200308</v>
      </c>
      <c r="B483">
        <v>1.8E-3</v>
      </c>
    </row>
    <row r="484" spans="1:2">
      <c r="A484">
        <v>200309</v>
      </c>
      <c r="B484">
        <v>1.84E-2</v>
      </c>
    </row>
    <row r="485" spans="1:2">
      <c r="A485">
        <v>200310</v>
      </c>
      <c r="B485">
        <v>2.2599999999999999E-2</v>
      </c>
    </row>
    <row r="486" spans="1:2">
      <c r="A486">
        <v>200311</v>
      </c>
      <c r="B486">
        <v>1.26E-2</v>
      </c>
    </row>
    <row r="487" spans="1:2">
      <c r="A487">
        <v>200312</v>
      </c>
      <c r="B487">
        <v>5.6300000000000003E-2</v>
      </c>
    </row>
    <row r="488" spans="1:2">
      <c r="A488">
        <v>200401</v>
      </c>
      <c r="B488">
        <v>1.78E-2</v>
      </c>
    </row>
    <row r="489" spans="1:2">
      <c r="A489">
        <v>200402</v>
      </c>
      <c r="B489">
        <v>2.12E-2</v>
      </c>
    </row>
    <row r="490" spans="1:2">
      <c r="A490">
        <v>200403</v>
      </c>
      <c r="B490">
        <v>-8.6999999999999994E-3</v>
      </c>
    </row>
    <row r="491" spans="1:2">
      <c r="A491">
        <v>200404</v>
      </c>
      <c r="B491">
        <v>1.03E-2</v>
      </c>
    </row>
    <row r="492" spans="1:2">
      <c r="A492">
        <v>200405</v>
      </c>
      <c r="B492">
        <v>-6.8000000000000005E-3</v>
      </c>
    </row>
    <row r="493" spans="1:2">
      <c r="A493">
        <v>200406</v>
      </c>
      <c r="B493">
        <v>2.9700000000000004E-2</v>
      </c>
    </row>
    <row r="494" spans="1:2">
      <c r="A494">
        <v>200407</v>
      </c>
      <c r="B494">
        <v>-2.4100000000000003E-2</v>
      </c>
    </row>
    <row r="495" spans="1:2">
      <c r="A495">
        <v>200408</v>
      </c>
      <c r="B495">
        <v>2.6099999999999998E-2</v>
      </c>
    </row>
    <row r="496" spans="1:2">
      <c r="A496">
        <v>200409</v>
      </c>
      <c r="B496">
        <v>-2.1600000000000001E-2</v>
      </c>
    </row>
    <row r="497" spans="1:2">
      <c r="A497">
        <v>200410</v>
      </c>
      <c r="B497">
        <v>6.1000000000000004E-3</v>
      </c>
    </row>
    <row r="498" spans="1:2">
      <c r="A498">
        <v>200411</v>
      </c>
      <c r="B498">
        <v>4.0099999999999997E-2</v>
      </c>
    </row>
    <row r="499" spans="1:2">
      <c r="A499">
        <v>200412</v>
      </c>
      <c r="B499">
        <v>3.9E-2</v>
      </c>
    </row>
    <row r="500" spans="1:2">
      <c r="A500">
        <v>200501</v>
      </c>
      <c r="B500">
        <v>-2.07E-2</v>
      </c>
    </row>
    <row r="501" spans="1:2">
      <c r="A501">
        <v>200502</v>
      </c>
      <c r="B501">
        <v>1.67E-2</v>
      </c>
    </row>
    <row r="502" spans="1:2">
      <c r="A502">
        <v>200503</v>
      </c>
      <c r="B502">
        <v>-3.3000000000000004E-3</v>
      </c>
    </row>
    <row r="503" spans="1:2">
      <c r="A503">
        <v>200504</v>
      </c>
      <c r="B503">
        <v>-1.1999999999999999E-3</v>
      </c>
    </row>
    <row r="504" spans="1:2">
      <c r="A504">
        <v>200505</v>
      </c>
      <c r="B504">
        <v>1.7000000000000001E-2</v>
      </c>
    </row>
    <row r="505" spans="1:2">
      <c r="A505">
        <v>200506</v>
      </c>
      <c r="B505">
        <v>2.0999999999999999E-3</v>
      </c>
    </row>
    <row r="506" spans="1:2">
      <c r="A506">
        <v>200507</v>
      </c>
      <c r="B506">
        <v>1.11E-2</v>
      </c>
    </row>
    <row r="507" spans="1:2">
      <c r="A507">
        <v>200508</v>
      </c>
      <c r="B507">
        <v>-2.1800000000000003E-2</v>
      </c>
    </row>
    <row r="508" spans="1:2">
      <c r="A508">
        <v>200509</v>
      </c>
      <c r="B508">
        <v>-1.4000000000000002E-3</v>
      </c>
    </row>
    <row r="509" spans="1:2">
      <c r="A509">
        <v>200510</v>
      </c>
      <c r="B509">
        <v>-2.4300000000000002E-2</v>
      </c>
    </row>
    <row r="510" spans="1:2">
      <c r="A510">
        <v>200511</v>
      </c>
      <c r="B510">
        <v>1.5100000000000001E-2</v>
      </c>
    </row>
    <row r="511" spans="1:2">
      <c r="A511">
        <v>200512</v>
      </c>
      <c r="B511">
        <v>1.7000000000000001E-2</v>
      </c>
    </row>
    <row r="512" spans="1:2">
      <c r="A512">
        <v>200601</v>
      </c>
      <c r="B512">
        <v>2.76E-2</v>
      </c>
    </row>
    <row r="513" spans="1:2">
      <c r="A513">
        <v>200602</v>
      </c>
      <c r="B513">
        <v>8.9999999999999998E-4</v>
      </c>
    </row>
    <row r="514" spans="1:2">
      <c r="A514">
        <v>200603</v>
      </c>
      <c r="B514">
        <v>1.1000000000000001E-3</v>
      </c>
    </row>
    <row r="515" spans="1:2">
      <c r="A515">
        <v>200604</v>
      </c>
      <c r="B515">
        <v>4.8999999999999998E-3</v>
      </c>
    </row>
    <row r="516" spans="1:2">
      <c r="A516">
        <v>200605</v>
      </c>
      <c r="B516">
        <v>-1.2E-2</v>
      </c>
    </row>
    <row r="517" spans="1:2">
      <c r="A517">
        <v>200606</v>
      </c>
      <c r="B517">
        <v>4.7999999999999996E-3</v>
      </c>
    </row>
    <row r="518" spans="1:2">
      <c r="A518">
        <v>200607</v>
      </c>
      <c r="B518">
        <v>2.63E-2</v>
      </c>
    </row>
    <row r="519" spans="1:2">
      <c r="A519">
        <v>200608</v>
      </c>
      <c r="B519">
        <v>3.3799999999999997E-2</v>
      </c>
    </row>
    <row r="520" spans="1:2">
      <c r="A520">
        <v>200609</v>
      </c>
      <c r="B520">
        <v>1.7600000000000001E-2</v>
      </c>
    </row>
    <row r="521" spans="1:2">
      <c r="A521">
        <v>200610</v>
      </c>
      <c r="B521">
        <v>2.2400000000000003E-2</v>
      </c>
    </row>
    <row r="522" spans="1:2">
      <c r="A522">
        <v>200611</v>
      </c>
      <c r="B522">
        <v>-4.0000000000000001E-3</v>
      </c>
    </row>
    <row r="523" spans="1:2">
      <c r="A523">
        <v>200612</v>
      </c>
      <c r="B523">
        <v>1.2700000000000001E-2</v>
      </c>
    </row>
    <row r="524" spans="1:2">
      <c r="A524">
        <v>200701</v>
      </c>
      <c r="B524">
        <v>1.7500000000000002E-2</v>
      </c>
    </row>
    <row r="525" spans="1:2">
      <c r="A525">
        <v>200702</v>
      </c>
      <c r="B525">
        <v>-1.78E-2</v>
      </c>
    </row>
    <row r="526" spans="1:2">
      <c r="A526">
        <v>200703</v>
      </c>
      <c r="B526">
        <v>1E-3</v>
      </c>
    </row>
    <row r="527" spans="1:2">
      <c r="A527">
        <v>200704</v>
      </c>
      <c r="B527">
        <v>3.5099999999999999E-2</v>
      </c>
    </row>
    <row r="528" spans="1:2">
      <c r="A528">
        <v>200705</v>
      </c>
      <c r="B528">
        <v>1.7500000000000002E-2</v>
      </c>
    </row>
    <row r="529" spans="1:2">
      <c r="A529">
        <v>200706</v>
      </c>
      <c r="B529">
        <v>-2.63E-2</v>
      </c>
    </row>
    <row r="530" spans="1:2">
      <c r="A530">
        <v>200707</v>
      </c>
      <c r="B530">
        <v>-2.9500000000000002E-2</v>
      </c>
    </row>
    <row r="531" spans="1:2">
      <c r="A531">
        <v>200708</v>
      </c>
      <c r="B531">
        <v>2.81E-2</v>
      </c>
    </row>
    <row r="532" spans="1:2">
      <c r="A532">
        <v>200709</v>
      </c>
      <c r="B532">
        <v>2.7200000000000002E-2</v>
      </c>
    </row>
    <row r="533" spans="1:2">
      <c r="A533">
        <v>200710</v>
      </c>
      <c r="B533">
        <v>1.9400000000000001E-2</v>
      </c>
    </row>
    <row r="534" spans="1:2">
      <c r="A534">
        <v>200711</v>
      </c>
      <c r="B534">
        <v>5.8999999999999999E-3</v>
      </c>
    </row>
    <row r="535" spans="1:2">
      <c r="A535">
        <v>200712</v>
      </c>
      <c r="B535">
        <v>-2.2700000000000001E-2</v>
      </c>
    </row>
    <row r="536" spans="1:2">
      <c r="A536">
        <v>200801</v>
      </c>
      <c r="B536">
        <v>-3.4799999999999998E-2</v>
      </c>
    </row>
    <row r="537" spans="1:2">
      <c r="A537">
        <v>200802</v>
      </c>
      <c r="B537">
        <v>-3.7600000000000001E-2</v>
      </c>
    </row>
    <row r="538" spans="1:2">
      <c r="A538">
        <v>200803</v>
      </c>
      <c r="B538">
        <v>-6.9999999999999993E-3</v>
      </c>
    </row>
    <row r="539" spans="1:2">
      <c r="A539">
        <v>200804</v>
      </c>
      <c r="B539">
        <v>2.8999999999999998E-2</v>
      </c>
    </row>
    <row r="540" spans="1:2">
      <c r="A540">
        <v>200805</v>
      </c>
      <c r="B540">
        <v>9.1999999999999998E-3</v>
      </c>
    </row>
    <row r="541" spans="1:2">
      <c r="A541">
        <v>200806</v>
      </c>
      <c r="B541">
        <v>-8.199999999999999E-2</v>
      </c>
    </row>
    <row r="542" spans="1:2">
      <c r="A542">
        <v>200807</v>
      </c>
      <c r="B542">
        <v>6.8000000000000005E-3</v>
      </c>
    </row>
    <row r="543" spans="1:2">
      <c r="A543">
        <v>200808</v>
      </c>
      <c r="B543">
        <v>2.06E-2</v>
      </c>
    </row>
    <row r="544" spans="1:2">
      <c r="A544">
        <v>200809</v>
      </c>
      <c r="B544">
        <v>-4.2900000000000001E-2</v>
      </c>
    </row>
    <row r="545" spans="1:2">
      <c r="A545">
        <v>200810</v>
      </c>
      <c r="B545">
        <v>-0.12970000000000001</v>
      </c>
    </row>
    <row r="546" spans="1:2">
      <c r="A546">
        <v>200811</v>
      </c>
      <c r="B546">
        <v>-3.7400000000000003E-2</v>
      </c>
    </row>
    <row r="547" spans="1:2">
      <c r="A547">
        <v>200812</v>
      </c>
      <c r="B547">
        <v>5.6000000000000008E-3</v>
      </c>
    </row>
    <row r="548" spans="1:2">
      <c r="A548">
        <v>200901</v>
      </c>
      <c r="B548">
        <v>-6.25E-2</v>
      </c>
    </row>
    <row r="549" spans="1:2">
      <c r="A549">
        <v>200902</v>
      </c>
      <c r="B549">
        <v>-7.5800000000000006E-2</v>
      </c>
    </row>
    <row r="550" spans="1:2">
      <c r="A550">
        <v>200903</v>
      </c>
      <c r="B550">
        <v>4.2800000000000005E-2</v>
      </c>
    </row>
    <row r="551" spans="1:2">
      <c r="A551">
        <v>200904</v>
      </c>
      <c r="B551">
        <v>2.5400000000000002E-2</v>
      </c>
    </row>
    <row r="552" spans="1:2">
      <c r="A552">
        <v>200905</v>
      </c>
      <c r="B552">
        <v>5.6900000000000006E-2</v>
      </c>
    </row>
    <row r="553" spans="1:2">
      <c r="A553">
        <v>200906</v>
      </c>
      <c r="B553">
        <v>1.6000000000000001E-3</v>
      </c>
    </row>
    <row r="554" spans="1:2">
      <c r="A554">
        <v>200907</v>
      </c>
      <c r="B554">
        <v>5.04E-2</v>
      </c>
    </row>
    <row r="555" spans="1:2">
      <c r="A555">
        <v>200908</v>
      </c>
      <c r="B555">
        <v>1.7000000000000001E-3</v>
      </c>
    </row>
    <row r="556" spans="1:2">
      <c r="A556">
        <v>200909</v>
      </c>
      <c r="B556">
        <v>1.7899999999999999E-2</v>
      </c>
    </row>
    <row r="557" spans="1:2">
      <c r="A557">
        <v>200910</v>
      </c>
      <c r="B557">
        <v>-1.2200000000000001E-2</v>
      </c>
    </row>
    <row r="558" spans="1:2">
      <c r="A558">
        <v>200911</v>
      </c>
      <c r="B558">
        <v>6.4699999999999994E-2</v>
      </c>
    </row>
    <row r="559" spans="1:2">
      <c r="A559">
        <v>200912</v>
      </c>
      <c r="B559">
        <v>-3.9000000000000003E-3</v>
      </c>
    </row>
    <row r="560" spans="1:2">
      <c r="A560">
        <v>201001</v>
      </c>
      <c r="B560">
        <v>-2.2599999999999999E-2</v>
      </c>
    </row>
    <row r="561" spans="1:2">
      <c r="A561">
        <v>201002</v>
      </c>
      <c r="B561">
        <v>1.83E-2</v>
      </c>
    </row>
    <row r="562" spans="1:2">
      <c r="A562">
        <v>201003</v>
      </c>
      <c r="B562">
        <v>3.7200000000000004E-2</v>
      </c>
    </row>
    <row r="563" spans="1:2">
      <c r="A563">
        <v>201004</v>
      </c>
      <c r="B563">
        <v>2.9999999999999997E-4</v>
      </c>
    </row>
    <row r="564" spans="1:2">
      <c r="A564">
        <v>201005</v>
      </c>
      <c r="B564">
        <v>-5.96E-2</v>
      </c>
    </row>
    <row r="565" spans="1:2">
      <c r="A565">
        <v>201006</v>
      </c>
      <c r="B565">
        <v>-2.9900000000000003E-2</v>
      </c>
    </row>
    <row r="566" spans="1:2">
      <c r="A566">
        <v>201007</v>
      </c>
      <c r="B566">
        <v>4.8899999999999999E-2</v>
      </c>
    </row>
    <row r="567" spans="1:2">
      <c r="A567">
        <v>201008</v>
      </c>
      <c r="B567">
        <v>-8.8999999999999999E-3</v>
      </c>
    </row>
    <row r="568" spans="1:2">
      <c r="A568">
        <v>201009</v>
      </c>
      <c r="B568">
        <v>5.79E-2</v>
      </c>
    </row>
    <row r="569" spans="1:2">
      <c r="A569">
        <v>201010</v>
      </c>
      <c r="B569">
        <v>2.9300000000000003E-2</v>
      </c>
    </row>
    <row r="570" spans="1:2">
      <c r="A570">
        <v>201011</v>
      </c>
      <c r="B570">
        <v>-5.2000000000000006E-3</v>
      </c>
    </row>
    <row r="571" spans="1:2">
      <c r="A571">
        <v>201012</v>
      </c>
      <c r="B571">
        <v>4.3700000000000003E-2</v>
      </c>
    </row>
    <row r="572" spans="1:2">
      <c r="A572">
        <v>201101</v>
      </c>
      <c r="B572">
        <v>1.2500000000000001E-2</v>
      </c>
    </row>
    <row r="573" spans="1:2">
      <c r="A573">
        <v>201102</v>
      </c>
      <c r="B573">
        <v>2.4799999999999999E-2</v>
      </c>
    </row>
    <row r="574" spans="1:2">
      <c r="A574">
        <v>201103</v>
      </c>
      <c r="B574">
        <v>1.41E-2</v>
      </c>
    </row>
    <row r="575" spans="1:2">
      <c r="A575">
        <v>201104</v>
      </c>
      <c r="B575">
        <v>4.1799999999999997E-2</v>
      </c>
    </row>
    <row r="576" spans="1:2">
      <c r="A576">
        <v>201105</v>
      </c>
      <c r="B576">
        <v>1.7000000000000001E-3</v>
      </c>
    </row>
    <row r="577" spans="1:2">
      <c r="A577">
        <v>201106</v>
      </c>
      <c r="B577">
        <v>-1.8100000000000002E-2</v>
      </c>
    </row>
    <row r="578" spans="1:2">
      <c r="A578">
        <v>201107</v>
      </c>
      <c r="B578">
        <v>-2.35E-2</v>
      </c>
    </row>
    <row r="579" spans="1:2">
      <c r="A579">
        <v>201108</v>
      </c>
      <c r="B579">
        <v>-1.0900000000000002E-2</v>
      </c>
    </row>
    <row r="580" spans="1:2">
      <c r="A580">
        <v>201109</v>
      </c>
      <c r="B580">
        <v>-2.5700000000000001E-2</v>
      </c>
    </row>
    <row r="581" spans="1:2">
      <c r="A581">
        <v>201110</v>
      </c>
      <c r="B581">
        <v>6.13E-2</v>
      </c>
    </row>
    <row r="582" spans="1:2">
      <c r="A582">
        <v>201111</v>
      </c>
      <c r="B582">
        <v>1.7600000000000001E-2</v>
      </c>
    </row>
    <row r="583" spans="1:2">
      <c r="A583">
        <v>201112</v>
      </c>
      <c r="B583">
        <v>3.44E-2</v>
      </c>
    </row>
    <row r="584" spans="1:2">
      <c r="A584">
        <v>201201</v>
      </c>
      <c r="B584">
        <v>1.3000000000000002E-3</v>
      </c>
    </row>
    <row r="585" spans="1:2">
      <c r="A585">
        <v>201202</v>
      </c>
      <c r="B585">
        <v>1.4499999999999999E-2</v>
      </c>
    </row>
    <row r="586" spans="1:2">
      <c r="A586">
        <v>201203</v>
      </c>
      <c r="B586">
        <v>2.1000000000000001E-2</v>
      </c>
    </row>
    <row r="587" spans="1:2">
      <c r="A587">
        <v>201204</v>
      </c>
      <c r="B587">
        <v>8.3999999999999995E-3</v>
      </c>
    </row>
    <row r="588" spans="1:2">
      <c r="A588">
        <v>201205</v>
      </c>
      <c r="B588">
        <v>-1.1599999999999999E-2</v>
      </c>
    </row>
    <row r="589" spans="1:2">
      <c r="A589">
        <v>201206</v>
      </c>
      <c r="B589">
        <v>4.6600000000000003E-2</v>
      </c>
    </row>
    <row r="590" spans="1:2">
      <c r="A590">
        <v>201207</v>
      </c>
      <c r="B590">
        <v>2.63E-2</v>
      </c>
    </row>
    <row r="591" spans="1:2">
      <c r="A591">
        <v>201208</v>
      </c>
      <c r="B591">
        <v>-7.0999999999999995E-3</v>
      </c>
    </row>
    <row r="592" spans="1:2">
      <c r="A592">
        <v>201209</v>
      </c>
      <c r="B592">
        <v>3.1000000000000003E-2</v>
      </c>
    </row>
    <row r="593" spans="1:2">
      <c r="A593">
        <v>201210</v>
      </c>
      <c r="B593">
        <v>-1.2200000000000001E-2</v>
      </c>
    </row>
    <row r="594" spans="1:2">
      <c r="A594">
        <v>201211</v>
      </c>
      <c r="B594">
        <v>-7.000000000000001E-4</v>
      </c>
    </row>
    <row r="595" spans="1:2">
      <c r="A595">
        <v>201212</v>
      </c>
      <c r="B595">
        <v>-1.2200000000000001E-2</v>
      </c>
    </row>
    <row r="596" spans="1:2">
      <c r="A596">
        <v>201301</v>
      </c>
      <c r="B596">
        <v>5.4000000000000006E-2</v>
      </c>
    </row>
    <row r="597" spans="1:2">
      <c r="A597">
        <v>201302</v>
      </c>
      <c r="B597">
        <v>2.8700000000000003E-2</v>
      </c>
    </row>
    <row r="598" spans="1:2">
      <c r="A598">
        <v>201303</v>
      </c>
      <c r="B598">
        <v>4.8600000000000004E-2</v>
      </c>
    </row>
    <row r="599" spans="1:2">
      <c r="A599">
        <v>201304</v>
      </c>
      <c r="B599">
        <v>2.6600000000000002E-2</v>
      </c>
    </row>
    <row r="600" spans="1:2">
      <c r="A600">
        <v>201305</v>
      </c>
      <c r="B600">
        <v>-8.6E-3</v>
      </c>
    </row>
    <row r="601" spans="1:2">
      <c r="A601">
        <v>201306</v>
      </c>
      <c r="B601">
        <v>-2.8999999999999998E-3</v>
      </c>
    </row>
    <row r="602" spans="1:2">
      <c r="A602">
        <v>201307</v>
      </c>
      <c r="B602">
        <v>4.24E-2</v>
      </c>
    </row>
    <row r="603" spans="1:2">
      <c r="A603">
        <v>201308</v>
      </c>
      <c r="B603">
        <v>-4.3299999999999998E-2</v>
      </c>
    </row>
    <row r="604" spans="1:2">
      <c r="A604">
        <v>201309</v>
      </c>
      <c r="B604">
        <v>1.5600000000000001E-2</v>
      </c>
    </row>
    <row r="605" spans="1:2">
      <c r="A605">
        <v>201310</v>
      </c>
      <c r="B605">
        <v>5.6799999999999996E-2</v>
      </c>
    </row>
    <row r="606" spans="1:2">
      <c r="A606">
        <v>201311</v>
      </c>
      <c r="B606">
        <v>2.3199999999999998E-2</v>
      </c>
    </row>
    <row r="607" spans="1:2">
      <c r="A607">
        <v>201312</v>
      </c>
      <c r="B607">
        <v>9.4000000000000004E-3</v>
      </c>
    </row>
    <row r="608" spans="1:2">
      <c r="A608">
        <v>201401</v>
      </c>
      <c r="B608">
        <v>-2.69E-2</v>
      </c>
    </row>
    <row r="609" spans="1:2">
      <c r="A609">
        <v>201402</v>
      </c>
      <c r="B609">
        <v>3.15E-2</v>
      </c>
    </row>
    <row r="610" spans="1:2">
      <c r="A610">
        <v>201403</v>
      </c>
      <c r="B610">
        <v>7.1999999999999998E-3</v>
      </c>
    </row>
    <row r="611" spans="1:2">
      <c r="A611">
        <v>201404</v>
      </c>
      <c r="B611">
        <v>2.4300000000000002E-2</v>
      </c>
    </row>
    <row r="612" spans="1:2">
      <c r="A612">
        <v>201405</v>
      </c>
      <c r="B612">
        <v>5.7999999999999996E-3</v>
      </c>
    </row>
    <row r="613" spans="1:2">
      <c r="A613">
        <v>201406</v>
      </c>
      <c r="B613">
        <v>9.7999999999999997E-3</v>
      </c>
    </row>
    <row r="614" spans="1:2">
      <c r="A614">
        <v>201407</v>
      </c>
      <c r="B614">
        <v>-2.1499999999999998E-2</v>
      </c>
    </row>
    <row r="615" spans="1:2">
      <c r="A615">
        <v>201408</v>
      </c>
      <c r="B615">
        <v>4.7400000000000005E-2</v>
      </c>
    </row>
    <row r="616" spans="1:2">
      <c r="A616">
        <v>201409</v>
      </c>
      <c r="B616">
        <v>4.5999999999999999E-3</v>
      </c>
    </row>
    <row r="617" spans="1:2">
      <c r="A617">
        <v>201410</v>
      </c>
      <c r="B617">
        <v>3.5799999999999998E-2</v>
      </c>
    </row>
    <row r="618" spans="1:2">
      <c r="A618">
        <v>201411</v>
      </c>
      <c r="B618">
        <v>3.8800000000000001E-2</v>
      </c>
    </row>
    <row r="619" spans="1:2">
      <c r="A619">
        <v>201412</v>
      </c>
      <c r="B619">
        <v>-9.1999999999999998E-3</v>
      </c>
    </row>
    <row r="620" spans="1:2">
      <c r="A620">
        <v>201501</v>
      </c>
      <c r="B620">
        <v>-4.5000000000000005E-3</v>
      </c>
    </row>
    <row r="621" spans="1:2">
      <c r="A621">
        <v>201502</v>
      </c>
      <c r="B621">
        <v>2.3900000000000001E-2</v>
      </c>
    </row>
    <row r="622" spans="1:2">
      <c r="A622">
        <v>201503</v>
      </c>
      <c r="B622">
        <v>-9.9000000000000008E-3</v>
      </c>
    </row>
    <row r="623" spans="1:2">
      <c r="A623">
        <v>201504</v>
      </c>
      <c r="B623">
        <v>-9.9000000000000008E-3</v>
      </c>
    </row>
    <row r="624" spans="1:2">
      <c r="A624">
        <v>201505</v>
      </c>
      <c r="B624">
        <v>1.0400000000000001E-2</v>
      </c>
    </row>
    <row r="625" spans="1:2">
      <c r="A625">
        <v>201506</v>
      </c>
      <c r="B625">
        <v>-1.77E-2</v>
      </c>
    </row>
    <row r="626" spans="1:2">
      <c r="A626">
        <v>201507</v>
      </c>
      <c r="B626">
        <v>5.5199999999999999E-2</v>
      </c>
    </row>
    <row r="627" spans="1:2">
      <c r="A627">
        <v>201508</v>
      </c>
      <c r="B627">
        <v>-5.0700000000000002E-2</v>
      </c>
    </row>
    <row r="628" spans="1:2">
      <c r="A628">
        <v>201509</v>
      </c>
      <c r="B628">
        <v>-6.1999999999999998E-3</v>
      </c>
    </row>
    <row r="629" spans="1:2">
      <c r="A629">
        <v>201510</v>
      </c>
      <c r="B629">
        <v>6.59E-2</v>
      </c>
    </row>
    <row r="630" spans="1:2">
      <c r="A630">
        <v>201511</v>
      </c>
      <c r="B630">
        <v>3.8E-3</v>
      </c>
    </row>
    <row r="631" spans="1:2">
      <c r="A631">
        <v>201512</v>
      </c>
      <c r="B631">
        <v>1.5300000000000001E-2</v>
      </c>
    </row>
    <row r="632" spans="1:2">
      <c r="A632">
        <v>201601</v>
      </c>
      <c r="B632">
        <v>-6.0000000000000001E-3</v>
      </c>
    </row>
    <row r="633" spans="1:2">
      <c r="A633">
        <v>201602</v>
      </c>
      <c r="B633">
        <v>-3.9000000000000003E-3</v>
      </c>
    </row>
    <row r="634" spans="1:2">
      <c r="A634">
        <v>201603</v>
      </c>
      <c r="B634">
        <v>5.5300000000000002E-2</v>
      </c>
    </row>
    <row r="635" spans="1:2">
      <c r="A635">
        <v>201604</v>
      </c>
      <c r="B635">
        <v>6.8999999999999999E-3</v>
      </c>
    </row>
    <row r="636" spans="1:2">
      <c r="A636">
        <v>201605</v>
      </c>
      <c r="B636">
        <v>2.12E-2</v>
      </c>
    </row>
    <row r="637" spans="1:2">
      <c r="A637">
        <v>201606</v>
      </c>
      <c r="B637">
        <v>4.1299999999999996E-2</v>
      </c>
    </row>
    <row r="638" spans="1:2">
      <c r="A638">
        <v>201607</v>
      </c>
      <c r="B638">
        <v>1.3899999999999999E-2</v>
      </c>
    </row>
    <row r="639" spans="1:2">
      <c r="A639">
        <v>201608</v>
      </c>
      <c r="B639">
        <v>-3.4300000000000004E-2</v>
      </c>
    </row>
    <row r="640" spans="1:2">
      <c r="A640">
        <v>201609</v>
      </c>
      <c r="B640">
        <v>-4.7999999999999996E-3</v>
      </c>
    </row>
    <row r="641" spans="1:2">
      <c r="A641">
        <v>201610</v>
      </c>
      <c r="B641">
        <v>-1.3000000000000001E-2</v>
      </c>
    </row>
    <row r="642" spans="1:2">
      <c r="A642">
        <v>201611</v>
      </c>
      <c r="B642">
        <v>-1.43E-2</v>
      </c>
    </row>
    <row r="643" spans="1:2">
      <c r="A643">
        <v>201612</v>
      </c>
      <c r="B643">
        <v>3.5499999999999997E-2</v>
      </c>
    </row>
    <row r="644" spans="1:2">
      <c r="A644">
        <v>201701</v>
      </c>
      <c r="B644">
        <v>1.2800000000000001E-2</v>
      </c>
    </row>
    <row r="645" spans="1:2">
      <c r="A645">
        <v>201702</v>
      </c>
      <c r="B645">
        <v>3.3000000000000002E-2</v>
      </c>
    </row>
    <row r="646" spans="1:2">
      <c r="A646">
        <v>201703</v>
      </c>
      <c r="B646">
        <v>5.0000000000000001E-4</v>
      </c>
    </row>
    <row r="647" spans="1:2">
      <c r="A647">
        <v>201704</v>
      </c>
      <c r="B647">
        <v>1.0900000000000002E-2</v>
      </c>
    </row>
    <row r="648" spans="1:2">
      <c r="A648">
        <v>201705</v>
      </c>
      <c r="B648">
        <v>2.1800000000000003E-2</v>
      </c>
    </row>
    <row r="649" spans="1:2">
      <c r="A649">
        <v>201706</v>
      </c>
      <c r="B649">
        <v>-2.2200000000000001E-2</v>
      </c>
    </row>
    <row r="650" spans="1:2">
      <c r="A650">
        <v>201707</v>
      </c>
      <c r="B650">
        <v>2.0299999999999999E-2</v>
      </c>
    </row>
    <row r="651" spans="1:2">
      <c r="A651">
        <v>201708</v>
      </c>
      <c r="B651">
        <v>2E-3</v>
      </c>
    </row>
    <row r="652" spans="1:2">
      <c r="A652">
        <v>201709</v>
      </c>
      <c r="B652">
        <v>-5.8999999999999999E-3</v>
      </c>
    </row>
    <row r="653" spans="1:2">
      <c r="A653">
        <v>201710</v>
      </c>
      <c r="B653">
        <v>2.86E-2</v>
      </c>
    </row>
    <row r="654" spans="1:2">
      <c r="A654">
        <v>201711</v>
      </c>
      <c r="B654">
        <v>3.0600000000000002E-2</v>
      </c>
    </row>
    <row r="655" spans="1:2">
      <c r="A655">
        <v>201712</v>
      </c>
      <c r="B655">
        <v>-1.06E-2</v>
      </c>
    </row>
    <row r="656" spans="1:2">
      <c r="A656">
        <v>201801</v>
      </c>
      <c r="B656">
        <v>1.1000000000000001E-2</v>
      </c>
    </row>
    <row r="657" spans="1:2">
      <c r="A657">
        <v>201802</v>
      </c>
      <c r="B657">
        <v>-4.1100000000000005E-2</v>
      </c>
    </row>
    <row r="658" spans="1:2">
      <c r="A658">
        <v>201803</v>
      </c>
      <c r="B658">
        <v>-1.2500000000000001E-2</v>
      </c>
    </row>
    <row r="659" spans="1:2">
      <c r="A659">
        <v>201804</v>
      </c>
      <c r="B659">
        <v>1.8600000000000002E-2</v>
      </c>
    </row>
    <row r="660" spans="1:2">
      <c r="A660">
        <v>201805</v>
      </c>
      <c r="B660">
        <v>2.9500000000000002E-2</v>
      </c>
    </row>
    <row r="661" spans="1:2">
      <c r="A661">
        <v>201806</v>
      </c>
      <c r="B661">
        <v>2.1400000000000002E-2</v>
      </c>
    </row>
    <row r="662" spans="1:2">
      <c r="A662">
        <v>201807</v>
      </c>
      <c r="B662">
        <v>2.0199999999999999E-2</v>
      </c>
    </row>
    <row r="663" spans="1:2">
      <c r="A663">
        <v>201808</v>
      </c>
      <c r="B663">
        <v>3.1200000000000002E-2</v>
      </c>
    </row>
    <row r="664" spans="1:2">
      <c r="A664">
        <v>201809</v>
      </c>
      <c r="B664">
        <v>2E-3</v>
      </c>
    </row>
    <row r="665" spans="1:2">
      <c r="A665">
        <v>201810</v>
      </c>
      <c r="B665">
        <v>-3.2000000000000002E-3</v>
      </c>
    </row>
    <row r="666" spans="1:2">
      <c r="A666">
        <v>201811</v>
      </c>
      <c r="B666">
        <v>1.9900000000000001E-2</v>
      </c>
    </row>
    <row r="667" spans="1:2">
      <c r="A667">
        <v>201812</v>
      </c>
      <c r="B667">
        <v>-6.3700000000000007E-2</v>
      </c>
    </row>
    <row r="668" spans="1:2">
      <c r="A668">
        <v>201901</v>
      </c>
      <c r="B668">
        <v>4.53E-2</v>
      </c>
    </row>
    <row r="669" spans="1:2">
      <c r="A669">
        <v>201902</v>
      </c>
      <c r="B669">
        <v>4.0700000000000007E-2</v>
      </c>
    </row>
    <row r="670" spans="1:2">
      <c r="A670">
        <v>201903</v>
      </c>
      <c r="B670">
        <v>3.0800000000000001E-2</v>
      </c>
    </row>
    <row r="671" spans="1:2">
      <c r="A671">
        <v>201904</v>
      </c>
      <c r="B671">
        <v>1.1899999999999999E-2</v>
      </c>
    </row>
    <row r="672" spans="1:2">
      <c r="A672">
        <v>201905</v>
      </c>
      <c r="B672">
        <v>-2.5400000000000002E-2</v>
      </c>
    </row>
    <row r="673" spans="1:2">
      <c r="A673">
        <v>201906</v>
      </c>
      <c r="B673">
        <v>4.4500000000000005E-2</v>
      </c>
    </row>
    <row r="674" spans="1:2">
      <c r="A674">
        <v>201907</v>
      </c>
      <c r="B674">
        <v>0.02</v>
      </c>
    </row>
    <row r="675" spans="1:2">
      <c r="A675">
        <v>201908</v>
      </c>
      <c r="B675">
        <v>2.0499999999999997E-2</v>
      </c>
    </row>
    <row r="676" spans="1:2">
      <c r="A676">
        <v>201909</v>
      </c>
      <c r="B676">
        <v>1.4800000000000001E-2</v>
      </c>
    </row>
    <row r="677" spans="1:2">
      <c r="A677">
        <v>201910</v>
      </c>
      <c r="B677">
        <v>1.2200000000000001E-2</v>
      </c>
    </row>
    <row r="678" spans="1:2">
      <c r="A678">
        <v>201911</v>
      </c>
      <c r="B678">
        <v>4.3E-3</v>
      </c>
    </row>
    <row r="679" spans="1:2">
      <c r="A679">
        <v>201912</v>
      </c>
      <c r="B679">
        <v>3.1400000000000004E-2</v>
      </c>
    </row>
    <row r="680" spans="1:2">
      <c r="A680">
        <v>202001</v>
      </c>
      <c r="B680">
        <v>1.47E-2</v>
      </c>
    </row>
    <row r="681" spans="1:2">
      <c r="A681">
        <v>202002</v>
      </c>
      <c r="B681">
        <v>-8.1099999999999992E-2</v>
      </c>
    </row>
    <row r="682" spans="1:2">
      <c r="A682">
        <v>202003</v>
      </c>
      <c r="B682">
        <v>-8.8000000000000009E-2</v>
      </c>
    </row>
    <row r="683" spans="1:2">
      <c r="A683">
        <v>202004</v>
      </c>
      <c r="B683">
        <v>8.3299999999999999E-2</v>
      </c>
    </row>
    <row r="684" spans="1:2">
      <c r="A684">
        <v>202005</v>
      </c>
      <c r="B684">
        <v>2.8500000000000001E-2</v>
      </c>
    </row>
    <row r="685" spans="1:2">
      <c r="A685">
        <v>202006</v>
      </c>
      <c r="B685">
        <v>-2.2599999999999999E-2</v>
      </c>
    </row>
    <row r="686" spans="1:2">
      <c r="A686">
        <v>202007</v>
      </c>
      <c r="B686">
        <v>5.5599999999999997E-2</v>
      </c>
    </row>
    <row r="687" spans="1:2">
      <c r="A687">
        <v>202008</v>
      </c>
      <c r="B687">
        <v>2.0400000000000001E-2</v>
      </c>
    </row>
    <row r="688" spans="1:2">
      <c r="A688">
        <v>202009</v>
      </c>
      <c r="B688">
        <v>-1.3300000000000001E-2</v>
      </c>
    </row>
    <row r="689" spans="1:2">
      <c r="A689">
        <v>202010</v>
      </c>
      <c r="B689">
        <v>-2.4400000000000002E-2</v>
      </c>
    </row>
    <row r="690" spans="1:2">
      <c r="A690">
        <v>202011</v>
      </c>
      <c r="B690">
        <v>5.5700000000000006E-2</v>
      </c>
    </row>
    <row r="691" spans="1:2">
      <c r="A691">
        <v>202012</v>
      </c>
      <c r="B691">
        <v>1.46E-2</v>
      </c>
    </row>
    <row r="692" spans="1:2">
      <c r="A692">
        <v>202101</v>
      </c>
      <c r="B692">
        <v>1.1000000000000001E-3</v>
      </c>
    </row>
    <row r="693" spans="1:2">
      <c r="A693">
        <v>202102</v>
      </c>
      <c r="B693">
        <v>-3.9900000000000005E-2</v>
      </c>
    </row>
    <row r="694" spans="1:2">
      <c r="A694">
        <v>202103</v>
      </c>
      <c r="B694">
        <v>7.0199999999999999E-2</v>
      </c>
    </row>
    <row r="695" spans="1:2">
      <c r="A695">
        <v>202104</v>
      </c>
      <c r="B695">
        <v>1.5900000000000001E-2</v>
      </c>
    </row>
    <row r="696" spans="1:2">
      <c r="A696">
        <v>202105</v>
      </c>
      <c r="B696">
        <v>1.9099999999999999E-2</v>
      </c>
    </row>
    <row r="697" spans="1:2">
      <c r="A697">
        <v>202106</v>
      </c>
      <c r="B697">
        <v>5.6999999999999993E-3</v>
      </c>
    </row>
    <row r="698" spans="1:2">
      <c r="A698">
        <v>202107</v>
      </c>
      <c r="B698">
        <v>2.7400000000000004E-2</v>
      </c>
    </row>
    <row r="699" spans="1:2">
      <c r="A699">
        <v>202108</v>
      </c>
      <c r="B699">
        <v>2.1499999999999998E-2</v>
      </c>
    </row>
    <row r="700" spans="1:2">
      <c r="A700">
        <v>202109</v>
      </c>
      <c r="B700">
        <v>-4.58E-2</v>
      </c>
    </row>
    <row r="701" spans="1:2">
      <c r="A701">
        <v>202110</v>
      </c>
      <c r="B701">
        <v>4.3600000000000007E-2</v>
      </c>
    </row>
    <row r="702" spans="1:2">
      <c r="A702">
        <v>202111</v>
      </c>
      <c r="B702">
        <v>-1.5700000000000002E-2</v>
      </c>
    </row>
    <row r="703" spans="1:2">
      <c r="A703">
        <v>202112</v>
      </c>
      <c r="B703">
        <v>7.2499999999999995E-2</v>
      </c>
    </row>
    <row r="704" spans="1:2">
      <c r="A704">
        <v>202201</v>
      </c>
      <c r="B704">
        <v>-4.5599999999999995E-2</v>
      </c>
    </row>
    <row r="705" spans="1:2">
      <c r="A705">
        <v>202202</v>
      </c>
      <c r="B705">
        <v>-2.5400000000000002E-2</v>
      </c>
    </row>
    <row r="706" spans="1:2">
      <c r="A706">
        <v>202203</v>
      </c>
      <c r="B706">
        <v>5.9900000000000002E-2</v>
      </c>
    </row>
    <row r="707" spans="1:2">
      <c r="A707">
        <v>202204</v>
      </c>
      <c r="B707">
        <v>-2.1700000000000001E-2</v>
      </c>
    </row>
    <row r="708" spans="1:2">
      <c r="A708">
        <v>202205</v>
      </c>
      <c r="B708">
        <v>5.6999999999999993E-3</v>
      </c>
    </row>
    <row r="709" spans="1:2">
      <c r="A709">
        <v>202206</v>
      </c>
      <c r="B709">
        <v>-2.5400000000000002E-2</v>
      </c>
    </row>
    <row r="710" spans="1:2">
      <c r="A710">
        <v>202207</v>
      </c>
      <c r="B710">
        <v>1.0700000000000001E-2</v>
      </c>
    </row>
    <row r="711" spans="1:2">
      <c r="A711">
        <v>202208</v>
      </c>
      <c r="B711">
        <v>-2.76E-2</v>
      </c>
    </row>
    <row r="712" spans="1:2">
      <c r="A712">
        <v>202209</v>
      </c>
      <c r="B712">
        <v>-4.6300000000000001E-2</v>
      </c>
    </row>
    <row r="713" spans="1:2">
      <c r="A713">
        <v>202210</v>
      </c>
      <c r="B713">
        <v>8.7500000000000008E-2</v>
      </c>
    </row>
    <row r="714" spans="1:2">
      <c r="A714">
        <v>202211</v>
      </c>
      <c r="B714">
        <v>5.5E-2</v>
      </c>
    </row>
    <row r="715" spans="1:2">
      <c r="A715">
        <v>202212</v>
      </c>
      <c r="B715">
        <v>-2.23E-2</v>
      </c>
    </row>
    <row r="716" spans="1:2">
      <c r="A716">
        <v>202301</v>
      </c>
      <c r="B716">
        <v>-1.1599999999999999E-2</v>
      </c>
    </row>
    <row r="717" spans="1:2">
      <c r="A717">
        <v>202302</v>
      </c>
      <c r="B717">
        <v>-4.7699999999999999E-2</v>
      </c>
    </row>
    <row r="718" spans="1:2">
      <c r="A718">
        <v>202303</v>
      </c>
      <c r="B718">
        <v>3.3100000000000004E-2</v>
      </c>
    </row>
    <row r="719" spans="1:2">
      <c r="A719">
        <v>202304</v>
      </c>
      <c r="B719">
        <v>3.2400000000000005E-2</v>
      </c>
    </row>
    <row r="720" spans="1:2">
      <c r="A720">
        <v>202305</v>
      </c>
      <c r="B720">
        <v>-4.0300000000000002E-2</v>
      </c>
    </row>
    <row r="721" spans="1:2">
      <c r="A721">
        <v>202306</v>
      </c>
      <c r="B721">
        <v>3.5200000000000002E-2</v>
      </c>
    </row>
    <row r="722" spans="1:2">
      <c r="A722">
        <v>202307</v>
      </c>
      <c r="B722">
        <v>6.8000000000000005E-3</v>
      </c>
    </row>
    <row r="723" spans="1:2">
      <c r="A723">
        <v>202308</v>
      </c>
      <c r="B723">
        <v>4.4000000000000003E-3</v>
      </c>
    </row>
    <row r="724" spans="1:2">
      <c r="A724">
        <v>202309</v>
      </c>
      <c r="B724">
        <v>-2.1499999999999998E-2</v>
      </c>
    </row>
    <row r="725" spans="1:2">
      <c r="A725">
        <v>202310</v>
      </c>
      <c r="B725">
        <v>5.0000000000000001E-3</v>
      </c>
    </row>
    <row r="726" spans="1:2">
      <c r="A726">
        <v>202311</v>
      </c>
      <c r="B726">
        <v>2.23E-2</v>
      </c>
    </row>
    <row r="727" spans="1:2">
      <c r="A727">
        <v>202312</v>
      </c>
      <c r="B727">
        <v>2.4700000000000003E-2</v>
      </c>
    </row>
    <row r="728" spans="1:2">
      <c r="A728">
        <v>202401</v>
      </c>
      <c r="B728">
        <v>1.7500000000000002E-2</v>
      </c>
    </row>
    <row r="729" spans="1:2">
      <c r="A729">
        <v>202402</v>
      </c>
      <c r="B729">
        <v>3.0200000000000001E-2</v>
      </c>
    </row>
    <row r="730" spans="1:2">
      <c r="A730">
        <v>202403</v>
      </c>
      <c r="B730">
        <v>3.1800000000000002E-2</v>
      </c>
    </row>
    <row r="731" spans="1:2">
      <c r="A731">
        <v>202404</v>
      </c>
      <c r="B731">
        <v>-2.4700000000000003E-2</v>
      </c>
    </row>
    <row r="732" spans="1:2">
      <c r="A732">
        <v>202405</v>
      </c>
      <c r="B732">
        <v>3.8700000000000005E-2</v>
      </c>
    </row>
    <row r="733" spans="1:2">
      <c r="A733">
        <v>202406</v>
      </c>
      <c r="B733">
        <v>1.8500000000000003E-2</v>
      </c>
    </row>
    <row r="734" spans="1:2">
      <c r="A734">
        <v>202407</v>
      </c>
      <c r="B734">
        <v>2.8300000000000002E-2</v>
      </c>
    </row>
    <row r="735" spans="1:2">
      <c r="A735">
        <v>202408</v>
      </c>
      <c r="B735">
        <v>6.4200000000000007E-2</v>
      </c>
    </row>
    <row r="736" spans="1:2">
      <c r="A736">
        <v>202409</v>
      </c>
      <c r="B736">
        <v>-8.0000000000000004E-4</v>
      </c>
    </row>
    <row r="737" spans="1:2">
      <c r="A737">
        <v>202410</v>
      </c>
      <c r="B737">
        <v>-2.4500000000000001E-2</v>
      </c>
    </row>
    <row r="738" spans="1:2">
      <c r="A738">
        <v>202411</v>
      </c>
      <c r="B738">
        <v>3.1099999999999999E-2</v>
      </c>
    </row>
    <row r="739" spans="1:2">
      <c r="A739">
        <v>202412</v>
      </c>
      <c r="B739">
        <v>-6.5299999999999997E-2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C63B8-D756-4A27-AF54-BB80E86F0D4B}">
  <dimension ref="A1:O62"/>
  <sheetViews>
    <sheetView workbookViewId="0">
      <selection activeCell="Q18" sqref="Q18"/>
    </sheetView>
  </sheetViews>
  <sheetFormatPr defaultRowHeight="14.5"/>
  <cols>
    <col min="2" max="2" width="11.453125" customWidth="1"/>
    <col min="5" max="5" width="12.453125" bestFit="1" customWidth="1"/>
    <col min="8" max="8" width="11.81640625" bestFit="1" customWidth="1"/>
    <col min="11" max="11" width="12" bestFit="1" customWidth="1"/>
    <col min="15" max="15" width="17" bestFit="1" customWidth="1"/>
  </cols>
  <sheetData>
    <row r="1" spans="1:15">
      <c r="O1" s="1"/>
    </row>
    <row r="2" spans="1:15">
      <c r="A2" s="1" t="s">
        <v>210</v>
      </c>
      <c r="B2" s="1" t="s">
        <v>535</v>
      </c>
      <c r="C2" s="1" t="s">
        <v>523</v>
      </c>
      <c r="D2" s="1" t="s">
        <v>524</v>
      </c>
      <c r="E2" s="1" t="s">
        <v>525</v>
      </c>
      <c r="F2" s="1"/>
      <c r="O2" s="1" t="s">
        <v>531</v>
      </c>
    </row>
    <row r="3" spans="1:15">
      <c r="A3" s="163">
        <v>43861</v>
      </c>
      <c r="B3">
        <v>-2.8E-3</v>
      </c>
      <c r="C3">
        <v>-3.1300000000000001E-2</v>
      </c>
      <c r="D3">
        <v>-6.25E-2</v>
      </c>
      <c r="E3">
        <v>-3.9315200103540032E-3</v>
      </c>
      <c r="H3" t="s">
        <v>157</v>
      </c>
      <c r="O3">
        <f>SUMPRODUCT(B3:D3,$H$15:$J$15)+0.003</f>
        <v>2.6149486668811433E-2</v>
      </c>
    </row>
    <row r="4" spans="1:15">
      <c r="A4" s="163">
        <v>43890</v>
      </c>
      <c r="B4">
        <v>-8.3100000000000021E-2</v>
      </c>
      <c r="C4">
        <v>1.0700000000000001E-2</v>
      </c>
      <c r="D4">
        <v>-3.7999999999999999E-2</v>
      </c>
      <c r="E4">
        <v>-9.3185031086273989E-2</v>
      </c>
      <c r="H4">
        <v>2.9204230972222221E-3</v>
      </c>
      <c r="I4">
        <v>5.2235809722222214E-4</v>
      </c>
      <c r="J4">
        <v>9.1185513888888747E-5</v>
      </c>
      <c r="O4">
        <f>SUMPRODUCT(B4:D4,$H$15:$J$15)+0.003</f>
        <v>-8.9211231585591438E-2</v>
      </c>
    </row>
    <row r="5" spans="1:15">
      <c r="A5" s="163">
        <v>43921</v>
      </c>
      <c r="B5">
        <v>-0.1356</v>
      </c>
      <c r="C5">
        <v>-4.7899999999999998E-2</v>
      </c>
      <c r="D5">
        <v>-0.13880000000000001</v>
      </c>
      <c r="E5">
        <v>-0.3119135787486238</v>
      </c>
      <c r="H5">
        <v>5.2235809722222214E-4</v>
      </c>
      <c r="I5">
        <v>9.9775049722222167E-4</v>
      </c>
      <c r="J5">
        <v>1.6644424722222229E-4</v>
      </c>
      <c r="O5">
        <f t="shared" ref="O5:O62" si="0">SUMPRODUCT(B5:D5,$H$15:$J$15)+0.003</f>
        <v>-9.3062855062680569E-2</v>
      </c>
    </row>
    <row r="6" spans="1:15">
      <c r="A6" s="163">
        <v>43951</v>
      </c>
      <c r="B6">
        <v>0.13350000000000001</v>
      </c>
      <c r="C6">
        <v>2.4500000000000001E-2</v>
      </c>
      <c r="D6">
        <v>-1.34E-2</v>
      </c>
      <c r="E6">
        <v>0.22211445081347603</v>
      </c>
      <c r="H6">
        <v>9.1185513888888747E-5</v>
      </c>
      <c r="I6">
        <v>1.6644424722222229E-4</v>
      </c>
      <c r="J6">
        <v>2.1599138305555556E-3</v>
      </c>
      <c r="O6">
        <f t="shared" si="0"/>
        <v>0.11593581475814393</v>
      </c>
    </row>
    <row r="7" spans="1:15">
      <c r="A7" s="163">
        <v>43982</v>
      </c>
      <c r="B7">
        <v>5.2899999999999996E-2</v>
      </c>
      <c r="C7">
        <v>2.4900000000000002E-2</v>
      </c>
      <c r="D7">
        <v>-4.8499999999999995E-2</v>
      </c>
      <c r="E7">
        <v>8.5738004825164096E-2</v>
      </c>
      <c r="O7">
        <f t="shared" si="0"/>
        <v>3.4858869067172525E-2</v>
      </c>
    </row>
    <row r="8" spans="1:15">
      <c r="A8" s="163">
        <v>44012</v>
      </c>
      <c r="B8">
        <v>2.1700000000000001E-2</v>
      </c>
      <c r="C8">
        <v>2.69E-2</v>
      </c>
      <c r="D8">
        <v>-2.23E-2</v>
      </c>
      <c r="E8">
        <v>2.1199136928976514E-2</v>
      </c>
      <c r="H8" t="s">
        <v>13</v>
      </c>
      <c r="O8">
        <f t="shared" si="0"/>
        <v>2.0906493574165347E-3</v>
      </c>
    </row>
    <row r="9" spans="1:15">
      <c r="A9" s="163">
        <v>44043</v>
      </c>
      <c r="B9">
        <v>5.4799999999999995E-2</v>
      </c>
      <c r="C9">
        <v>-2.3E-2</v>
      </c>
      <c r="D9">
        <v>-1.44E-2</v>
      </c>
      <c r="E9">
        <v>0.10481791800237959</v>
      </c>
      <c r="H9" t="s">
        <v>535</v>
      </c>
      <c r="I9" t="s">
        <v>529</v>
      </c>
      <c r="J9" t="s">
        <v>530</v>
      </c>
      <c r="K9" t="s">
        <v>159</v>
      </c>
      <c r="O9">
        <f t="shared" si="0"/>
        <v>7.6995936473643972E-2</v>
      </c>
    </row>
    <row r="10" spans="1:15">
      <c r="A10" s="163">
        <v>44074</v>
      </c>
      <c r="B10">
        <v>7.3399999999999993E-2</v>
      </c>
      <c r="C10">
        <v>-2.8000000000000004E-3</v>
      </c>
      <c r="D10">
        <v>-2.8799999999999999E-2</v>
      </c>
      <c r="E10">
        <v>6.9858070811028572E-2</v>
      </c>
      <c r="H10">
        <f>AVERAGE(B3:B62)</f>
        <v>9.5583333333333319E-3</v>
      </c>
      <c r="I10">
        <f>AVERAGE(C3:C62)</f>
        <v>-1.2016666666666656E-3</v>
      </c>
      <c r="J10">
        <f>AVERAGE(D3:D62)</f>
        <v>-1.5166666666666784E-4</v>
      </c>
      <c r="K10">
        <v>3.0000000000000001E-3</v>
      </c>
      <c r="O10">
        <f t="shared" si="0"/>
        <v>7.8627406894161103E-2</v>
      </c>
    </row>
    <row r="11" spans="1:15">
      <c r="A11" s="163">
        <v>44104</v>
      </c>
      <c r="B11">
        <v>-3.9200000000000006E-2</v>
      </c>
      <c r="C11">
        <v>-2.9999999999999997E-4</v>
      </c>
      <c r="D11">
        <v>-2.6499999999999999E-2</v>
      </c>
      <c r="E11">
        <v>-3.2984220473745371E-2</v>
      </c>
      <c r="O11">
        <f t="shared" si="0"/>
        <v>-3.6056133441042457E-2</v>
      </c>
    </row>
    <row r="12" spans="1:15">
      <c r="A12" s="163">
        <v>44135</v>
      </c>
      <c r="B12">
        <v>-2.3900000000000001E-2</v>
      </c>
      <c r="C12">
        <v>4.2699999999999995E-2</v>
      </c>
      <c r="D12">
        <v>4.3099999999999999E-2</v>
      </c>
      <c r="E12">
        <v>0.10954137693880825</v>
      </c>
      <c r="H12" t="s">
        <v>220</v>
      </c>
      <c r="O12">
        <f t="shared" si="0"/>
        <v>-5.6471421243713307E-2</v>
      </c>
    </row>
    <row r="13" spans="1:15">
      <c r="A13" s="163">
        <v>44165</v>
      </c>
      <c r="B13">
        <v>0.12180000000000001</v>
      </c>
      <c r="C13">
        <v>5.7200000000000001E-2</v>
      </c>
      <c r="D13">
        <v>2.1499999999999998E-2</v>
      </c>
      <c r="E13">
        <v>0.20785507338723636</v>
      </c>
      <c r="O13">
        <f t="shared" si="0"/>
        <v>7.7002602989826349E-2</v>
      </c>
    </row>
    <row r="14" spans="1:15">
      <c r="A14" s="163">
        <v>44196</v>
      </c>
      <c r="B14">
        <v>4.3399999999999994E-2</v>
      </c>
      <c r="C14">
        <v>4.7899999999999998E-2</v>
      </c>
      <c r="D14">
        <v>-1.34E-2</v>
      </c>
      <c r="E14">
        <v>3.7620595816895364E-2</v>
      </c>
      <c r="H14" t="s">
        <v>526</v>
      </c>
      <c r="I14" t="s">
        <v>527</v>
      </c>
      <c r="J14" t="s">
        <v>528</v>
      </c>
      <c r="K14" t="s">
        <v>188</v>
      </c>
      <c r="L14" t="s">
        <v>227</v>
      </c>
      <c r="M14" t="s">
        <v>169</v>
      </c>
      <c r="O14">
        <f t="shared" si="0"/>
        <v>6.2467289793668758E-3</v>
      </c>
    </row>
    <row r="15" spans="1:15">
      <c r="A15" s="163">
        <v>44226</v>
      </c>
      <c r="B15">
        <v>-3.2000000000000002E-3</v>
      </c>
      <c r="C15">
        <v>7.4999999999999997E-2</v>
      </c>
      <c r="D15">
        <v>2.8500000000000001E-2</v>
      </c>
      <c r="E15">
        <v>0.16941325695114212</v>
      </c>
      <c r="H15">
        <v>1</v>
      </c>
      <c r="I15">
        <v>-0.83714041789645499</v>
      </c>
      <c r="J15">
        <v>4.0481345815616999E-3</v>
      </c>
      <c r="K15">
        <f>SUMPRODUCT(H15:J15,H10:J10)</f>
        <v>1.05636831017607E-2</v>
      </c>
      <c r="L15">
        <f>SQRT(SUMPRODUCT(MMULT(H15:J15,H4:J6),H15:J15))</f>
        <v>5.2390095537870947E-2</v>
      </c>
      <c r="M15">
        <f>(K15)/L15</f>
        <v>0.2016351181135867</v>
      </c>
      <c r="O15">
        <f t="shared" si="0"/>
        <v>-6.2870159506659598E-2</v>
      </c>
    </row>
    <row r="16" spans="1:15">
      <c r="A16" s="163">
        <v>44255</v>
      </c>
      <c r="B16">
        <v>2.4799999999999999E-2</v>
      </c>
      <c r="C16">
        <v>2.07E-2</v>
      </c>
      <c r="D16">
        <v>7.0999999999999994E-2</v>
      </c>
      <c r="E16">
        <v>0.16024887878546956</v>
      </c>
      <c r="O16">
        <f t="shared" si="0"/>
        <v>1.0758610904834261E-2</v>
      </c>
    </row>
    <row r="17" spans="1:15">
      <c r="A17" s="163">
        <v>44286</v>
      </c>
      <c r="B17">
        <v>2.7800000000000002E-2</v>
      </c>
      <c r="C17">
        <v>-2.2799999999999997E-2</v>
      </c>
      <c r="D17">
        <v>7.2700000000000001E-2</v>
      </c>
      <c r="E17">
        <v>6.9368917590198115E-2</v>
      </c>
      <c r="O17">
        <f>SUMPRODUCT(B17:D17,$H$15:$J$15)+0.003</f>
        <v>5.0181100912118713E-2</v>
      </c>
    </row>
    <row r="18" spans="1:15">
      <c r="A18" s="163">
        <v>44316</v>
      </c>
      <c r="B18">
        <v>4.6299999999999994E-2</v>
      </c>
      <c r="C18">
        <v>-3.2000000000000001E-2</v>
      </c>
      <c r="D18">
        <v>-9.4999999999999998E-3</v>
      </c>
      <c r="E18">
        <v>-2.1744881508639208E-3</v>
      </c>
      <c r="O18">
        <f t="shared" si="0"/>
        <v>7.6050036094161722E-2</v>
      </c>
    </row>
    <row r="19" spans="1:15">
      <c r="A19" s="163">
        <v>44347</v>
      </c>
      <c r="B19">
        <v>-1.0000000000000026E-4</v>
      </c>
      <c r="C19">
        <v>-2.7000000000000001E-3</v>
      </c>
      <c r="D19">
        <v>7.1300000000000002E-2</v>
      </c>
      <c r="E19">
        <v>0.11817745394731871</v>
      </c>
      <c r="O19">
        <f t="shared" si="0"/>
        <v>5.4489111239857772E-3</v>
      </c>
    </row>
    <row r="20" spans="1:15">
      <c r="A20" s="163">
        <v>44377</v>
      </c>
      <c r="B20">
        <v>2.4500000000000001E-2</v>
      </c>
      <c r="C20">
        <v>1.6E-2</v>
      </c>
      <c r="D20">
        <v>-7.7499999999999999E-2</v>
      </c>
      <c r="E20">
        <v>-0.13729826510027049</v>
      </c>
      <c r="O20">
        <f t="shared" si="0"/>
        <v>1.3792022883585688E-2</v>
      </c>
    </row>
    <row r="21" spans="1:15">
      <c r="A21" s="163">
        <v>44408</v>
      </c>
      <c r="B21">
        <v>9.7000000000000003E-3</v>
      </c>
      <c r="C21">
        <v>-3.9399999999999998E-2</v>
      </c>
      <c r="D21">
        <v>-1.8100000000000002E-2</v>
      </c>
      <c r="E21">
        <v>-6.0470949580566959E-2</v>
      </c>
      <c r="O21">
        <f t="shared" si="0"/>
        <v>4.561006122919406E-2</v>
      </c>
    </row>
    <row r="22" spans="1:15">
      <c r="A22" s="163">
        <v>44439</v>
      </c>
      <c r="B22">
        <v>2.6100000000000002E-2</v>
      </c>
      <c r="C22">
        <v>-4.5999999999999999E-3</v>
      </c>
      <c r="D22">
        <v>-1E-3</v>
      </c>
      <c r="E22">
        <v>9.5179287955763275E-2</v>
      </c>
      <c r="O22">
        <f t="shared" si="0"/>
        <v>3.2946797787742135E-2</v>
      </c>
    </row>
    <row r="23" spans="1:15">
      <c r="A23" s="163">
        <v>44469</v>
      </c>
      <c r="B23">
        <v>-4.6700000000000005E-2</v>
      </c>
      <c r="C23">
        <v>6.7000000000000002E-3</v>
      </c>
      <c r="D23">
        <v>5.0999999999999997E-2</v>
      </c>
      <c r="E23">
        <v>4.4728025449628478E-2</v>
      </c>
      <c r="O23">
        <f t="shared" si="0"/>
        <v>-4.9102385936246606E-2</v>
      </c>
    </row>
    <row r="24" spans="1:15">
      <c r="A24" s="163">
        <v>44500</v>
      </c>
      <c r="B24">
        <v>6.3500000000000001E-2</v>
      </c>
      <c r="C24">
        <v>-2.3700000000000002E-2</v>
      </c>
      <c r="D24">
        <v>-4.5000000000000005E-3</v>
      </c>
      <c r="E24">
        <v>9.2179078132668499E-2</v>
      </c>
      <c r="O24">
        <f t="shared" si="0"/>
        <v>8.6322011298528956E-2</v>
      </c>
    </row>
    <row r="25" spans="1:15">
      <c r="A25" s="163">
        <v>44530</v>
      </c>
      <c r="B25">
        <v>-1.8500000000000003E-2</v>
      </c>
      <c r="C25">
        <v>-1.3200000000000002E-2</v>
      </c>
      <c r="D25">
        <v>-4.0999999999999995E-3</v>
      </c>
      <c r="E25">
        <v>-7.23425220250851E-3</v>
      </c>
      <c r="O25">
        <f t="shared" si="0"/>
        <v>-4.4663438355511988E-3</v>
      </c>
    </row>
    <row r="26" spans="1:15">
      <c r="A26" s="163">
        <v>44561</v>
      </c>
      <c r="B26">
        <v>2.81E-2</v>
      </c>
      <c r="C26">
        <v>-1.6399999999999998E-2</v>
      </c>
      <c r="D26">
        <v>3.2199999999999999E-2</v>
      </c>
      <c r="E26">
        <v>8.2122691576110657E-2</v>
      </c>
      <c r="O26">
        <f t="shared" si="0"/>
        <v>4.4959452787028148E-2</v>
      </c>
    </row>
    <row r="27" spans="1:15">
      <c r="A27" s="163">
        <v>44592</v>
      </c>
      <c r="B27">
        <v>-6.5500000000000003E-2</v>
      </c>
      <c r="C27">
        <v>-5.96E-2</v>
      </c>
      <c r="D27">
        <v>0.128</v>
      </c>
      <c r="E27">
        <v>4.0418785406013513E-2</v>
      </c>
      <c r="O27">
        <f t="shared" si="0"/>
        <v>-1.208826986693139E-2</v>
      </c>
    </row>
    <row r="28" spans="1:15">
      <c r="A28" s="163">
        <v>44620</v>
      </c>
      <c r="B28">
        <v>-2.5899999999999999E-2</v>
      </c>
      <c r="C28">
        <v>2.1899999999999999E-2</v>
      </c>
      <c r="D28">
        <v>3.1000000000000003E-2</v>
      </c>
      <c r="E28">
        <v>1.8625884482752306E-2</v>
      </c>
      <c r="O28">
        <f t="shared" si="0"/>
        <v>-4.1107882979903948E-2</v>
      </c>
    </row>
    <row r="29" spans="1:15">
      <c r="A29" s="163">
        <v>44651</v>
      </c>
      <c r="B29">
        <v>2.7699999999999999E-2</v>
      </c>
      <c r="C29">
        <v>-1.66E-2</v>
      </c>
      <c r="D29">
        <v>-1.7600000000000001E-2</v>
      </c>
      <c r="E29">
        <v>9.0335913627021938E-2</v>
      </c>
      <c r="O29">
        <f t="shared" si="0"/>
        <v>4.4525283768445674E-2</v>
      </c>
    </row>
    <row r="30" spans="1:15">
      <c r="A30" s="163">
        <v>44681</v>
      </c>
      <c r="B30">
        <v>-9.7500000000000017E-2</v>
      </c>
      <c r="C30">
        <v>-1.38E-2</v>
      </c>
      <c r="D30">
        <v>6.1699999999999998E-2</v>
      </c>
      <c r="E30">
        <v>-3.7699491735717752E-2</v>
      </c>
      <c r="O30">
        <f t="shared" si="0"/>
        <v>-8.2697692329346567E-2</v>
      </c>
    </row>
    <row r="31" spans="1:15">
      <c r="A31" s="163">
        <v>44712</v>
      </c>
      <c r="B31">
        <v>-6.1000000000000013E-3</v>
      </c>
      <c r="C31">
        <v>-1.9599999999999999E-2</v>
      </c>
      <c r="D31">
        <v>8.5900000000000004E-2</v>
      </c>
      <c r="E31">
        <v>0.11086683221249609</v>
      </c>
      <c r="O31">
        <f t="shared" si="0"/>
        <v>1.3655686951326667E-2</v>
      </c>
    </row>
    <row r="32" spans="1:15">
      <c r="A32" s="163">
        <v>44742</v>
      </c>
      <c r="B32">
        <v>-8.6799999999999988E-2</v>
      </c>
      <c r="C32">
        <v>2.1800000000000003E-2</v>
      </c>
      <c r="D32">
        <v>-6.0999999999999999E-2</v>
      </c>
      <c r="E32">
        <v>-0.17500813765247816</v>
      </c>
      <c r="O32">
        <f t="shared" si="0"/>
        <v>-0.10229659731961797</v>
      </c>
    </row>
    <row r="33" spans="1:15">
      <c r="A33" s="163">
        <v>44773</v>
      </c>
      <c r="B33">
        <v>9.35E-2</v>
      </c>
      <c r="C33">
        <v>2.7999999999999997E-2</v>
      </c>
      <c r="D33">
        <v>-4.0300000000000002E-2</v>
      </c>
      <c r="E33">
        <v>0.14754109573111868</v>
      </c>
      <c r="O33">
        <f t="shared" si="0"/>
        <v>7.2896928475262329E-2</v>
      </c>
    </row>
    <row r="34" spans="1:15">
      <c r="A34" s="163">
        <v>44804</v>
      </c>
      <c r="B34">
        <v>-3.8800000000000001E-2</v>
      </c>
      <c r="C34">
        <v>1.3999999999999999E-2</v>
      </c>
      <c r="D34">
        <v>2.8999999999999998E-3</v>
      </c>
      <c r="E34">
        <v>1.8195360102124983E-2</v>
      </c>
      <c r="O34">
        <f t="shared" si="0"/>
        <v>-4.7508226260263832E-2</v>
      </c>
    </row>
    <row r="35" spans="1:15">
      <c r="A35" s="163">
        <v>44834</v>
      </c>
      <c r="B35">
        <v>-9.4600000000000004E-2</v>
      </c>
      <c r="C35">
        <v>-8.199999999999999E-3</v>
      </c>
      <c r="D35">
        <v>2.0000000000000001E-4</v>
      </c>
      <c r="E35">
        <v>-8.5736978885543075E-2</v>
      </c>
      <c r="O35">
        <f t="shared" si="0"/>
        <v>-8.4734638946332763E-2</v>
      </c>
    </row>
    <row r="36" spans="1:15">
      <c r="A36" s="163">
        <v>44865</v>
      </c>
      <c r="B36">
        <v>7.7600000000000002E-2</v>
      </c>
      <c r="C36">
        <v>7.000000000000001E-4</v>
      </c>
      <c r="D36">
        <v>8.0600000000000005E-2</v>
      </c>
      <c r="E36">
        <v>0.2432676343652164</v>
      </c>
      <c r="O36">
        <f t="shared" si="0"/>
        <v>8.0340281354746357E-2</v>
      </c>
    </row>
    <row r="37" spans="1:15">
      <c r="A37" s="163">
        <v>44895</v>
      </c>
      <c r="B37">
        <v>4.5999999999999999E-2</v>
      </c>
      <c r="C37">
        <v>-3.5099999999999999E-2</v>
      </c>
      <c r="D37">
        <v>1.41E-2</v>
      </c>
      <c r="E37">
        <v>2.3987504942575566E-3</v>
      </c>
      <c r="O37">
        <f t="shared" si="0"/>
        <v>7.8440707365765597E-2</v>
      </c>
    </row>
    <row r="38" spans="1:15">
      <c r="A38" s="163">
        <v>44926</v>
      </c>
      <c r="B38">
        <v>-6.3799999999999996E-2</v>
      </c>
      <c r="C38">
        <v>-6.8999999999999999E-3</v>
      </c>
      <c r="D38">
        <v>1.34E-2</v>
      </c>
      <c r="E38">
        <v>-7.4817496404581477E-2</v>
      </c>
      <c r="O38">
        <f t="shared" si="0"/>
        <v>-5.4969486113121531E-2</v>
      </c>
    </row>
    <row r="39" spans="1:15">
      <c r="A39" s="163">
        <v>44957</v>
      </c>
      <c r="B39">
        <v>6.6899999999999987E-2</v>
      </c>
      <c r="C39">
        <v>5.0099999999999999E-2</v>
      </c>
      <c r="D39">
        <v>-0.04</v>
      </c>
      <c r="E39">
        <v>0.11481424564839804</v>
      </c>
      <c r="O39">
        <f t="shared" si="0"/>
        <v>2.7797339680125127E-2</v>
      </c>
    </row>
    <row r="40" spans="1:15">
      <c r="A40" s="163">
        <v>44985</v>
      </c>
      <c r="B40">
        <v>-2.5499999999999998E-2</v>
      </c>
      <c r="C40">
        <v>1.17E-2</v>
      </c>
      <c r="D40">
        <v>-8.3000000000000001E-3</v>
      </c>
      <c r="E40">
        <v>1.3733969208474736E-2</v>
      </c>
      <c r="O40">
        <f t="shared" si="0"/>
        <v>-3.2328142406415482E-2</v>
      </c>
    </row>
    <row r="41" spans="1:15">
      <c r="A41" s="163">
        <v>45016</v>
      </c>
      <c r="B41">
        <v>2.5699999999999997E-2</v>
      </c>
      <c r="C41">
        <v>-5.5099999999999996E-2</v>
      </c>
      <c r="D41">
        <v>-8.8699999999999987E-2</v>
      </c>
      <c r="E41">
        <v>-9.2168269158507468E-2</v>
      </c>
      <c r="O41">
        <f t="shared" si="0"/>
        <v>7.4467367488710134E-2</v>
      </c>
    </row>
    <row r="42" spans="1:15">
      <c r="A42" s="163">
        <v>45046</v>
      </c>
      <c r="B42">
        <v>6.5999999999999991E-3</v>
      </c>
      <c r="C42">
        <v>-3.3599999999999998E-2</v>
      </c>
      <c r="D42">
        <v>-5.0000000000000001E-4</v>
      </c>
      <c r="E42">
        <v>-4.6271936700092629E-2</v>
      </c>
      <c r="O42">
        <f t="shared" si="0"/>
        <v>3.772589397403011E-2</v>
      </c>
    </row>
    <row r="43" spans="1:15">
      <c r="A43" s="163">
        <v>45077</v>
      </c>
      <c r="B43">
        <v>4.0999999999999995E-3</v>
      </c>
      <c r="C43">
        <v>1.6E-2</v>
      </c>
      <c r="D43">
        <v>-7.740000000000001E-2</v>
      </c>
      <c r="E43">
        <v>-0.18647064829587937</v>
      </c>
      <c r="O43">
        <f t="shared" si="0"/>
        <v>-6.6075723029561549E-3</v>
      </c>
    </row>
    <row r="44" spans="1:15">
      <c r="A44" s="163">
        <v>45107</v>
      </c>
      <c r="B44">
        <v>6.5699999999999995E-2</v>
      </c>
      <c r="C44">
        <v>1.5500000000000002E-2</v>
      </c>
      <c r="D44">
        <v>-2E-3</v>
      </c>
      <c r="E44">
        <v>0.16006857484732756</v>
      </c>
      <c r="O44">
        <f t="shared" si="0"/>
        <v>5.5716227253441823E-2</v>
      </c>
    </row>
    <row r="45" spans="1:15">
      <c r="A45" s="163">
        <v>45138</v>
      </c>
      <c r="B45">
        <v>3.3599999999999998E-2</v>
      </c>
      <c r="C45">
        <v>2.0499999999999997E-2</v>
      </c>
      <c r="D45">
        <v>4.1100000000000005E-2</v>
      </c>
      <c r="E45">
        <v>5.559692875509617E-2</v>
      </c>
      <c r="O45">
        <f t="shared" si="0"/>
        <v>1.9604999764424858E-2</v>
      </c>
    </row>
    <row r="46" spans="1:15">
      <c r="A46" s="163">
        <v>45169</v>
      </c>
      <c r="B46">
        <v>-2.24E-2</v>
      </c>
      <c r="C46">
        <v>-3.2000000000000001E-2</v>
      </c>
      <c r="D46">
        <v>-1.0800000000000001E-2</v>
      </c>
      <c r="E46">
        <v>-9.5750243981971878E-2</v>
      </c>
      <c r="O46">
        <f t="shared" si="0"/>
        <v>7.3447735192056929E-3</v>
      </c>
    </row>
    <row r="47" spans="1:15">
      <c r="A47" s="163">
        <v>45199</v>
      </c>
      <c r="B47">
        <v>-5.1100000000000007E-2</v>
      </c>
      <c r="C47">
        <v>-2.4900000000000002E-2</v>
      </c>
      <c r="D47">
        <v>1.4499999999999999E-2</v>
      </c>
      <c r="E47">
        <v>-8.6014078768754845E-2</v>
      </c>
      <c r="O47">
        <f t="shared" si="0"/>
        <v>-2.7196505642945634E-2</v>
      </c>
    </row>
    <row r="48" spans="1:15">
      <c r="A48" s="163">
        <v>45230</v>
      </c>
      <c r="B48">
        <v>-3.0099999999999998E-2</v>
      </c>
      <c r="C48">
        <v>-3.8800000000000001E-2</v>
      </c>
      <c r="D48">
        <v>1.9E-3</v>
      </c>
      <c r="E48">
        <v>-4.6569740898201706E-2</v>
      </c>
      <c r="O48">
        <f t="shared" si="0"/>
        <v>5.3887396700874231E-3</v>
      </c>
    </row>
    <row r="49" spans="1:15">
      <c r="A49" s="163">
        <v>45260</v>
      </c>
      <c r="B49">
        <v>8.9699999999999988E-2</v>
      </c>
      <c r="C49">
        <v>-2.9999999999999997E-4</v>
      </c>
      <c r="D49">
        <v>1.66E-2</v>
      </c>
      <c r="E49">
        <v>0.18322435880825855</v>
      </c>
      <c r="O49">
        <f t="shared" si="0"/>
        <v>9.3018341159422854E-2</v>
      </c>
    </row>
    <row r="50" spans="1:15">
      <c r="A50" s="163">
        <v>45291</v>
      </c>
      <c r="B50">
        <v>4.9999999999999996E-2</v>
      </c>
      <c r="C50">
        <v>6.3600000000000004E-2</v>
      </c>
      <c r="D50">
        <v>4.9200000000000001E-2</v>
      </c>
      <c r="E50">
        <v>0.17127191585869064</v>
      </c>
      <c r="O50">
        <f t="shared" si="0"/>
        <v>-4.2962356801705924E-5</v>
      </c>
    </row>
    <row r="51" spans="1:15">
      <c r="A51" s="163">
        <v>45322</v>
      </c>
      <c r="B51">
        <v>8.6999999999999994E-3</v>
      </c>
      <c r="C51">
        <v>-5.0199999999999995E-2</v>
      </c>
      <c r="D51">
        <v>-2.4700000000000003E-2</v>
      </c>
      <c r="E51">
        <v>1.6611988310045553E-2</v>
      </c>
      <c r="O51">
        <f t="shared" si="0"/>
        <v>5.3624460054237467E-2</v>
      </c>
    </row>
    <row r="52" spans="1:15">
      <c r="A52" s="163">
        <v>45351</v>
      </c>
      <c r="B52">
        <v>5.1900000000000002E-2</v>
      </c>
      <c r="C52">
        <v>-2.2000000000000001E-3</v>
      </c>
      <c r="D52">
        <v>-3.5200000000000002E-2</v>
      </c>
      <c r="E52">
        <v>9.1236014302582477E-2</v>
      </c>
      <c r="O52">
        <f t="shared" si="0"/>
        <v>5.659921458210123E-2</v>
      </c>
    </row>
    <row r="53" spans="1:15">
      <c r="A53" s="163">
        <v>45382</v>
      </c>
      <c r="B53">
        <v>2.9600000000000005E-2</v>
      </c>
      <c r="C53">
        <v>-2.5099999999999997E-2</v>
      </c>
      <c r="D53">
        <v>4.2200000000000001E-2</v>
      </c>
      <c r="E53">
        <v>0.13029468993137824</v>
      </c>
      <c r="O53">
        <f t="shared" si="0"/>
        <v>5.3783055768542934E-2</v>
      </c>
    </row>
    <row r="54" spans="1:15">
      <c r="A54" s="163">
        <v>45412</v>
      </c>
      <c r="B54">
        <v>-4.5000000000000005E-2</v>
      </c>
      <c r="C54">
        <v>-2.3900000000000001E-2</v>
      </c>
      <c r="D54">
        <v>-5.2000000000000006E-3</v>
      </c>
      <c r="E54">
        <v>-0.14116254722726998</v>
      </c>
      <c r="O54">
        <f t="shared" si="0"/>
        <v>-2.2013394312098852E-2</v>
      </c>
    </row>
    <row r="55" spans="1:15">
      <c r="A55" s="163">
        <v>45443</v>
      </c>
      <c r="B55">
        <v>4.48E-2</v>
      </c>
      <c r="C55">
        <v>7.8000000000000005E-3</v>
      </c>
      <c r="D55">
        <v>-1.67E-2</v>
      </c>
      <c r="E55">
        <v>1.8785491332500237E-2</v>
      </c>
      <c r="O55">
        <f t="shared" si="0"/>
        <v>4.1202700892895572E-2</v>
      </c>
    </row>
    <row r="56" spans="1:15">
      <c r="A56" s="163">
        <v>45473</v>
      </c>
      <c r="B56">
        <v>2.8800000000000003E-2</v>
      </c>
      <c r="C56">
        <v>-3.0600000000000002E-2</v>
      </c>
      <c r="D56">
        <v>-3.3100000000000004E-2</v>
      </c>
      <c r="E56">
        <v>-1.9572667359749323E-2</v>
      </c>
      <c r="O56">
        <f t="shared" si="0"/>
        <v>5.7282503532981838E-2</v>
      </c>
    </row>
    <row r="57" spans="1:15">
      <c r="A57" s="163">
        <v>45504</v>
      </c>
      <c r="B57">
        <v>1.3899999999999999E-2</v>
      </c>
      <c r="C57">
        <v>6.8000000000000005E-2</v>
      </c>
      <c r="D57">
        <v>5.7400000000000007E-2</v>
      </c>
      <c r="E57">
        <v>0.11549046521300219</v>
      </c>
      <c r="O57">
        <f t="shared" si="0"/>
        <v>-3.9793185491977308E-2</v>
      </c>
    </row>
    <row r="58" spans="1:15">
      <c r="A58" s="163">
        <v>45535</v>
      </c>
      <c r="B58">
        <v>1.7899999999999999E-2</v>
      </c>
      <c r="C58">
        <v>-3.5499999999999997E-2</v>
      </c>
      <c r="D58">
        <v>-1.1299999999999999E-2</v>
      </c>
      <c r="E58">
        <v>4.7550061132039412E-2</v>
      </c>
      <c r="O58">
        <f t="shared" si="0"/>
        <v>5.0572740914552501E-2</v>
      </c>
    </row>
    <row r="59" spans="1:15">
      <c r="A59" s="163">
        <v>45565</v>
      </c>
      <c r="B59">
        <v>1.8400000000000003E-2</v>
      </c>
      <c r="C59">
        <v>-1.7000000000000001E-3</v>
      </c>
      <c r="D59">
        <v>-2.5899999999999999E-2</v>
      </c>
      <c r="E59">
        <v>2.3390507520367396E-2</v>
      </c>
      <c r="O59">
        <f t="shared" si="0"/>
        <v>2.2718292024761527E-2</v>
      </c>
    </row>
    <row r="60" spans="1:15">
      <c r="A60" s="163">
        <v>45596</v>
      </c>
      <c r="B60">
        <v>-8.7999999999999988E-3</v>
      </c>
      <c r="C60">
        <v>-1.01E-2</v>
      </c>
      <c r="D60">
        <v>8.8999999999999999E-3</v>
      </c>
      <c r="E60">
        <v>3.5833520382989661E-2</v>
      </c>
      <c r="O60">
        <f t="shared" si="0"/>
        <v>2.6911466185300958E-3</v>
      </c>
    </row>
    <row r="61" spans="1:15">
      <c r="A61" s="163">
        <v>45626</v>
      </c>
      <c r="B61">
        <v>6.6100000000000006E-2</v>
      </c>
      <c r="C61">
        <v>4.6300000000000001E-2</v>
      </c>
      <c r="D61">
        <v>-5.0000000000000001E-4</v>
      </c>
      <c r="E61">
        <v>0.1810695162794064</v>
      </c>
      <c r="O61">
        <f t="shared" si="0"/>
        <v>3.0338374584103361E-2</v>
      </c>
    </row>
    <row r="62" spans="1:15">
      <c r="A62" s="163">
        <v>45657</v>
      </c>
      <c r="B62">
        <v>-3.0999999999999996E-2</v>
      </c>
      <c r="C62">
        <v>-2.7300000000000001E-2</v>
      </c>
      <c r="D62">
        <v>-2.9500000000000002E-2</v>
      </c>
      <c r="E62">
        <v>-9.2779558790263256E-2</v>
      </c>
      <c r="O62">
        <f t="shared" si="0"/>
        <v>-5.2654865615828434E-3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3CC5F-B6E2-4A46-A67D-3A6D27E56643}">
  <dimension ref="A1:N740"/>
  <sheetViews>
    <sheetView workbookViewId="0">
      <selection activeCell="P16" sqref="P16"/>
    </sheetView>
  </sheetViews>
  <sheetFormatPr defaultRowHeight="14.5"/>
  <cols>
    <col min="2" max="2" width="10.81640625" bestFit="1" customWidth="1"/>
  </cols>
  <sheetData>
    <row r="1" spans="1:14">
      <c r="I1" t="s">
        <v>157</v>
      </c>
    </row>
    <row r="2" spans="1:14">
      <c r="B2" t="s">
        <v>546</v>
      </c>
      <c r="C2" t="s">
        <v>537</v>
      </c>
      <c r="D2" t="s">
        <v>538</v>
      </c>
      <c r="E2" t="s">
        <v>539</v>
      </c>
      <c r="F2" t="s">
        <v>540</v>
      </c>
      <c r="G2" t="s">
        <v>547</v>
      </c>
      <c r="J2" t="s">
        <v>541</v>
      </c>
      <c r="K2" t="s">
        <v>537</v>
      </c>
      <c r="L2" t="s">
        <v>538</v>
      </c>
      <c r="M2" t="s">
        <v>539</v>
      </c>
      <c r="N2" t="s">
        <v>540</v>
      </c>
    </row>
    <row r="3" spans="1:14">
      <c r="A3">
        <v>196307</v>
      </c>
      <c r="B3">
        <v>-3.9000000000000003E-3</v>
      </c>
      <c r="C3">
        <v>-4.0999999999999995E-3</v>
      </c>
      <c r="D3">
        <v>-9.7000000000000003E-3</v>
      </c>
      <c r="E3">
        <v>6.8000000000000005E-3</v>
      </c>
      <c r="F3">
        <v>-1.18E-2</v>
      </c>
      <c r="G3">
        <v>2.7000000000000001E-3</v>
      </c>
      <c r="I3" t="s">
        <v>541</v>
      </c>
      <c r="J3">
        <f>COVAR($B3:$B740,B3:B740)</f>
        <v>2.0041296881816353E-3</v>
      </c>
      <c r="K3">
        <f>COVAR($B3:$B740,C3:C740)</f>
        <v>3.8412403529645078E-4</v>
      </c>
      <c r="L3">
        <f>COVAR($B3:$B740,D3:D740)</f>
        <v>-2.7195113490647112E-4</v>
      </c>
      <c r="M3">
        <f>COVAR($B3:$B740,E3:E740)</f>
        <v>-1.8702680464670481E-4</v>
      </c>
      <c r="N3">
        <f>COVAR($B3:$B740,F3:F740)</f>
        <v>-3.3527600287527296E-4</v>
      </c>
    </row>
    <row r="4" spans="1:14">
      <c r="A4">
        <v>196308</v>
      </c>
      <c r="B4">
        <v>5.0700000000000002E-2</v>
      </c>
      <c r="C4">
        <v>-8.0000000000000002E-3</v>
      </c>
      <c r="D4">
        <v>1.8000000000000002E-2</v>
      </c>
      <c r="E4">
        <v>3.5999999999999999E-3</v>
      </c>
      <c r="F4">
        <v>-3.4999999999999996E-3</v>
      </c>
      <c r="G4">
        <v>2.5000000000000001E-3</v>
      </c>
      <c r="I4" t="s">
        <v>537</v>
      </c>
      <c r="J4">
        <f>COVAR(B3:B740,$C3:$C740)</f>
        <v>3.8412403529645078E-4</v>
      </c>
      <c r="K4">
        <f>COVAR(C3:C740,$C3:$C740)</f>
        <v>9.2892586856735708E-4</v>
      </c>
      <c r="L4">
        <f>COVAR(D3:D740,$C3:$C740)</f>
        <v>4.3529480908630639E-6</v>
      </c>
      <c r="M4">
        <f>COVAR(E3:E740,$C3:$C740)</f>
        <v>-2.3892989361858397E-4</v>
      </c>
      <c r="N4">
        <f>COVAR(F3:F740,$C3:$C740)</f>
        <v>-5.4536118271751863E-5</v>
      </c>
    </row>
    <row r="5" spans="1:14">
      <c r="A5">
        <v>196309</v>
      </c>
      <c r="B5">
        <v>-1.5700000000000002E-2</v>
      </c>
      <c r="C5">
        <v>-5.2000000000000006E-3</v>
      </c>
      <c r="D5">
        <v>1.3000000000000002E-3</v>
      </c>
      <c r="E5">
        <v>-7.0999999999999995E-3</v>
      </c>
      <c r="F5">
        <v>2.8999999999999998E-3</v>
      </c>
      <c r="G5">
        <v>2.7000000000000001E-3</v>
      </c>
      <c r="I5" t="s">
        <v>538</v>
      </c>
      <c r="J5">
        <f>COVAR(B3:B740,$D3:$D740)</f>
        <v>-2.7195113490647112E-4</v>
      </c>
      <c r="K5">
        <f>COVAR(C3:C740,$D3:$D740)</f>
        <v>4.3529480908630639E-6</v>
      </c>
      <c r="L5">
        <f>COVAR(D3:D740,$D3:$D740)</f>
        <v>8.9567844338687226E-4</v>
      </c>
      <c r="M5">
        <f>COVAR(E3:E740,$D3:$D740)</f>
        <v>5.4400758697424351E-5</v>
      </c>
      <c r="N5">
        <f>COVAR(F3:F740,$D3:$D740)</f>
        <v>4.2427480005287853E-4</v>
      </c>
    </row>
    <row r="6" spans="1:14">
      <c r="A6">
        <v>196310</v>
      </c>
      <c r="B6">
        <v>2.53E-2</v>
      </c>
      <c r="C6">
        <v>-1.3899999999999999E-2</v>
      </c>
      <c r="D6">
        <v>-1E-3</v>
      </c>
      <c r="E6">
        <v>2.7999999999999997E-2</v>
      </c>
      <c r="F6">
        <v>-2.01E-2</v>
      </c>
      <c r="G6">
        <v>2.8999999999999998E-3</v>
      </c>
      <c r="I6" t="s">
        <v>539</v>
      </c>
      <c r="J6">
        <f>COVAR(B3:B740,$E3:$E740)</f>
        <v>-1.8702680464670481E-4</v>
      </c>
      <c r="K6">
        <f>COVAR(C3:C740,$E3:$E740)</f>
        <v>-2.3892989361858397E-4</v>
      </c>
      <c r="L6">
        <f>COVAR(D3:D740,$E3:$E740)</f>
        <v>5.4400758697424351E-5</v>
      </c>
      <c r="M6">
        <f>COVAR(E3:E740,$E3:$E740)</f>
        <v>4.9052358371707053E-4</v>
      </c>
      <c r="N6">
        <f>COVAR(F3:F740,$E3:$E740)</f>
        <v>-5.9263529755215655E-6</v>
      </c>
    </row>
    <row r="7" spans="1:14">
      <c r="A7">
        <v>196311</v>
      </c>
      <c r="B7">
        <v>-8.5000000000000006E-3</v>
      </c>
      <c r="C7">
        <v>-8.8000000000000005E-3</v>
      </c>
      <c r="D7">
        <v>1.7500000000000002E-2</v>
      </c>
      <c r="E7">
        <v>-5.1000000000000004E-3</v>
      </c>
      <c r="F7">
        <v>2.2400000000000003E-2</v>
      </c>
      <c r="G7">
        <v>2.7000000000000001E-3</v>
      </c>
      <c r="I7" t="s">
        <v>540</v>
      </c>
      <c r="J7">
        <f>COVAR(B3:B740,$F3:$F740)</f>
        <v>-3.3527600287527296E-4</v>
      </c>
      <c r="K7">
        <f>COVAR(C3:C740,$F3:$F740)</f>
        <v>-5.4536118271751863E-5</v>
      </c>
      <c r="L7">
        <f>COVAR(D3:D740,$F3:$F740)</f>
        <v>4.2427480005287853E-4</v>
      </c>
      <c r="M7">
        <f>COVAR(E3:E740,$F3:$F740)</f>
        <v>-5.9263529755215655E-6</v>
      </c>
      <c r="N7">
        <f>COVAR(F3:F740,$F3:$F740)</f>
        <v>4.2868527083746454E-4</v>
      </c>
    </row>
    <row r="8" spans="1:14">
      <c r="A8">
        <v>196312</v>
      </c>
      <c r="B8">
        <v>1.83E-2</v>
      </c>
      <c r="C8">
        <v>-2.1000000000000001E-2</v>
      </c>
      <c r="D8">
        <v>-2.0000000000000001E-4</v>
      </c>
      <c r="E8">
        <v>2.9999999999999997E-4</v>
      </c>
      <c r="F8">
        <v>-7.000000000000001E-4</v>
      </c>
      <c r="G8">
        <v>2.8999999999999998E-3</v>
      </c>
    </row>
    <row r="9" spans="1:14">
      <c r="A9">
        <v>196401</v>
      </c>
      <c r="B9">
        <v>2.2400000000000003E-2</v>
      </c>
      <c r="C9">
        <v>1.3000000000000002E-3</v>
      </c>
      <c r="D9">
        <v>1.4800000000000001E-2</v>
      </c>
      <c r="E9">
        <v>1.7000000000000001E-3</v>
      </c>
      <c r="F9">
        <v>1.47E-2</v>
      </c>
      <c r="G9">
        <v>3.0000000000000001E-3</v>
      </c>
      <c r="I9" t="s">
        <v>542</v>
      </c>
    </row>
    <row r="10" spans="1:14">
      <c r="A10">
        <v>196402</v>
      </c>
      <c r="B10">
        <v>1.54E-2</v>
      </c>
      <c r="C10">
        <v>2.8000000000000004E-3</v>
      </c>
      <c r="D10">
        <v>2.81E-2</v>
      </c>
      <c r="E10">
        <v>-5.0000000000000001E-4</v>
      </c>
      <c r="F10">
        <v>9.1000000000000004E-3</v>
      </c>
      <c r="G10">
        <v>2.6000000000000003E-3</v>
      </c>
      <c r="J10" t="s">
        <v>546</v>
      </c>
      <c r="K10" t="s">
        <v>537</v>
      </c>
      <c r="L10" t="s">
        <v>538</v>
      </c>
      <c r="M10" t="s">
        <v>539</v>
      </c>
      <c r="N10" t="s">
        <v>540</v>
      </c>
    </row>
    <row r="11" spans="1:14">
      <c r="A11">
        <v>196403</v>
      </c>
      <c r="B11">
        <v>1.41E-2</v>
      </c>
      <c r="C11">
        <v>1.23E-2</v>
      </c>
      <c r="D11">
        <v>3.4000000000000002E-2</v>
      </c>
      <c r="E11">
        <v>-2.2100000000000002E-2</v>
      </c>
      <c r="F11">
        <v>3.2199999999999999E-2</v>
      </c>
      <c r="G11">
        <v>3.0999999999999999E-3</v>
      </c>
      <c r="J11">
        <f>AVERAGE(B3:B740)</f>
        <v>5.8329268292682916E-3</v>
      </c>
      <c r="K11">
        <f>AVERAGE(C3:C740)</f>
        <v>1.9712737127371279E-3</v>
      </c>
      <c r="L11">
        <f>AVERAGE(D3:D740)</f>
        <v>2.7747967479674774E-3</v>
      </c>
      <c r="M11">
        <f>AVERAGE(E3:E740)</f>
        <v>2.8494579945799459E-3</v>
      </c>
      <c r="N11">
        <f>AVERAGE(F3:F740)</f>
        <v>2.566260162601623E-3</v>
      </c>
    </row>
    <row r="12" spans="1:14">
      <c r="A12">
        <v>196404</v>
      </c>
      <c r="B12">
        <v>1E-3</v>
      </c>
      <c r="C12">
        <v>-1.52E-2</v>
      </c>
      <c r="D12">
        <v>-6.7000000000000002E-3</v>
      </c>
      <c r="E12">
        <v>-1.2700000000000001E-2</v>
      </c>
      <c r="F12">
        <v>-1.0800000000000001E-2</v>
      </c>
      <c r="G12">
        <v>2.8999999999999998E-3</v>
      </c>
    </row>
    <row r="13" spans="1:14">
      <c r="A13">
        <v>196405</v>
      </c>
      <c r="B13">
        <v>1.4199999999999999E-2</v>
      </c>
      <c r="C13">
        <v>-6.3E-3</v>
      </c>
      <c r="D13">
        <v>1.8600000000000002E-2</v>
      </c>
      <c r="E13">
        <v>-1.6000000000000001E-3</v>
      </c>
      <c r="F13">
        <v>1.7000000000000001E-3</v>
      </c>
      <c r="G13">
        <v>2.6000000000000003E-3</v>
      </c>
      <c r="I13" t="s">
        <v>543</v>
      </c>
    </row>
    <row r="14" spans="1:14">
      <c r="A14">
        <v>196406</v>
      </c>
      <c r="B14">
        <v>1.2700000000000001E-2</v>
      </c>
      <c r="C14">
        <v>2.8999999999999998E-3</v>
      </c>
      <c r="D14">
        <v>6.1999999999999998E-3</v>
      </c>
      <c r="E14">
        <v>-2.8000000000000004E-3</v>
      </c>
      <c r="F14">
        <v>-1.7000000000000001E-3</v>
      </c>
      <c r="G14">
        <v>3.0000000000000001E-3</v>
      </c>
      <c r="J14" t="s">
        <v>541</v>
      </c>
      <c r="K14" t="s">
        <v>537</v>
      </c>
      <c r="L14" t="s">
        <v>538</v>
      </c>
      <c r="M14" t="s">
        <v>539</v>
      </c>
      <c r="N14" t="s">
        <v>540</v>
      </c>
    </row>
    <row r="15" spans="1:14">
      <c r="A15">
        <v>196407</v>
      </c>
      <c r="B15">
        <v>1.7399999999999999E-2</v>
      </c>
      <c r="C15">
        <v>5.0000000000000001E-3</v>
      </c>
      <c r="D15">
        <v>7.4999999999999997E-3</v>
      </c>
      <c r="E15">
        <v>8.0000000000000004E-4</v>
      </c>
      <c r="F15">
        <v>1.9099999999999999E-2</v>
      </c>
      <c r="G15">
        <v>3.0000000000000001E-3</v>
      </c>
      <c r="J15">
        <v>1</v>
      </c>
      <c r="K15">
        <v>0.65518127113324676</v>
      </c>
      <c r="L15">
        <v>-0.35215988990024305</v>
      </c>
      <c r="M15">
        <v>1.9349912392539894</v>
      </c>
      <c r="N15">
        <v>2.4423468524103691</v>
      </c>
    </row>
    <row r="16" spans="1:14">
      <c r="A16">
        <v>196408</v>
      </c>
      <c r="B16">
        <v>-1.44E-2</v>
      </c>
      <c r="C16">
        <v>4.0999999999999995E-3</v>
      </c>
      <c r="D16">
        <v>8.0000000000000004E-4</v>
      </c>
      <c r="E16">
        <v>1.1999999999999999E-3</v>
      </c>
      <c r="F16">
        <v>3.4999999999999996E-3</v>
      </c>
      <c r="G16">
        <v>2.8000000000000004E-3</v>
      </c>
    </row>
    <row r="17" spans="1:11">
      <c r="A17">
        <v>196409</v>
      </c>
      <c r="B17">
        <v>2.69E-2</v>
      </c>
      <c r="C17">
        <v>-3.4000000000000002E-3</v>
      </c>
      <c r="D17">
        <v>1.7000000000000001E-2</v>
      </c>
      <c r="E17">
        <v>-5.6000000000000008E-3</v>
      </c>
      <c r="F17">
        <v>6.1999999999999998E-3</v>
      </c>
      <c r="G17">
        <v>2.8000000000000004E-3</v>
      </c>
      <c r="J17" t="s">
        <v>544</v>
      </c>
      <c r="K17" t="s">
        <v>229</v>
      </c>
    </row>
    <row r="18" spans="1:11">
      <c r="A18">
        <v>196410</v>
      </c>
      <c r="B18">
        <v>5.8999999999999999E-3</v>
      </c>
      <c r="C18">
        <v>8.6999999999999994E-3</v>
      </c>
      <c r="D18">
        <v>1.17E-2</v>
      </c>
      <c r="E18">
        <v>-4.3E-3</v>
      </c>
      <c r="F18">
        <v>4.7000000000000002E-3</v>
      </c>
      <c r="G18">
        <v>2.8999999999999998E-3</v>
      </c>
      <c r="I18" t="s">
        <v>188</v>
      </c>
      <c r="J18">
        <f>SUMPRODUCT(J11:N11,J15:N15)</f>
        <v>1.7928670015601812E-2</v>
      </c>
      <c r="K18">
        <f>J18*12</f>
        <v>0.21514404018722175</v>
      </c>
    </row>
    <row r="19" spans="1:11">
      <c r="A19">
        <v>196411</v>
      </c>
      <c r="B19">
        <v>0</v>
      </c>
      <c r="C19">
        <v>-1.5E-3</v>
      </c>
      <c r="D19">
        <v>-1.9599999999999999E-2</v>
      </c>
      <c r="E19">
        <v>6.3E-3</v>
      </c>
      <c r="F19">
        <v>-2.6000000000000003E-3</v>
      </c>
      <c r="G19">
        <v>2.8999999999999998E-3</v>
      </c>
      <c r="I19" t="s">
        <v>24</v>
      </c>
      <c r="J19">
        <f>SUMPRODUCT(MMULT(J15:N15,J3:N7),J15:N15)</f>
        <v>3.5987295960525946E-3</v>
      </c>
      <c r="K19">
        <f>J19*12</f>
        <v>4.3184755152631135E-2</v>
      </c>
    </row>
    <row r="20" spans="1:11">
      <c r="A20">
        <v>196412</v>
      </c>
      <c r="B20">
        <v>2.9999999999999997E-4</v>
      </c>
      <c r="C20">
        <v>-6.8999999999999999E-3</v>
      </c>
      <c r="D20">
        <v>-2.4799999999999999E-2</v>
      </c>
      <c r="E20">
        <v>1.0700000000000001E-2</v>
      </c>
      <c r="F20">
        <v>-1.4999999999999999E-2</v>
      </c>
      <c r="G20">
        <v>3.0999999999999999E-3</v>
      </c>
      <c r="I20" t="s">
        <v>545</v>
      </c>
      <c r="J20">
        <f>SQRT(J19)</f>
        <v>5.9989412366288394E-2</v>
      </c>
      <c r="K20">
        <f>J20*SQRT(12)</f>
        <v>0.20780942026922442</v>
      </c>
    </row>
    <row r="21" spans="1:11">
      <c r="A21">
        <v>196501</v>
      </c>
      <c r="B21">
        <v>3.5400000000000001E-2</v>
      </c>
      <c r="C21">
        <v>2.4400000000000002E-2</v>
      </c>
      <c r="D21">
        <v>1.1999999999999999E-3</v>
      </c>
      <c r="E21">
        <v>9.1000000000000004E-3</v>
      </c>
      <c r="F21">
        <v>1E-3</v>
      </c>
      <c r="G21">
        <v>2.8000000000000004E-3</v>
      </c>
      <c r="I21" t="s">
        <v>169</v>
      </c>
      <c r="J21">
        <f>J18/J20</f>
        <v>0.29886390461922568</v>
      </c>
      <c r="K21">
        <f>K18/K20</f>
        <v>1.0352949346978355</v>
      </c>
    </row>
    <row r="22" spans="1:11">
      <c r="A22">
        <v>196502</v>
      </c>
      <c r="B22">
        <v>4.4000000000000003E-3</v>
      </c>
      <c r="C22">
        <v>3.3100000000000004E-2</v>
      </c>
      <c r="D22">
        <v>1.1000000000000001E-3</v>
      </c>
      <c r="E22">
        <v>2.3E-3</v>
      </c>
      <c r="F22">
        <v>-6.8000000000000005E-3</v>
      </c>
      <c r="G22">
        <v>3.0000000000000001E-3</v>
      </c>
    </row>
    <row r="23" spans="1:11">
      <c r="A23">
        <v>196503</v>
      </c>
      <c r="B23">
        <v>-1.34E-2</v>
      </c>
      <c r="C23">
        <v>2.12E-2</v>
      </c>
      <c r="D23">
        <v>1.03E-2</v>
      </c>
      <c r="E23">
        <v>-3.2000000000000002E-3</v>
      </c>
      <c r="F23">
        <v>6.8999999999999999E-3</v>
      </c>
      <c r="G23">
        <v>3.5999999999999999E-3</v>
      </c>
      <c r="J23" t="s">
        <v>541</v>
      </c>
      <c r="K23" t="s">
        <v>229</v>
      </c>
    </row>
    <row r="24" spans="1:11">
      <c r="A24">
        <v>196504</v>
      </c>
      <c r="B24">
        <v>3.1099999999999999E-2</v>
      </c>
      <c r="C24">
        <v>1.0500000000000001E-2</v>
      </c>
      <c r="D24">
        <v>6.6000000000000008E-3</v>
      </c>
      <c r="E24">
        <v>3.0000000000000001E-3</v>
      </c>
      <c r="F24">
        <v>-2.2000000000000002E-2</v>
      </c>
      <c r="G24">
        <v>3.0999999999999999E-3</v>
      </c>
      <c r="I24" t="s">
        <v>188</v>
      </c>
      <c r="J24">
        <f>J11</f>
        <v>5.8329268292682916E-3</v>
      </c>
      <c r="K24">
        <f>J24*12</f>
        <v>6.9995121951219499E-2</v>
      </c>
    </row>
    <row r="25" spans="1:11">
      <c r="A25">
        <v>196505</v>
      </c>
      <c r="B25">
        <v>-7.7000000000000002E-3</v>
      </c>
      <c r="C25">
        <v>1E-3</v>
      </c>
      <c r="D25">
        <v>-1.61E-2</v>
      </c>
      <c r="E25">
        <v>-4.5000000000000005E-3</v>
      </c>
      <c r="F25">
        <v>5.3E-3</v>
      </c>
      <c r="G25">
        <v>3.0999999999999999E-3</v>
      </c>
      <c r="I25" t="s">
        <v>42</v>
      </c>
      <c r="J25">
        <f>SQRT(J3)</f>
        <v>4.4767507057928022E-2</v>
      </c>
      <c r="K25">
        <f>J25*SQRT(12)</f>
        <v>0.15507919350505928</v>
      </c>
    </row>
    <row r="26" spans="1:11">
      <c r="A26">
        <v>196506</v>
      </c>
      <c r="B26">
        <v>-5.5099999999999996E-2</v>
      </c>
      <c r="C26">
        <v>-4.2800000000000005E-2</v>
      </c>
      <c r="D26">
        <v>5.8999999999999999E-3</v>
      </c>
      <c r="E26">
        <v>2.2000000000000001E-3</v>
      </c>
      <c r="F26">
        <v>3.7000000000000002E-3</v>
      </c>
      <c r="G26">
        <v>3.4999999999999996E-3</v>
      </c>
      <c r="I26" t="s">
        <v>169</v>
      </c>
      <c r="J26">
        <f>J24/J25</f>
        <v>0.13029376019800773</v>
      </c>
      <c r="K26">
        <f>K24/K25</f>
        <v>0.45135082514428987</v>
      </c>
    </row>
    <row r="27" spans="1:11">
      <c r="A27">
        <v>196507</v>
      </c>
      <c r="B27">
        <v>1.43E-2</v>
      </c>
      <c r="C27">
        <v>1.0800000000000001E-2</v>
      </c>
      <c r="D27">
        <v>2.2000000000000002E-2</v>
      </c>
      <c r="E27">
        <v>-1.3700000000000002E-2</v>
      </c>
      <c r="F27">
        <v>2.9999999999999997E-4</v>
      </c>
      <c r="G27">
        <v>3.0999999999999999E-3</v>
      </c>
    </row>
    <row r="28" spans="1:11">
      <c r="A28">
        <v>196508</v>
      </c>
      <c r="B28">
        <v>2.7300000000000001E-2</v>
      </c>
      <c r="C28">
        <v>2.7099999999999999E-2</v>
      </c>
      <c r="D28">
        <v>-0.01</v>
      </c>
      <c r="E28">
        <v>1.9E-2</v>
      </c>
      <c r="F28">
        <v>-7.4000000000000003E-3</v>
      </c>
      <c r="G28">
        <v>3.3000000000000004E-3</v>
      </c>
    </row>
    <row r="29" spans="1:11">
      <c r="A29">
        <v>196509</v>
      </c>
      <c r="B29">
        <v>2.86E-2</v>
      </c>
      <c r="C29">
        <v>6.1999999999999998E-3</v>
      </c>
      <c r="D29">
        <v>-1.3000000000000002E-3</v>
      </c>
      <c r="E29">
        <v>-8.8999999999999999E-3</v>
      </c>
      <c r="F29">
        <v>8.0000000000000002E-3</v>
      </c>
      <c r="G29">
        <v>3.0999999999999999E-3</v>
      </c>
    </row>
    <row r="30" spans="1:11">
      <c r="A30">
        <v>196510</v>
      </c>
      <c r="B30">
        <v>2.6000000000000002E-2</v>
      </c>
      <c r="C30">
        <v>3.4700000000000002E-2</v>
      </c>
      <c r="D30">
        <v>1.5600000000000001E-2</v>
      </c>
      <c r="E30">
        <v>1.17E-2</v>
      </c>
      <c r="F30">
        <v>-6.5000000000000006E-3</v>
      </c>
      <c r="G30">
        <v>3.0999999999999999E-3</v>
      </c>
    </row>
    <row r="31" spans="1:11">
      <c r="A31">
        <v>196511</v>
      </c>
      <c r="B31">
        <v>-2.9999999999999997E-4</v>
      </c>
      <c r="C31">
        <v>5.1900000000000002E-2</v>
      </c>
      <c r="D31">
        <v>1.5E-3</v>
      </c>
      <c r="E31">
        <v>-1.01E-2</v>
      </c>
      <c r="F31">
        <v>-9.4000000000000004E-3</v>
      </c>
      <c r="G31">
        <v>3.4999999999999996E-3</v>
      </c>
    </row>
    <row r="32" spans="1:11">
      <c r="A32">
        <v>196512</v>
      </c>
      <c r="B32">
        <v>1.01E-2</v>
      </c>
      <c r="C32">
        <v>2.6600000000000002E-2</v>
      </c>
      <c r="D32">
        <v>2.0299999999999999E-2</v>
      </c>
      <c r="E32">
        <v>-1.1399999999999999E-2</v>
      </c>
      <c r="F32">
        <v>-5.3E-3</v>
      </c>
      <c r="G32">
        <v>3.3000000000000004E-3</v>
      </c>
    </row>
    <row r="33" spans="1:7">
      <c r="A33">
        <v>196601</v>
      </c>
      <c r="B33">
        <v>7.1999999999999998E-3</v>
      </c>
      <c r="C33">
        <v>4.6800000000000001E-2</v>
      </c>
      <c r="D33">
        <v>3.56E-2</v>
      </c>
      <c r="E33">
        <v>-2.8199999999999999E-2</v>
      </c>
      <c r="F33">
        <v>-1.1000000000000001E-3</v>
      </c>
      <c r="G33">
        <v>3.8E-3</v>
      </c>
    </row>
    <row r="34" spans="1:7">
      <c r="A34">
        <v>196602</v>
      </c>
      <c r="B34">
        <v>-1.21E-2</v>
      </c>
      <c r="C34">
        <v>4.7100000000000003E-2</v>
      </c>
      <c r="D34">
        <v>3.3000000000000004E-3</v>
      </c>
      <c r="E34">
        <v>-1.7000000000000001E-3</v>
      </c>
      <c r="F34">
        <v>-1.49E-2</v>
      </c>
      <c r="G34">
        <v>3.4999999999999996E-3</v>
      </c>
    </row>
    <row r="35" spans="1:7">
      <c r="A35">
        <v>196603</v>
      </c>
      <c r="B35">
        <v>-2.5099999999999997E-2</v>
      </c>
      <c r="C35">
        <v>3.2000000000000002E-3</v>
      </c>
      <c r="D35">
        <v>-1.9800000000000002E-2</v>
      </c>
      <c r="E35">
        <v>1.3000000000000001E-2</v>
      </c>
      <c r="F35">
        <v>5.9999999999999995E-4</v>
      </c>
      <c r="G35">
        <v>3.8E-3</v>
      </c>
    </row>
    <row r="36" spans="1:7">
      <c r="A36">
        <v>196604</v>
      </c>
      <c r="B36">
        <v>2.1400000000000002E-2</v>
      </c>
      <c r="C36">
        <v>3.3500000000000002E-2</v>
      </c>
      <c r="D36">
        <v>-4.5999999999999999E-3</v>
      </c>
      <c r="E36">
        <v>3.9000000000000003E-3</v>
      </c>
      <c r="F36">
        <v>-9.4999999999999998E-3</v>
      </c>
      <c r="G36">
        <v>3.4000000000000002E-3</v>
      </c>
    </row>
    <row r="37" spans="1:7">
      <c r="A37">
        <v>196605</v>
      </c>
      <c r="B37">
        <v>-5.6600000000000004E-2</v>
      </c>
      <c r="C37">
        <v>-5.0999999999999997E-2</v>
      </c>
      <c r="D37">
        <v>-1.6299999999999999E-2</v>
      </c>
      <c r="E37">
        <v>1.6399999999999998E-2</v>
      </c>
      <c r="F37">
        <v>-1.52E-2</v>
      </c>
      <c r="G37">
        <v>4.0999999999999995E-3</v>
      </c>
    </row>
    <row r="38" spans="1:7">
      <c r="A38">
        <v>196606</v>
      </c>
      <c r="B38">
        <v>-1.44E-2</v>
      </c>
      <c r="C38">
        <v>1.3700000000000002E-2</v>
      </c>
      <c r="D38">
        <v>5.0000000000000001E-3</v>
      </c>
      <c r="E38">
        <v>1.5E-3</v>
      </c>
      <c r="F38">
        <v>7.8000000000000005E-3</v>
      </c>
      <c r="G38">
        <v>3.8E-3</v>
      </c>
    </row>
    <row r="39" spans="1:7">
      <c r="A39">
        <v>196607</v>
      </c>
      <c r="B39">
        <v>-1.6299999999999999E-2</v>
      </c>
      <c r="C39">
        <v>-4.0999999999999995E-3</v>
      </c>
      <c r="D39">
        <v>9.4999999999999998E-3</v>
      </c>
      <c r="E39">
        <v>-3.5999999999999999E-3</v>
      </c>
      <c r="F39">
        <v>1.7899999999999999E-2</v>
      </c>
      <c r="G39">
        <v>3.4999999999999996E-3</v>
      </c>
    </row>
    <row r="40" spans="1:7">
      <c r="A40">
        <v>196608</v>
      </c>
      <c r="B40">
        <v>-7.9100000000000004E-2</v>
      </c>
      <c r="C40">
        <v>-3.1200000000000002E-2</v>
      </c>
      <c r="D40">
        <v>4.3E-3</v>
      </c>
      <c r="E40">
        <v>-8.9999999999999998E-4</v>
      </c>
      <c r="F40">
        <v>8.0000000000000002E-3</v>
      </c>
      <c r="G40">
        <v>4.0999999999999995E-3</v>
      </c>
    </row>
    <row r="41" spans="1:7">
      <c r="A41">
        <v>196609</v>
      </c>
      <c r="B41">
        <v>-1.06E-2</v>
      </c>
      <c r="C41">
        <v>-1.1399999999999999E-2</v>
      </c>
      <c r="D41">
        <v>5.6000000000000008E-3</v>
      </c>
      <c r="E41">
        <v>-1.6799999999999999E-2</v>
      </c>
      <c r="F41">
        <v>2.3700000000000002E-2</v>
      </c>
      <c r="G41">
        <v>4.0000000000000001E-3</v>
      </c>
    </row>
    <row r="42" spans="1:7">
      <c r="A42">
        <v>196610</v>
      </c>
      <c r="B42">
        <v>3.8600000000000002E-2</v>
      </c>
      <c r="C42">
        <v>-6.4500000000000002E-2</v>
      </c>
      <c r="D42">
        <v>2.69E-2</v>
      </c>
      <c r="E42">
        <v>-3.4799999999999998E-2</v>
      </c>
      <c r="F42">
        <v>4.2500000000000003E-2</v>
      </c>
      <c r="G42">
        <v>4.5000000000000005E-3</v>
      </c>
    </row>
    <row r="43" spans="1:7">
      <c r="A43">
        <v>196611</v>
      </c>
      <c r="B43">
        <v>1.3999999999999999E-2</v>
      </c>
      <c r="C43">
        <v>3.3399999999999999E-2</v>
      </c>
      <c r="D43">
        <v>-4.6900000000000004E-2</v>
      </c>
      <c r="E43">
        <v>4.1299999999999996E-2</v>
      </c>
      <c r="F43">
        <v>-6.6200000000000009E-2</v>
      </c>
      <c r="G43">
        <v>4.0000000000000001E-3</v>
      </c>
    </row>
    <row r="44" spans="1:7">
      <c r="A44">
        <v>196612</v>
      </c>
      <c r="B44">
        <v>1.3000000000000002E-3</v>
      </c>
      <c r="C44">
        <v>2.0199999999999999E-2</v>
      </c>
      <c r="D44">
        <v>-1.1899999999999999E-2</v>
      </c>
      <c r="E44">
        <v>6.9999999999999993E-3</v>
      </c>
      <c r="F44">
        <v>-3.4000000000000002E-3</v>
      </c>
      <c r="G44">
        <v>4.0000000000000001E-3</v>
      </c>
    </row>
    <row r="45" spans="1:7">
      <c r="A45">
        <v>196701</v>
      </c>
      <c r="B45">
        <v>8.1500000000000003E-2</v>
      </c>
      <c r="C45">
        <v>9.0999999999999998E-2</v>
      </c>
      <c r="D45">
        <v>2.2700000000000001E-2</v>
      </c>
      <c r="E45">
        <v>9.5999999999999992E-3</v>
      </c>
      <c r="F45">
        <v>-3.1600000000000003E-2</v>
      </c>
      <c r="G45">
        <v>4.3E-3</v>
      </c>
    </row>
    <row r="46" spans="1:7">
      <c r="A46">
        <v>196702</v>
      </c>
      <c r="B46">
        <v>7.8000000000000005E-3</v>
      </c>
      <c r="C46">
        <v>3.0600000000000002E-2</v>
      </c>
      <c r="D46">
        <v>-2.2200000000000001E-2</v>
      </c>
      <c r="E46">
        <v>1.9900000000000001E-2</v>
      </c>
      <c r="F46">
        <v>-9.9000000000000008E-3</v>
      </c>
      <c r="G46">
        <v>3.5999999999999999E-3</v>
      </c>
    </row>
    <row r="47" spans="1:7">
      <c r="A47">
        <v>196703</v>
      </c>
      <c r="B47">
        <v>3.9900000000000005E-2</v>
      </c>
      <c r="C47">
        <v>1.8700000000000001E-2</v>
      </c>
      <c r="D47">
        <v>3.7000000000000002E-3</v>
      </c>
      <c r="E47">
        <v>8.6E-3</v>
      </c>
      <c r="F47">
        <v>-1.6E-2</v>
      </c>
      <c r="G47">
        <v>3.9000000000000003E-3</v>
      </c>
    </row>
    <row r="48" spans="1:7">
      <c r="A48">
        <v>196704</v>
      </c>
      <c r="B48">
        <v>3.8900000000000004E-2</v>
      </c>
      <c r="C48">
        <v>4.3E-3</v>
      </c>
      <c r="D48">
        <v>-2.4799999999999999E-2</v>
      </c>
      <c r="E48">
        <v>2.3300000000000001E-2</v>
      </c>
      <c r="F48">
        <v>-3.6700000000000003E-2</v>
      </c>
      <c r="G48">
        <v>3.2000000000000002E-3</v>
      </c>
    </row>
    <row r="49" spans="1:7">
      <c r="A49">
        <v>196705</v>
      </c>
      <c r="B49">
        <v>-4.3299999999999998E-2</v>
      </c>
      <c r="C49">
        <v>2.29E-2</v>
      </c>
      <c r="D49">
        <v>1.0900000000000002E-2</v>
      </c>
      <c r="E49">
        <v>-1.7299999999999999E-2</v>
      </c>
      <c r="F49">
        <v>1.7299999999999999E-2</v>
      </c>
      <c r="G49">
        <v>3.3000000000000004E-3</v>
      </c>
    </row>
    <row r="50" spans="1:7">
      <c r="A50">
        <v>196706</v>
      </c>
      <c r="B50">
        <v>2.4100000000000003E-2</v>
      </c>
      <c r="C50">
        <v>6.4299999999999996E-2</v>
      </c>
      <c r="D50">
        <v>8.5000000000000006E-3</v>
      </c>
      <c r="E50">
        <v>-6.1999999999999998E-3</v>
      </c>
      <c r="F50">
        <v>-2.4199999999999999E-2</v>
      </c>
      <c r="G50">
        <v>2.7000000000000001E-3</v>
      </c>
    </row>
    <row r="51" spans="1:7">
      <c r="A51">
        <v>196707</v>
      </c>
      <c r="B51">
        <v>4.58E-2</v>
      </c>
      <c r="C51">
        <v>3.5400000000000001E-2</v>
      </c>
      <c r="D51">
        <v>2.7300000000000001E-2</v>
      </c>
      <c r="E51">
        <v>4.7999999999999996E-3</v>
      </c>
      <c r="F51">
        <v>2.7000000000000003E-2</v>
      </c>
      <c r="G51">
        <v>3.0999999999999999E-3</v>
      </c>
    </row>
    <row r="52" spans="1:7">
      <c r="A52">
        <v>196708</v>
      </c>
      <c r="B52">
        <v>-8.8999999999999999E-3</v>
      </c>
      <c r="C52">
        <v>7.1999999999999998E-3</v>
      </c>
      <c r="D52">
        <v>1.44E-2</v>
      </c>
      <c r="E52">
        <v>3.0000000000000001E-3</v>
      </c>
      <c r="F52">
        <v>1.4499999999999999E-2</v>
      </c>
      <c r="G52">
        <v>3.0999999999999999E-3</v>
      </c>
    </row>
    <row r="53" spans="1:7">
      <c r="A53">
        <v>196709</v>
      </c>
      <c r="B53">
        <v>3.1099999999999999E-2</v>
      </c>
      <c r="C53">
        <v>2.4400000000000002E-2</v>
      </c>
      <c r="D53">
        <v>-2.5000000000000001E-2</v>
      </c>
      <c r="E53">
        <v>2E-3</v>
      </c>
      <c r="F53">
        <v>-9.4999999999999998E-3</v>
      </c>
      <c r="G53">
        <v>3.2000000000000002E-3</v>
      </c>
    </row>
    <row r="54" spans="1:7">
      <c r="A54">
        <v>196710</v>
      </c>
      <c r="B54">
        <v>-3.09E-2</v>
      </c>
      <c r="C54">
        <v>5.3E-3</v>
      </c>
      <c r="D54">
        <v>-3.3000000000000002E-2</v>
      </c>
      <c r="E54">
        <v>1.01E-2</v>
      </c>
      <c r="F54">
        <v>-2.6200000000000001E-2</v>
      </c>
      <c r="G54">
        <v>3.9000000000000003E-3</v>
      </c>
    </row>
    <row r="55" spans="1:7">
      <c r="A55">
        <v>196711</v>
      </c>
      <c r="B55">
        <v>3.7000000000000002E-3</v>
      </c>
      <c r="C55">
        <v>-4.0000000000000002E-4</v>
      </c>
      <c r="D55">
        <v>-1.7000000000000001E-2</v>
      </c>
      <c r="E55">
        <v>1.34E-2</v>
      </c>
      <c r="F55">
        <v>-2.3400000000000001E-2</v>
      </c>
      <c r="G55">
        <v>3.5999999999999999E-3</v>
      </c>
    </row>
    <row r="56" spans="1:7">
      <c r="A56">
        <v>196712</v>
      </c>
      <c r="B56">
        <v>3.0499999999999999E-2</v>
      </c>
      <c r="C56">
        <v>5.7500000000000002E-2</v>
      </c>
      <c r="D56">
        <v>-5.3E-3</v>
      </c>
      <c r="E56">
        <v>-8.1000000000000013E-3</v>
      </c>
      <c r="F56">
        <v>1.3000000000000002E-3</v>
      </c>
      <c r="G56">
        <v>3.3000000000000004E-3</v>
      </c>
    </row>
    <row r="57" spans="1:7">
      <c r="A57">
        <v>196801</v>
      </c>
      <c r="B57">
        <v>-4.0599999999999997E-2</v>
      </c>
      <c r="C57">
        <v>4.5100000000000001E-2</v>
      </c>
      <c r="D57">
        <v>4.8000000000000001E-2</v>
      </c>
      <c r="E57">
        <v>-4.6200000000000005E-2</v>
      </c>
      <c r="F57">
        <v>6.4600000000000005E-2</v>
      </c>
      <c r="G57">
        <v>4.0000000000000001E-3</v>
      </c>
    </row>
    <row r="58" spans="1:7">
      <c r="A58">
        <v>196802</v>
      </c>
      <c r="B58">
        <v>-3.7499999999999999E-2</v>
      </c>
      <c r="C58">
        <v>-2.9100000000000001E-2</v>
      </c>
      <c r="D58">
        <v>1.2800000000000001E-2</v>
      </c>
      <c r="E58">
        <v>-1.6000000000000001E-3</v>
      </c>
      <c r="F58">
        <v>2.4500000000000001E-2</v>
      </c>
      <c r="G58">
        <v>3.9000000000000003E-3</v>
      </c>
    </row>
    <row r="59" spans="1:7">
      <c r="A59">
        <v>196803</v>
      </c>
      <c r="B59">
        <v>2E-3</v>
      </c>
      <c r="C59">
        <v>-1.5900000000000001E-2</v>
      </c>
      <c r="D59">
        <v>-5.8999999999999999E-3</v>
      </c>
      <c r="E59">
        <v>1.0500000000000001E-2</v>
      </c>
      <c r="F59">
        <v>-1.1000000000000001E-2</v>
      </c>
      <c r="G59">
        <v>3.8E-3</v>
      </c>
    </row>
    <row r="60" spans="1:7">
      <c r="A60">
        <v>196804</v>
      </c>
      <c r="B60">
        <v>9.0500000000000011E-2</v>
      </c>
      <c r="C60">
        <v>6.1800000000000001E-2</v>
      </c>
      <c r="D60">
        <v>-1.1299999999999999E-2</v>
      </c>
      <c r="E60">
        <v>2.69E-2</v>
      </c>
      <c r="F60">
        <v>-3.6499999999999998E-2</v>
      </c>
      <c r="G60">
        <v>4.3E-3</v>
      </c>
    </row>
    <row r="61" spans="1:7">
      <c r="A61">
        <v>196805</v>
      </c>
      <c r="B61">
        <v>2.2799999999999997E-2</v>
      </c>
      <c r="C61">
        <v>7.0000000000000007E-2</v>
      </c>
      <c r="D61">
        <v>8.5000000000000006E-3</v>
      </c>
      <c r="E61">
        <v>4.3E-3</v>
      </c>
      <c r="F61">
        <v>-1.9199999999999998E-2</v>
      </c>
      <c r="G61">
        <v>4.5000000000000005E-3</v>
      </c>
    </row>
    <row r="62" spans="1:7">
      <c r="A62">
        <v>196806</v>
      </c>
      <c r="B62">
        <v>6.8999999999999999E-3</v>
      </c>
      <c r="C62">
        <v>-2.8000000000000004E-3</v>
      </c>
      <c r="D62">
        <v>7.3000000000000001E-3</v>
      </c>
      <c r="E62">
        <v>-1.41E-2</v>
      </c>
      <c r="F62">
        <v>2.76E-2</v>
      </c>
      <c r="G62">
        <v>4.3E-3</v>
      </c>
    </row>
    <row r="63" spans="1:7">
      <c r="A63">
        <v>196807</v>
      </c>
      <c r="B63">
        <v>-2.7200000000000002E-2</v>
      </c>
      <c r="C63">
        <v>-1.41E-2</v>
      </c>
      <c r="D63">
        <v>5.3899999999999997E-2</v>
      </c>
      <c r="E63">
        <v>-3.1300000000000001E-2</v>
      </c>
      <c r="F63">
        <v>3.7200000000000004E-2</v>
      </c>
      <c r="G63">
        <v>4.7999999999999996E-3</v>
      </c>
    </row>
    <row r="64" spans="1:7">
      <c r="A64">
        <v>196808</v>
      </c>
      <c r="B64">
        <v>1.34E-2</v>
      </c>
      <c r="C64">
        <v>2.2700000000000001E-2</v>
      </c>
      <c r="D64">
        <v>1.01E-2</v>
      </c>
      <c r="E64">
        <v>-6.9999999999999993E-3</v>
      </c>
      <c r="F64">
        <v>4.7999999999999996E-3</v>
      </c>
      <c r="G64">
        <v>4.1999999999999997E-3</v>
      </c>
    </row>
    <row r="65" spans="1:7">
      <c r="A65">
        <v>196809</v>
      </c>
      <c r="B65">
        <v>4.0300000000000002E-2</v>
      </c>
      <c r="C65">
        <v>2.81E-2</v>
      </c>
      <c r="D65">
        <v>3.0000000000000001E-3</v>
      </c>
      <c r="E65">
        <v>-1.9900000000000001E-2</v>
      </c>
      <c r="F65">
        <v>8.6999999999999994E-3</v>
      </c>
      <c r="G65">
        <v>4.3E-3</v>
      </c>
    </row>
    <row r="66" spans="1:7">
      <c r="A66">
        <v>196810</v>
      </c>
      <c r="B66">
        <v>4.1999999999999997E-3</v>
      </c>
      <c r="C66">
        <v>-4.1999999999999997E-3</v>
      </c>
      <c r="D66">
        <v>2.86E-2</v>
      </c>
      <c r="E66">
        <v>-1.3200000000000002E-2</v>
      </c>
      <c r="F66">
        <v>2.7000000000000003E-2</v>
      </c>
      <c r="G66">
        <v>4.4000000000000003E-3</v>
      </c>
    </row>
    <row r="67" spans="1:7">
      <c r="A67">
        <v>196811</v>
      </c>
      <c r="B67">
        <v>5.4300000000000001E-2</v>
      </c>
      <c r="C67">
        <v>2.3900000000000001E-2</v>
      </c>
      <c r="D67">
        <v>-9.1999999999999998E-3</v>
      </c>
      <c r="E67">
        <v>4.3E-3</v>
      </c>
      <c r="F67">
        <v>-2.4300000000000002E-2</v>
      </c>
      <c r="G67">
        <v>4.1999999999999997E-3</v>
      </c>
    </row>
    <row r="68" spans="1:7">
      <c r="A68">
        <v>196812</v>
      </c>
      <c r="B68">
        <v>-3.9399999999999998E-2</v>
      </c>
      <c r="C68">
        <v>3.5200000000000002E-2</v>
      </c>
      <c r="D68">
        <v>-1E-4</v>
      </c>
      <c r="E68">
        <v>-1.8600000000000002E-2</v>
      </c>
      <c r="F68">
        <v>1.7600000000000001E-2</v>
      </c>
      <c r="G68">
        <v>4.3E-3</v>
      </c>
    </row>
    <row r="69" spans="1:7">
      <c r="A69">
        <v>196901</v>
      </c>
      <c r="B69">
        <v>-1.2500000000000001E-2</v>
      </c>
      <c r="C69">
        <v>-4.4000000000000003E-3</v>
      </c>
      <c r="D69">
        <v>1.67E-2</v>
      </c>
      <c r="E69">
        <v>-1.5500000000000002E-2</v>
      </c>
      <c r="F69">
        <v>1.38E-2</v>
      </c>
      <c r="G69">
        <v>5.3E-3</v>
      </c>
    </row>
    <row r="70" spans="1:7">
      <c r="A70">
        <v>196902</v>
      </c>
      <c r="B70">
        <v>-5.8400000000000001E-2</v>
      </c>
      <c r="C70">
        <v>-4.1600000000000005E-2</v>
      </c>
      <c r="D70">
        <v>9.1000000000000004E-3</v>
      </c>
      <c r="E70">
        <v>2.07E-2</v>
      </c>
      <c r="F70">
        <v>8.3000000000000001E-3</v>
      </c>
      <c r="G70">
        <v>4.5999999999999999E-3</v>
      </c>
    </row>
    <row r="71" spans="1:7">
      <c r="A71">
        <v>196903</v>
      </c>
      <c r="B71">
        <v>2.6400000000000003E-2</v>
      </c>
      <c r="C71">
        <v>-4.5000000000000005E-3</v>
      </c>
      <c r="D71">
        <v>-5.1000000000000004E-3</v>
      </c>
      <c r="E71">
        <v>-1.43E-2</v>
      </c>
      <c r="F71">
        <v>-3.4999999999999996E-3</v>
      </c>
      <c r="G71">
        <v>4.5999999999999999E-3</v>
      </c>
    </row>
    <row r="72" spans="1:7">
      <c r="A72">
        <v>196904</v>
      </c>
      <c r="B72">
        <v>1.46E-2</v>
      </c>
      <c r="C72">
        <v>-8.0000000000000002E-3</v>
      </c>
      <c r="D72">
        <v>-2.9999999999999997E-4</v>
      </c>
      <c r="E72">
        <v>4.0999999999999995E-3</v>
      </c>
      <c r="F72">
        <v>5.9999999999999995E-4</v>
      </c>
      <c r="G72">
        <v>5.3E-3</v>
      </c>
    </row>
    <row r="73" spans="1:7">
      <c r="A73">
        <v>196905</v>
      </c>
      <c r="B73">
        <v>-1E-3</v>
      </c>
      <c r="C73">
        <v>-1.1000000000000001E-3</v>
      </c>
      <c r="D73">
        <v>6.9999999999999993E-3</v>
      </c>
      <c r="E73">
        <v>-9.4999999999999998E-3</v>
      </c>
      <c r="F73">
        <v>1.3899999999999999E-2</v>
      </c>
      <c r="G73">
        <v>4.7999999999999996E-3</v>
      </c>
    </row>
    <row r="74" spans="1:7">
      <c r="A74">
        <v>196906</v>
      </c>
      <c r="B74">
        <v>-7.1800000000000003E-2</v>
      </c>
      <c r="C74">
        <v>-5.45E-2</v>
      </c>
      <c r="D74">
        <v>-1.0800000000000001E-2</v>
      </c>
      <c r="E74">
        <v>4.3200000000000002E-2</v>
      </c>
      <c r="F74">
        <v>-1.6E-2</v>
      </c>
      <c r="G74">
        <v>5.1000000000000004E-3</v>
      </c>
    </row>
    <row r="75" spans="1:7">
      <c r="A75">
        <v>196907</v>
      </c>
      <c r="B75">
        <v>-7.0000000000000007E-2</v>
      </c>
      <c r="C75">
        <v>-3.4100000000000005E-2</v>
      </c>
      <c r="D75">
        <v>1.2E-2</v>
      </c>
      <c r="E75">
        <v>1.4800000000000001E-2</v>
      </c>
      <c r="F75">
        <v>1.9099999999999999E-2</v>
      </c>
      <c r="G75">
        <v>5.3E-3</v>
      </c>
    </row>
    <row r="76" spans="1:7">
      <c r="A76">
        <v>196908</v>
      </c>
      <c r="B76">
        <v>4.6800000000000001E-2</v>
      </c>
      <c r="C76">
        <v>6.9999999999999993E-3</v>
      </c>
      <c r="D76">
        <v>-3.7900000000000003E-2</v>
      </c>
      <c r="E76">
        <v>1.1299999999999999E-2</v>
      </c>
      <c r="F76">
        <v>-4.02E-2</v>
      </c>
      <c r="G76">
        <v>5.0000000000000001E-3</v>
      </c>
    </row>
    <row r="77" spans="1:7">
      <c r="A77">
        <v>196909</v>
      </c>
      <c r="B77">
        <v>-2.98E-2</v>
      </c>
      <c r="C77">
        <v>1.29E-2</v>
      </c>
      <c r="D77">
        <v>-3.27E-2</v>
      </c>
      <c r="E77">
        <v>3.39E-2</v>
      </c>
      <c r="F77">
        <v>-8.199999999999999E-3</v>
      </c>
      <c r="G77">
        <v>6.1999999999999998E-3</v>
      </c>
    </row>
    <row r="78" spans="1:7">
      <c r="A78">
        <v>196910</v>
      </c>
      <c r="B78">
        <v>5.0599999999999999E-2</v>
      </c>
      <c r="C78">
        <v>3.9600000000000003E-2</v>
      </c>
      <c r="D78">
        <v>-3.1600000000000003E-2</v>
      </c>
      <c r="E78">
        <v>5.0000000000000001E-4</v>
      </c>
      <c r="F78">
        <v>-2.1499999999999998E-2</v>
      </c>
      <c r="G78">
        <v>6.0000000000000001E-3</v>
      </c>
    </row>
    <row r="79" spans="1:7">
      <c r="A79">
        <v>196911</v>
      </c>
      <c r="B79">
        <v>-3.7900000000000003E-2</v>
      </c>
      <c r="C79">
        <v>-2.4500000000000001E-2</v>
      </c>
      <c r="D79">
        <v>-1.1899999999999999E-2</v>
      </c>
      <c r="E79">
        <v>1.46E-2</v>
      </c>
      <c r="F79">
        <v>3.0000000000000001E-3</v>
      </c>
      <c r="G79">
        <v>5.2000000000000006E-3</v>
      </c>
    </row>
    <row r="80" spans="1:7">
      <c r="A80">
        <v>196912</v>
      </c>
      <c r="B80">
        <v>-2.63E-2</v>
      </c>
      <c r="C80">
        <v>-3.7600000000000001E-2</v>
      </c>
      <c r="D80">
        <v>-2.86E-2</v>
      </c>
      <c r="E80">
        <v>2.5400000000000002E-2</v>
      </c>
      <c r="F80">
        <v>-1.8100000000000002E-2</v>
      </c>
      <c r="G80">
        <v>6.4000000000000003E-3</v>
      </c>
    </row>
    <row r="81" spans="1:7">
      <c r="A81">
        <v>197001</v>
      </c>
      <c r="B81">
        <v>-8.1000000000000003E-2</v>
      </c>
      <c r="C81">
        <v>3.1200000000000002E-2</v>
      </c>
      <c r="D81">
        <v>3.1300000000000001E-2</v>
      </c>
      <c r="E81">
        <v>-1.72E-2</v>
      </c>
      <c r="F81">
        <v>3.8399999999999997E-2</v>
      </c>
      <c r="G81">
        <v>6.0000000000000001E-3</v>
      </c>
    </row>
    <row r="82" spans="1:7">
      <c r="A82">
        <v>197002</v>
      </c>
      <c r="B82">
        <v>5.1299999999999998E-2</v>
      </c>
      <c r="C82">
        <v>-2.76E-2</v>
      </c>
      <c r="D82">
        <v>3.9300000000000002E-2</v>
      </c>
      <c r="E82">
        <v>-2.29E-2</v>
      </c>
      <c r="F82">
        <v>2.76E-2</v>
      </c>
      <c r="G82">
        <v>6.1999999999999998E-3</v>
      </c>
    </row>
    <row r="83" spans="1:7">
      <c r="A83">
        <v>197003</v>
      </c>
      <c r="B83">
        <v>-1.06E-2</v>
      </c>
      <c r="C83">
        <v>-2.4100000000000003E-2</v>
      </c>
      <c r="D83">
        <v>3.9900000000000005E-2</v>
      </c>
      <c r="E83">
        <v>-0.01</v>
      </c>
      <c r="F83">
        <v>4.2900000000000001E-2</v>
      </c>
      <c r="G83">
        <v>5.6999999999999993E-3</v>
      </c>
    </row>
    <row r="84" spans="1:7">
      <c r="A84">
        <v>197004</v>
      </c>
      <c r="B84">
        <v>-0.11</v>
      </c>
      <c r="C84">
        <v>-6.4000000000000001E-2</v>
      </c>
      <c r="D84">
        <v>6.1800000000000001E-2</v>
      </c>
      <c r="E84">
        <v>-6.4000000000000003E-3</v>
      </c>
      <c r="F84">
        <v>6.2100000000000002E-2</v>
      </c>
      <c r="G84">
        <v>5.0000000000000001E-3</v>
      </c>
    </row>
    <row r="85" spans="1:7">
      <c r="A85">
        <v>197005</v>
      </c>
      <c r="B85">
        <v>-6.9199999999999998E-2</v>
      </c>
      <c r="C85">
        <v>-4.4800000000000006E-2</v>
      </c>
      <c r="D85">
        <v>3.3300000000000003E-2</v>
      </c>
      <c r="E85">
        <v>-1.21E-2</v>
      </c>
      <c r="F85">
        <v>3.9E-2</v>
      </c>
      <c r="G85">
        <v>5.3E-3</v>
      </c>
    </row>
    <row r="86" spans="1:7">
      <c r="A86">
        <v>197006</v>
      </c>
      <c r="B86">
        <v>-5.79E-2</v>
      </c>
      <c r="C86">
        <v>-2.2000000000000002E-2</v>
      </c>
      <c r="D86">
        <v>6.0000000000000001E-3</v>
      </c>
      <c r="E86">
        <v>1.3000000000000002E-3</v>
      </c>
      <c r="F86">
        <v>2.9600000000000001E-2</v>
      </c>
      <c r="G86">
        <v>5.7999999999999996E-3</v>
      </c>
    </row>
    <row r="87" spans="1:7">
      <c r="A87">
        <v>197007</v>
      </c>
      <c r="B87">
        <v>6.93E-2</v>
      </c>
      <c r="C87">
        <v>-6.1999999999999998E-3</v>
      </c>
      <c r="D87">
        <v>9.0000000000000011E-3</v>
      </c>
      <c r="E87">
        <v>-2.6000000000000003E-3</v>
      </c>
      <c r="F87">
        <v>1.84E-2</v>
      </c>
      <c r="G87">
        <v>5.2000000000000006E-3</v>
      </c>
    </row>
    <row r="88" spans="1:7">
      <c r="A88">
        <v>197008</v>
      </c>
      <c r="B88">
        <v>4.4900000000000002E-2</v>
      </c>
      <c r="C88">
        <v>1.52E-2</v>
      </c>
      <c r="D88">
        <v>1.15E-2</v>
      </c>
      <c r="E88">
        <v>5.6000000000000008E-3</v>
      </c>
      <c r="F88">
        <v>-2.0999999999999999E-3</v>
      </c>
      <c r="G88">
        <v>5.3E-3</v>
      </c>
    </row>
    <row r="89" spans="1:7">
      <c r="A89">
        <v>197009</v>
      </c>
      <c r="B89">
        <v>4.1799999999999997E-2</v>
      </c>
      <c r="C89">
        <v>8.5099999999999995E-2</v>
      </c>
      <c r="D89">
        <v>-5.4699999999999999E-2</v>
      </c>
      <c r="E89">
        <v>3.0000000000000001E-3</v>
      </c>
      <c r="F89">
        <v>-5.8300000000000005E-2</v>
      </c>
      <c r="G89">
        <v>5.4000000000000003E-3</v>
      </c>
    </row>
    <row r="90" spans="1:7">
      <c r="A90">
        <v>197010</v>
      </c>
      <c r="B90">
        <v>-2.2799999999999997E-2</v>
      </c>
      <c r="C90">
        <v>-4.4299999999999999E-2</v>
      </c>
      <c r="D90">
        <v>2.2000000000000001E-3</v>
      </c>
      <c r="E90">
        <v>1.7100000000000001E-2</v>
      </c>
      <c r="F90">
        <v>2.3400000000000001E-2</v>
      </c>
      <c r="G90">
        <v>4.5999999999999999E-3</v>
      </c>
    </row>
    <row r="91" spans="1:7">
      <c r="A91">
        <v>197011</v>
      </c>
      <c r="B91">
        <v>4.5999999999999999E-2</v>
      </c>
      <c r="C91">
        <v>-3.8600000000000002E-2</v>
      </c>
      <c r="D91">
        <v>1.6899999999999998E-2</v>
      </c>
      <c r="E91">
        <v>1.5700000000000002E-2</v>
      </c>
      <c r="F91">
        <v>1.47E-2</v>
      </c>
      <c r="G91">
        <v>4.5999999999999999E-3</v>
      </c>
    </row>
    <row r="92" spans="1:7">
      <c r="A92">
        <v>197012</v>
      </c>
      <c r="B92">
        <v>5.7200000000000001E-2</v>
      </c>
      <c r="C92">
        <v>2.9399999999999999E-2</v>
      </c>
      <c r="D92">
        <v>0.01</v>
      </c>
      <c r="E92">
        <v>2.7000000000000001E-3</v>
      </c>
      <c r="F92">
        <v>3.0000000000000001E-3</v>
      </c>
      <c r="G92">
        <v>4.1999999999999997E-3</v>
      </c>
    </row>
    <row r="93" spans="1:7">
      <c r="A93">
        <v>197101</v>
      </c>
      <c r="B93">
        <v>4.8399999999999999E-2</v>
      </c>
      <c r="C93">
        <v>7.5400000000000009E-2</v>
      </c>
      <c r="D93">
        <v>1.3300000000000001E-2</v>
      </c>
      <c r="E93">
        <v>-1.9900000000000001E-2</v>
      </c>
      <c r="F93">
        <v>7.000000000000001E-4</v>
      </c>
      <c r="G93">
        <v>3.8E-3</v>
      </c>
    </row>
    <row r="94" spans="1:7">
      <c r="A94">
        <v>197102</v>
      </c>
      <c r="B94">
        <v>1.41E-2</v>
      </c>
      <c r="C94">
        <v>2.0400000000000001E-2</v>
      </c>
      <c r="D94">
        <v>-1.23E-2</v>
      </c>
      <c r="E94">
        <v>6.1999999999999998E-3</v>
      </c>
      <c r="F94">
        <v>-6.9999999999999993E-3</v>
      </c>
      <c r="G94">
        <v>3.3000000000000004E-3</v>
      </c>
    </row>
    <row r="95" spans="1:7">
      <c r="A95">
        <v>197103</v>
      </c>
      <c r="B95">
        <v>4.1299999999999996E-2</v>
      </c>
      <c r="C95">
        <v>2.2599999999999999E-2</v>
      </c>
      <c r="D95">
        <v>-3.95E-2</v>
      </c>
      <c r="E95">
        <v>1.8200000000000001E-2</v>
      </c>
      <c r="F95">
        <v>-2.7099999999999999E-2</v>
      </c>
      <c r="G95">
        <v>3.0000000000000001E-3</v>
      </c>
    </row>
    <row r="96" spans="1:7">
      <c r="A96">
        <v>197104</v>
      </c>
      <c r="B96">
        <v>3.15E-2</v>
      </c>
      <c r="C96">
        <v>-3.5999999999999999E-3</v>
      </c>
      <c r="D96">
        <v>6.8999999999999999E-3</v>
      </c>
      <c r="E96">
        <v>-1.47E-2</v>
      </c>
      <c r="F96">
        <v>8.6999999999999994E-3</v>
      </c>
      <c r="G96">
        <v>2.8000000000000004E-3</v>
      </c>
    </row>
    <row r="97" spans="1:7">
      <c r="A97">
        <v>197105</v>
      </c>
      <c r="B97">
        <v>-3.9800000000000002E-2</v>
      </c>
      <c r="C97">
        <v>-1.11E-2</v>
      </c>
      <c r="D97">
        <v>-1.44E-2</v>
      </c>
      <c r="E97">
        <v>1.3999999999999999E-2</v>
      </c>
      <c r="F97">
        <v>2.5000000000000001E-3</v>
      </c>
      <c r="G97">
        <v>2.8999999999999998E-3</v>
      </c>
    </row>
    <row r="98" spans="1:7">
      <c r="A98">
        <v>197106</v>
      </c>
      <c r="B98">
        <v>-1E-3</v>
      </c>
      <c r="C98">
        <v>-1.4800000000000001E-2</v>
      </c>
      <c r="D98">
        <v>-1.8700000000000001E-2</v>
      </c>
      <c r="E98">
        <v>1.5300000000000001E-2</v>
      </c>
      <c r="F98">
        <v>-1.6399999999999998E-2</v>
      </c>
      <c r="G98">
        <v>3.7000000000000002E-3</v>
      </c>
    </row>
    <row r="99" spans="1:7">
      <c r="A99">
        <v>197107</v>
      </c>
      <c r="B99">
        <v>-4.4999999999999998E-2</v>
      </c>
      <c r="C99">
        <v>-1.3899999999999999E-2</v>
      </c>
      <c r="D99">
        <v>2.0000000000000001E-4</v>
      </c>
      <c r="E99">
        <v>6.4000000000000003E-3</v>
      </c>
      <c r="F99">
        <v>1.46E-2</v>
      </c>
      <c r="G99">
        <v>4.0000000000000001E-3</v>
      </c>
    </row>
    <row r="100" spans="1:7">
      <c r="A100">
        <v>197108</v>
      </c>
      <c r="B100">
        <v>3.7900000000000003E-2</v>
      </c>
      <c r="C100">
        <v>-1.6000000000000001E-3</v>
      </c>
      <c r="D100">
        <v>2.63E-2</v>
      </c>
      <c r="E100">
        <v>-4.3E-3</v>
      </c>
      <c r="F100">
        <v>2.6400000000000003E-2</v>
      </c>
      <c r="G100">
        <v>4.7000000000000002E-3</v>
      </c>
    </row>
    <row r="101" spans="1:7">
      <c r="A101">
        <v>197109</v>
      </c>
      <c r="B101">
        <v>-8.5000000000000006E-3</v>
      </c>
      <c r="C101">
        <v>2.8000000000000004E-3</v>
      </c>
      <c r="D101">
        <v>-2.9100000000000001E-2</v>
      </c>
      <c r="E101">
        <v>2.5600000000000001E-2</v>
      </c>
      <c r="F101">
        <v>-1.5800000000000002E-2</v>
      </c>
      <c r="G101">
        <v>3.7000000000000002E-3</v>
      </c>
    </row>
    <row r="102" spans="1:7">
      <c r="A102">
        <v>197110</v>
      </c>
      <c r="B102">
        <v>-4.4200000000000003E-2</v>
      </c>
      <c r="C102">
        <v>-1.6E-2</v>
      </c>
      <c r="D102">
        <v>-4.7999999999999996E-3</v>
      </c>
      <c r="E102">
        <v>1.6200000000000003E-2</v>
      </c>
      <c r="F102">
        <v>-1.3500000000000002E-2</v>
      </c>
      <c r="G102">
        <v>3.7000000000000002E-3</v>
      </c>
    </row>
    <row r="103" spans="1:7">
      <c r="A103">
        <v>197111</v>
      </c>
      <c r="B103">
        <v>-4.5999999999999999E-3</v>
      </c>
      <c r="C103">
        <v>-2.86E-2</v>
      </c>
      <c r="D103">
        <v>-1.6799999999999999E-2</v>
      </c>
      <c r="E103">
        <v>2.4400000000000002E-2</v>
      </c>
      <c r="F103">
        <v>-3.4000000000000002E-3</v>
      </c>
      <c r="G103">
        <v>3.7000000000000002E-3</v>
      </c>
    </row>
    <row r="104" spans="1:7">
      <c r="A104">
        <v>197112</v>
      </c>
      <c r="B104">
        <v>8.7100000000000011E-2</v>
      </c>
      <c r="C104">
        <v>3.27E-2</v>
      </c>
      <c r="D104">
        <v>-4.0000000000000001E-3</v>
      </c>
      <c r="E104">
        <v>-4.0000000000000001E-3</v>
      </c>
      <c r="F104">
        <v>-1.7500000000000002E-2</v>
      </c>
      <c r="G104">
        <v>3.7000000000000002E-3</v>
      </c>
    </row>
    <row r="105" spans="1:7">
      <c r="A105">
        <v>197201</v>
      </c>
      <c r="B105">
        <v>2.4900000000000002E-2</v>
      </c>
      <c r="C105">
        <v>6.0999999999999999E-2</v>
      </c>
      <c r="D105">
        <v>2.2400000000000003E-2</v>
      </c>
      <c r="E105">
        <v>-1.6899999999999998E-2</v>
      </c>
      <c r="F105">
        <v>5.5000000000000005E-3</v>
      </c>
      <c r="G105">
        <v>2.8999999999999998E-3</v>
      </c>
    </row>
    <row r="106" spans="1:7">
      <c r="A106">
        <v>197202</v>
      </c>
      <c r="B106">
        <v>2.8700000000000003E-2</v>
      </c>
      <c r="C106">
        <v>8.6999999999999994E-3</v>
      </c>
      <c r="D106">
        <v>-2.7900000000000001E-2</v>
      </c>
      <c r="E106">
        <v>1.61E-2</v>
      </c>
      <c r="F106">
        <v>-5.2000000000000006E-3</v>
      </c>
      <c r="G106">
        <v>2.5000000000000001E-3</v>
      </c>
    </row>
    <row r="107" spans="1:7">
      <c r="A107">
        <v>197203</v>
      </c>
      <c r="B107">
        <v>6.3E-3</v>
      </c>
      <c r="C107">
        <v>-4.3E-3</v>
      </c>
      <c r="D107">
        <v>-1.61E-2</v>
      </c>
      <c r="E107">
        <v>1.6299999999999999E-2</v>
      </c>
      <c r="F107">
        <v>-1.8E-3</v>
      </c>
      <c r="G107">
        <v>2.7000000000000001E-3</v>
      </c>
    </row>
    <row r="108" spans="1:7">
      <c r="A108">
        <v>197204</v>
      </c>
      <c r="B108">
        <v>2.8999999999999998E-3</v>
      </c>
      <c r="C108">
        <v>2.3E-3</v>
      </c>
      <c r="D108">
        <v>1.1999999999999999E-3</v>
      </c>
      <c r="E108">
        <v>-4.1999999999999997E-3</v>
      </c>
      <c r="F108">
        <v>-1.03E-2</v>
      </c>
      <c r="G108">
        <v>2.8999999999999998E-3</v>
      </c>
    </row>
    <row r="109" spans="1:7">
      <c r="A109">
        <v>197205</v>
      </c>
      <c r="B109">
        <v>1.2500000000000001E-2</v>
      </c>
      <c r="C109">
        <v>-3.1000000000000003E-2</v>
      </c>
      <c r="D109">
        <v>-2.7000000000000003E-2</v>
      </c>
      <c r="E109">
        <v>2.3400000000000001E-2</v>
      </c>
      <c r="F109">
        <v>-1.95E-2</v>
      </c>
      <c r="G109">
        <v>3.0000000000000001E-3</v>
      </c>
    </row>
    <row r="110" spans="1:7">
      <c r="A110">
        <v>197206</v>
      </c>
      <c r="B110">
        <v>-2.4300000000000002E-2</v>
      </c>
      <c r="C110">
        <v>-4.3E-3</v>
      </c>
      <c r="D110">
        <v>-2.4799999999999999E-2</v>
      </c>
      <c r="E110">
        <v>1.8800000000000001E-2</v>
      </c>
      <c r="F110">
        <v>-3.5999999999999999E-3</v>
      </c>
      <c r="G110">
        <v>2.8999999999999998E-3</v>
      </c>
    </row>
    <row r="111" spans="1:7">
      <c r="A111">
        <v>197207</v>
      </c>
      <c r="B111">
        <v>-8.0000000000000002E-3</v>
      </c>
      <c r="C111">
        <v>-2.7700000000000002E-2</v>
      </c>
      <c r="D111">
        <v>6.6000000000000008E-3</v>
      </c>
      <c r="E111">
        <v>1.1399999999999999E-2</v>
      </c>
      <c r="F111">
        <v>-6.6000000000000008E-3</v>
      </c>
      <c r="G111">
        <v>3.0999999999999999E-3</v>
      </c>
    </row>
    <row r="112" spans="1:7">
      <c r="A112">
        <v>197208</v>
      </c>
      <c r="B112">
        <v>3.2599999999999997E-2</v>
      </c>
      <c r="C112">
        <v>-3.4799999999999998E-2</v>
      </c>
      <c r="D112">
        <v>4.5400000000000003E-2</v>
      </c>
      <c r="E112">
        <v>-1.9599999999999999E-2</v>
      </c>
      <c r="F112">
        <v>2.8500000000000001E-2</v>
      </c>
      <c r="G112">
        <v>2.8999999999999998E-3</v>
      </c>
    </row>
    <row r="113" spans="1:7">
      <c r="A113">
        <v>197209</v>
      </c>
      <c r="B113">
        <v>-1.1399999999999999E-2</v>
      </c>
      <c r="C113">
        <v>-2.23E-2</v>
      </c>
      <c r="D113">
        <v>4.5999999999999999E-3</v>
      </c>
      <c r="E113">
        <v>1.6799999999999999E-2</v>
      </c>
      <c r="F113">
        <v>-1.9699999999999999E-2</v>
      </c>
      <c r="G113">
        <v>3.4000000000000002E-3</v>
      </c>
    </row>
    <row r="114" spans="1:7">
      <c r="A114">
        <v>197210</v>
      </c>
      <c r="B114">
        <v>5.2000000000000006E-3</v>
      </c>
      <c r="C114">
        <v>-2.5400000000000002E-2</v>
      </c>
      <c r="D114">
        <v>1.34E-2</v>
      </c>
      <c r="E114">
        <v>-1.5E-3</v>
      </c>
      <c r="F114">
        <v>2.0000000000000001E-4</v>
      </c>
      <c r="G114">
        <v>4.0000000000000001E-3</v>
      </c>
    </row>
    <row r="115" spans="1:7">
      <c r="A115">
        <v>197211</v>
      </c>
      <c r="B115">
        <v>4.5999999999999999E-2</v>
      </c>
      <c r="C115">
        <v>-6.1999999999999998E-3</v>
      </c>
      <c r="D115">
        <v>4.8499999999999995E-2</v>
      </c>
      <c r="E115">
        <v>-1.95E-2</v>
      </c>
      <c r="F115">
        <v>3.3700000000000001E-2</v>
      </c>
      <c r="G115">
        <v>3.7000000000000002E-3</v>
      </c>
    </row>
    <row r="116" spans="1:7">
      <c r="A116">
        <v>197212</v>
      </c>
      <c r="B116">
        <v>6.1999999999999998E-3</v>
      </c>
      <c r="C116">
        <v>-1.89E-2</v>
      </c>
      <c r="D116">
        <v>-2.1899999999999999E-2</v>
      </c>
      <c r="E116">
        <v>2.6000000000000002E-2</v>
      </c>
      <c r="F116">
        <v>-2.1600000000000001E-2</v>
      </c>
      <c r="G116">
        <v>3.7000000000000002E-3</v>
      </c>
    </row>
    <row r="117" spans="1:7">
      <c r="A117">
        <v>197301</v>
      </c>
      <c r="B117">
        <v>-3.2899999999999999E-2</v>
      </c>
      <c r="C117">
        <v>-2.81E-2</v>
      </c>
      <c r="D117">
        <v>2.6800000000000001E-2</v>
      </c>
      <c r="E117">
        <v>4.1999999999999997E-3</v>
      </c>
      <c r="F117">
        <v>9.0000000000000011E-3</v>
      </c>
      <c r="G117">
        <v>4.4000000000000003E-3</v>
      </c>
    </row>
    <row r="118" spans="1:7">
      <c r="A118">
        <v>197302</v>
      </c>
      <c r="B118">
        <v>-4.8499999999999995E-2</v>
      </c>
      <c r="C118">
        <v>-3.9100000000000003E-2</v>
      </c>
      <c r="D118">
        <v>1.6E-2</v>
      </c>
      <c r="E118">
        <v>-2.6000000000000003E-3</v>
      </c>
      <c r="F118">
        <v>2.0000000000000001E-4</v>
      </c>
      <c r="G118">
        <v>4.0999999999999995E-3</v>
      </c>
    </row>
    <row r="119" spans="1:7">
      <c r="A119">
        <v>197303</v>
      </c>
      <c r="B119">
        <v>-1.3000000000000001E-2</v>
      </c>
      <c r="C119">
        <v>-2.3300000000000001E-2</v>
      </c>
      <c r="D119">
        <v>2.6200000000000001E-2</v>
      </c>
      <c r="E119">
        <v>-1.0700000000000001E-2</v>
      </c>
      <c r="F119">
        <v>6.1999999999999998E-3</v>
      </c>
      <c r="G119">
        <v>4.5999999999999999E-3</v>
      </c>
    </row>
    <row r="120" spans="1:7">
      <c r="A120">
        <v>197304</v>
      </c>
      <c r="B120">
        <v>-5.6799999999999996E-2</v>
      </c>
      <c r="C120">
        <v>-2.8999999999999998E-2</v>
      </c>
      <c r="D120">
        <v>5.4100000000000002E-2</v>
      </c>
      <c r="E120">
        <v>-1.5800000000000002E-2</v>
      </c>
      <c r="F120">
        <v>2.6000000000000002E-2</v>
      </c>
      <c r="G120">
        <v>5.2000000000000006E-3</v>
      </c>
    </row>
    <row r="121" spans="1:7">
      <c r="A121">
        <v>197305</v>
      </c>
      <c r="B121">
        <v>-2.9399999999999999E-2</v>
      </c>
      <c r="C121">
        <v>-6.1699999999999998E-2</v>
      </c>
      <c r="D121">
        <v>4.0999999999999995E-3</v>
      </c>
      <c r="E121">
        <v>1.95E-2</v>
      </c>
      <c r="F121">
        <v>-1.5700000000000002E-2</v>
      </c>
      <c r="G121">
        <v>5.1000000000000004E-3</v>
      </c>
    </row>
    <row r="122" spans="1:7">
      <c r="A122">
        <v>197306</v>
      </c>
      <c r="B122">
        <v>-1.5700000000000002E-2</v>
      </c>
      <c r="C122">
        <v>-2.4799999999999999E-2</v>
      </c>
      <c r="D122">
        <v>1.2E-2</v>
      </c>
      <c r="E122">
        <v>-2.0999999999999999E-3</v>
      </c>
      <c r="F122">
        <v>1.1000000000000001E-3</v>
      </c>
      <c r="G122">
        <v>5.1000000000000004E-3</v>
      </c>
    </row>
    <row r="123" spans="1:7">
      <c r="A123">
        <v>197307</v>
      </c>
      <c r="B123">
        <v>5.0499999999999996E-2</v>
      </c>
      <c r="C123">
        <v>7.2599999999999998E-2</v>
      </c>
      <c r="D123">
        <v>-5.3099999999999994E-2</v>
      </c>
      <c r="E123">
        <v>-5.0000000000000001E-4</v>
      </c>
      <c r="F123">
        <v>-3.2799999999999996E-2</v>
      </c>
      <c r="G123">
        <v>6.4000000000000003E-3</v>
      </c>
    </row>
    <row r="124" spans="1:7">
      <c r="A124">
        <v>197308</v>
      </c>
      <c r="B124">
        <v>-3.8199999999999998E-2</v>
      </c>
      <c r="C124">
        <v>-1.84E-2</v>
      </c>
      <c r="D124">
        <v>1.24E-2</v>
      </c>
      <c r="E124">
        <v>-1.3100000000000001E-2</v>
      </c>
      <c r="F124">
        <v>1.3000000000000001E-2</v>
      </c>
      <c r="G124">
        <v>6.9999999999999993E-3</v>
      </c>
    </row>
    <row r="125" spans="1:7">
      <c r="A125">
        <v>197309</v>
      </c>
      <c r="B125">
        <v>4.7500000000000001E-2</v>
      </c>
      <c r="C125">
        <v>3.6000000000000004E-2</v>
      </c>
      <c r="D125">
        <v>2.01E-2</v>
      </c>
      <c r="E125">
        <v>-2.3300000000000001E-2</v>
      </c>
      <c r="F125">
        <v>1.77E-2</v>
      </c>
      <c r="G125">
        <v>6.8000000000000005E-3</v>
      </c>
    </row>
    <row r="126" spans="1:7">
      <c r="A126">
        <v>197310</v>
      </c>
      <c r="B126">
        <v>-8.3000000000000001E-3</v>
      </c>
      <c r="C126">
        <v>-3.8E-3</v>
      </c>
      <c r="D126">
        <v>1.9400000000000001E-2</v>
      </c>
      <c r="E126">
        <v>-1.9E-2</v>
      </c>
      <c r="F126">
        <v>2.7099999999999999E-2</v>
      </c>
      <c r="G126">
        <v>6.5000000000000006E-3</v>
      </c>
    </row>
    <row r="127" spans="1:7">
      <c r="A127">
        <v>197311</v>
      </c>
      <c r="B127">
        <v>-0.1275</v>
      </c>
      <c r="C127">
        <v>-7.2800000000000004E-2</v>
      </c>
      <c r="D127">
        <v>3.8700000000000005E-2</v>
      </c>
      <c r="E127">
        <v>-2.63E-2</v>
      </c>
      <c r="F127">
        <v>1.7299999999999999E-2</v>
      </c>
      <c r="G127">
        <v>5.6000000000000008E-3</v>
      </c>
    </row>
    <row r="128" spans="1:7">
      <c r="A128">
        <v>197312</v>
      </c>
      <c r="B128">
        <v>6.1000000000000004E-3</v>
      </c>
      <c r="C128">
        <v>-4.6900000000000004E-2</v>
      </c>
      <c r="D128">
        <v>3.85E-2</v>
      </c>
      <c r="E128">
        <v>-2.7799999999999998E-2</v>
      </c>
      <c r="F128">
        <v>2.4799999999999999E-2</v>
      </c>
      <c r="G128">
        <v>6.4000000000000003E-3</v>
      </c>
    </row>
    <row r="129" spans="1:7">
      <c r="A129">
        <v>197401</v>
      </c>
      <c r="B129">
        <v>-1.7000000000000001E-3</v>
      </c>
      <c r="C129">
        <v>0.1041</v>
      </c>
      <c r="D129">
        <v>6.0199999999999997E-2</v>
      </c>
      <c r="E129">
        <v>-3.0699999999999998E-2</v>
      </c>
      <c r="F129">
        <v>4.4200000000000003E-2</v>
      </c>
      <c r="G129">
        <v>6.3E-3</v>
      </c>
    </row>
    <row r="130" spans="1:7">
      <c r="A130">
        <v>197402</v>
      </c>
      <c r="B130">
        <v>-4.7000000000000002E-3</v>
      </c>
      <c r="C130">
        <v>5.9999999999999995E-4</v>
      </c>
      <c r="D130">
        <v>2.81E-2</v>
      </c>
      <c r="E130">
        <v>-1.8700000000000001E-2</v>
      </c>
      <c r="F130">
        <v>2.63E-2</v>
      </c>
      <c r="G130">
        <v>5.7999999999999996E-3</v>
      </c>
    </row>
    <row r="131" spans="1:7">
      <c r="A131">
        <v>197403</v>
      </c>
      <c r="B131">
        <v>-2.81E-2</v>
      </c>
      <c r="C131">
        <v>2.6499999999999999E-2</v>
      </c>
      <c r="D131">
        <v>-3.2000000000000002E-3</v>
      </c>
      <c r="E131">
        <v>2.7999999999999997E-2</v>
      </c>
      <c r="F131">
        <v>4.4000000000000003E-3</v>
      </c>
      <c r="G131">
        <v>5.6000000000000008E-3</v>
      </c>
    </row>
    <row r="132" spans="1:7">
      <c r="A132">
        <v>197404</v>
      </c>
      <c r="B132">
        <v>-5.2900000000000003E-2</v>
      </c>
      <c r="C132">
        <v>-6.9999999999999993E-3</v>
      </c>
      <c r="D132">
        <v>8.5000000000000006E-3</v>
      </c>
      <c r="E132">
        <v>2.8700000000000003E-2</v>
      </c>
      <c r="F132">
        <v>2.0899999999999998E-2</v>
      </c>
      <c r="G132">
        <v>7.4999999999999997E-3</v>
      </c>
    </row>
    <row r="133" spans="1:7">
      <c r="A133">
        <v>197405</v>
      </c>
      <c r="B133">
        <v>-4.6800000000000001E-2</v>
      </c>
      <c r="C133">
        <v>-3.0699999999999998E-2</v>
      </c>
      <c r="D133">
        <v>-2.0199999999999999E-2</v>
      </c>
      <c r="E133">
        <v>4.9500000000000002E-2</v>
      </c>
      <c r="F133">
        <v>-4.1999999999999997E-3</v>
      </c>
      <c r="G133">
        <v>7.4999999999999997E-3</v>
      </c>
    </row>
    <row r="134" spans="1:7">
      <c r="A134">
        <v>197406</v>
      </c>
      <c r="B134">
        <v>-2.8300000000000002E-2</v>
      </c>
      <c r="C134">
        <v>0</v>
      </c>
      <c r="D134">
        <v>7.7000000000000002E-3</v>
      </c>
      <c r="E134">
        <v>5.6999999999999993E-3</v>
      </c>
      <c r="F134">
        <v>2.9399999999999999E-2</v>
      </c>
      <c r="G134">
        <v>6.0000000000000001E-3</v>
      </c>
    </row>
    <row r="135" spans="1:7">
      <c r="A135">
        <v>197407</v>
      </c>
      <c r="B135">
        <v>-8.0500000000000002E-2</v>
      </c>
      <c r="C135">
        <v>1.9199999999999998E-2</v>
      </c>
      <c r="D135">
        <v>5.16E-2</v>
      </c>
      <c r="E135">
        <v>-3.2500000000000001E-2</v>
      </c>
      <c r="F135">
        <v>4.5999999999999999E-2</v>
      </c>
      <c r="G135">
        <v>6.9999999999999993E-3</v>
      </c>
    </row>
    <row r="136" spans="1:7">
      <c r="A136">
        <v>197408</v>
      </c>
      <c r="B136">
        <v>-9.35E-2</v>
      </c>
      <c r="C136">
        <v>2.6000000000000003E-3</v>
      </c>
      <c r="D136">
        <v>2.6400000000000003E-2</v>
      </c>
      <c r="E136">
        <v>-2.8000000000000004E-3</v>
      </c>
      <c r="F136">
        <v>2.6000000000000002E-2</v>
      </c>
      <c r="G136">
        <v>6.0000000000000001E-3</v>
      </c>
    </row>
    <row r="137" spans="1:7">
      <c r="A137">
        <v>197409</v>
      </c>
      <c r="B137">
        <v>-0.1177</v>
      </c>
      <c r="C137">
        <v>1.4800000000000001E-2</v>
      </c>
      <c r="D137">
        <v>5.5800000000000002E-2</v>
      </c>
      <c r="E137">
        <v>-4.4400000000000002E-2</v>
      </c>
      <c r="F137">
        <v>5.91E-2</v>
      </c>
      <c r="G137">
        <v>8.1000000000000013E-3</v>
      </c>
    </row>
    <row r="138" spans="1:7">
      <c r="A138">
        <v>197410</v>
      </c>
      <c r="B138">
        <v>0.161</v>
      </c>
      <c r="C138">
        <v>-6.8200000000000011E-2</v>
      </c>
      <c r="D138">
        <v>-9.8699999999999996E-2</v>
      </c>
      <c r="E138">
        <v>-2.0999999999999999E-3</v>
      </c>
      <c r="F138">
        <v>-2.86E-2</v>
      </c>
      <c r="G138">
        <v>5.1000000000000004E-3</v>
      </c>
    </row>
    <row r="139" spans="1:7">
      <c r="A139">
        <v>197411</v>
      </c>
      <c r="B139">
        <v>-4.5100000000000001E-2</v>
      </c>
      <c r="C139">
        <v>-1.4800000000000001E-2</v>
      </c>
      <c r="D139">
        <v>-2E-3</v>
      </c>
      <c r="E139">
        <v>-3.3700000000000001E-2</v>
      </c>
      <c r="F139">
        <v>2.92E-2</v>
      </c>
      <c r="G139">
        <v>5.4000000000000003E-3</v>
      </c>
    </row>
    <row r="140" spans="1:7">
      <c r="A140">
        <v>197412</v>
      </c>
      <c r="B140">
        <v>-3.4500000000000003E-2</v>
      </c>
      <c r="C140">
        <v>-4.3499999999999997E-2</v>
      </c>
      <c r="D140">
        <v>1.1000000000000001E-3</v>
      </c>
      <c r="E140">
        <v>-6.8000000000000005E-3</v>
      </c>
      <c r="F140">
        <v>3.2500000000000001E-2</v>
      </c>
      <c r="G140">
        <v>6.9999999999999993E-3</v>
      </c>
    </row>
    <row r="141" spans="1:7">
      <c r="A141">
        <v>197501</v>
      </c>
      <c r="B141">
        <v>0.1366</v>
      </c>
      <c r="C141">
        <v>0.12909999999999999</v>
      </c>
      <c r="D141">
        <v>8.2799999999999999E-2</v>
      </c>
      <c r="E141">
        <v>-7.8000000000000005E-3</v>
      </c>
      <c r="F141">
        <v>-9.0000000000000011E-3</v>
      </c>
      <c r="G141">
        <v>5.7999999999999996E-3</v>
      </c>
    </row>
    <row r="142" spans="1:7">
      <c r="A142">
        <v>197502</v>
      </c>
      <c r="B142">
        <v>5.5599999999999997E-2</v>
      </c>
      <c r="C142">
        <v>-6.5000000000000006E-3</v>
      </c>
      <c r="D142">
        <v>-4.4500000000000005E-2</v>
      </c>
      <c r="E142">
        <v>1.1599999999999999E-2</v>
      </c>
      <c r="F142">
        <v>-2.1100000000000001E-2</v>
      </c>
      <c r="G142">
        <v>4.3E-3</v>
      </c>
    </row>
    <row r="143" spans="1:7">
      <c r="A143">
        <v>197503</v>
      </c>
      <c r="B143">
        <v>2.6600000000000002E-2</v>
      </c>
      <c r="C143">
        <v>0.04</v>
      </c>
      <c r="D143">
        <v>2.3799999999999998E-2</v>
      </c>
      <c r="E143">
        <v>1.26E-2</v>
      </c>
      <c r="F143">
        <v>-1.3300000000000001E-2</v>
      </c>
      <c r="G143">
        <v>4.0999999999999995E-3</v>
      </c>
    </row>
    <row r="144" spans="1:7">
      <c r="A144">
        <v>197504</v>
      </c>
      <c r="B144">
        <v>4.2300000000000004E-2</v>
      </c>
      <c r="C144">
        <v>-7.0999999999999995E-3</v>
      </c>
      <c r="D144">
        <v>-1.1399999999999999E-2</v>
      </c>
      <c r="E144">
        <v>1.41E-2</v>
      </c>
      <c r="F144">
        <v>-1.34E-2</v>
      </c>
      <c r="G144">
        <v>4.4000000000000003E-3</v>
      </c>
    </row>
    <row r="145" spans="1:7">
      <c r="A145">
        <v>197505</v>
      </c>
      <c r="B145">
        <v>5.1900000000000002E-2</v>
      </c>
      <c r="C145">
        <v>2.8900000000000002E-2</v>
      </c>
      <c r="D145">
        <v>-4.0999999999999995E-2</v>
      </c>
      <c r="E145">
        <v>-9.7999999999999997E-3</v>
      </c>
      <c r="F145">
        <v>-6.0000000000000001E-3</v>
      </c>
      <c r="G145">
        <v>4.4000000000000003E-3</v>
      </c>
    </row>
    <row r="146" spans="1:7">
      <c r="A146">
        <v>197506</v>
      </c>
      <c r="B146">
        <v>4.8300000000000003E-2</v>
      </c>
      <c r="C146">
        <v>1.43E-2</v>
      </c>
      <c r="D146">
        <v>1.38E-2</v>
      </c>
      <c r="E146">
        <v>-2.6600000000000002E-2</v>
      </c>
      <c r="F146">
        <v>1.06E-2</v>
      </c>
      <c r="G146">
        <v>4.0999999999999995E-3</v>
      </c>
    </row>
    <row r="147" spans="1:7">
      <c r="A147">
        <v>197507</v>
      </c>
      <c r="B147">
        <v>-6.59E-2</v>
      </c>
      <c r="C147">
        <v>3.44E-2</v>
      </c>
      <c r="D147">
        <v>1.6899999999999998E-2</v>
      </c>
      <c r="E147">
        <v>4.5999999999999999E-3</v>
      </c>
      <c r="F147">
        <v>1.2200000000000001E-2</v>
      </c>
      <c r="G147">
        <v>4.7999999999999996E-3</v>
      </c>
    </row>
    <row r="148" spans="1:7">
      <c r="A148">
        <v>197508</v>
      </c>
      <c r="B148">
        <v>-2.8500000000000001E-2</v>
      </c>
      <c r="C148">
        <v>-2.8399999999999998E-2</v>
      </c>
      <c r="D148">
        <v>-9.4999999999999998E-3</v>
      </c>
      <c r="E148">
        <v>1.11E-2</v>
      </c>
      <c r="F148">
        <v>-9.300000000000001E-3</v>
      </c>
      <c r="G148">
        <v>4.7999999999999996E-3</v>
      </c>
    </row>
    <row r="149" spans="1:7">
      <c r="A149">
        <v>197509</v>
      </c>
      <c r="B149">
        <v>-4.2599999999999999E-2</v>
      </c>
      <c r="C149">
        <v>5.0000000000000001E-4</v>
      </c>
      <c r="D149">
        <v>3.9000000000000003E-3</v>
      </c>
      <c r="E149">
        <v>5.3E-3</v>
      </c>
      <c r="F149">
        <v>5.5000000000000005E-3</v>
      </c>
      <c r="G149">
        <v>5.3E-3</v>
      </c>
    </row>
    <row r="150" spans="1:7">
      <c r="A150">
        <v>197510</v>
      </c>
      <c r="B150">
        <v>5.3099999999999994E-2</v>
      </c>
      <c r="C150">
        <v>-4.2300000000000004E-2</v>
      </c>
      <c r="D150">
        <v>2.8000000000000004E-3</v>
      </c>
      <c r="E150">
        <v>-4.8999999999999998E-3</v>
      </c>
      <c r="F150">
        <v>2.2599999999999999E-2</v>
      </c>
      <c r="G150">
        <v>5.6000000000000008E-3</v>
      </c>
    </row>
    <row r="151" spans="1:7">
      <c r="A151">
        <v>197511</v>
      </c>
      <c r="B151">
        <v>2.6400000000000003E-2</v>
      </c>
      <c r="C151">
        <v>-1.0900000000000002E-2</v>
      </c>
      <c r="D151">
        <v>2.0299999999999999E-2</v>
      </c>
      <c r="E151">
        <v>-6.8000000000000005E-3</v>
      </c>
      <c r="F151">
        <v>1.7500000000000002E-2</v>
      </c>
      <c r="G151">
        <v>4.0999999999999995E-3</v>
      </c>
    </row>
    <row r="152" spans="1:7">
      <c r="A152">
        <v>197512</v>
      </c>
      <c r="B152">
        <v>-1.6E-2</v>
      </c>
      <c r="C152">
        <v>-5.0000000000000001E-4</v>
      </c>
      <c r="D152">
        <v>1.6899999999999998E-2</v>
      </c>
      <c r="E152">
        <v>-8.9999999999999998E-4</v>
      </c>
      <c r="F152">
        <v>5.6999999999999993E-3</v>
      </c>
      <c r="G152">
        <v>4.7999999999999996E-3</v>
      </c>
    </row>
    <row r="153" spans="1:7">
      <c r="A153">
        <v>197601</v>
      </c>
      <c r="B153">
        <v>0.1216</v>
      </c>
      <c r="C153">
        <v>6.3399999999999998E-2</v>
      </c>
      <c r="D153">
        <v>8.6300000000000016E-2</v>
      </c>
      <c r="E153">
        <v>-1.7899999999999999E-2</v>
      </c>
      <c r="F153">
        <v>2.2799999999999997E-2</v>
      </c>
      <c r="G153">
        <v>4.7000000000000002E-3</v>
      </c>
    </row>
    <row r="154" spans="1:7">
      <c r="A154">
        <v>197602</v>
      </c>
      <c r="B154">
        <v>3.2000000000000002E-3</v>
      </c>
      <c r="C154">
        <v>7.9899999999999999E-2</v>
      </c>
      <c r="D154">
        <v>5.8700000000000002E-2</v>
      </c>
      <c r="E154">
        <v>-2.6400000000000003E-2</v>
      </c>
      <c r="F154">
        <v>3.8700000000000005E-2</v>
      </c>
      <c r="G154">
        <v>3.4000000000000002E-3</v>
      </c>
    </row>
    <row r="155" spans="1:7">
      <c r="A155">
        <v>197603</v>
      </c>
      <c r="B155">
        <v>2.3199999999999998E-2</v>
      </c>
      <c r="C155">
        <v>-1.38E-2</v>
      </c>
      <c r="D155">
        <v>-1.1999999999999999E-3</v>
      </c>
      <c r="E155">
        <v>-3.3000000000000004E-3</v>
      </c>
      <c r="F155">
        <v>9.5999999999999992E-3</v>
      </c>
      <c r="G155">
        <v>4.0000000000000001E-3</v>
      </c>
    </row>
    <row r="156" spans="1:7">
      <c r="A156">
        <v>197604</v>
      </c>
      <c r="B156">
        <v>-1.49E-2</v>
      </c>
      <c r="C156">
        <v>8.0000000000000004E-4</v>
      </c>
      <c r="D156">
        <v>-1.6000000000000001E-3</v>
      </c>
      <c r="E156">
        <v>4.0000000000000001E-3</v>
      </c>
      <c r="F156">
        <v>-1.1000000000000001E-2</v>
      </c>
      <c r="G156">
        <v>4.1999999999999997E-3</v>
      </c>
    </row>
    <row r="157" spans="1:7">
      <c r="A157">
        <v>197605</v>
      </c>
      <c r="B157">
        <v>-1.34E-2</v>
      </c>
      <c r="C157">
        <v>-1.1000000000000001E-2</v>
      </c>
      <c r="D157">
        <v>-1.3600000000000001E-2</v>
      </c>
      <c r="E157">
        <v>2.46E-2</v>
      </c>
      <c r="F157">
        <v>-1.41E-2</v>
      </c>
      <c r="G157">
        <v>3.7000000000000002E-3</v>
      </c>
    </row>
    <row r="158" spans="1:7">
      <c r="A158">
        <v>197606</v>
      </c>
      <c r="B158">
        <v>4.0500000000000001E-2</v>
      </c>
      <c r="C158">
        <v>-1.0700000000000001E-2</v>
      </c>
      <c r="D158">
        <v>7.0999999999999995E-3</v>
      </c>
      <c r="E158">
        <v>-6.8000000000000005E-3</v>
      </c>
      <c r="F158">
        <v>1.0200000000000001E-2</v>
      </c>
      <c r="G158">
        <v>4.3E-3</v>
      </c>
    </row>
    <row r="159" spans="1:7">
      <c r="A159">
        <v>197607</v>
      </c>
      <c r="B159">
        <v>-1.0700000000000001E-2</v>
      </c>
      <c r="C159">
        <v>6.3E-3</v>
      </c>
      <c r="D159">
        <v>1.7299999999999999E-2</v>
      </c>
      <c r="E159">
        <v>-1.0500000000000001E-2</v>
      </c>
      <c r="F159">
        <v>2.8000000000000004E-3</v>
      </c>
      <c r="G159">
        <v>4.7000000000000002E-3</v>
      </c>
    </row>
    <row r="160" spans="1:7">
      <c r="A160">
        <v>197608</v>
      </c>
      <c r="B160">
        <v>-5.6000000000000008E-3</v>
      </c>
      <c r="C160">
        <v>-1.9800000000000002E-2</v>
      </c>
      <c r="D160">
        <v>8.1000000000000013E-3</v>
      </c>
      <c r="E160">
        <v>-4.1999999999999997E-3</v>
      </c>
      <c r="F160">
        <v>-5.5000000000000005E-3</v>
      </c>
      <c r="G160">
        <v>4.1999999999999997E-3</v>
      </c>
    </row>
    <row r="161" spans="1:7">
      <c r="A161">
        <v>197609</v>
      </c>
      <c r="B161">
        <v>2.07E-2</v>
      </c>
      <c r="C161">
        <v>1E-3</v>
      </c>
      <c r="D161">
        <v>-2.8999999999999998E-3</v>
      </c>
      <c r="E161">
        <v>9.7999999999999997E-3</v>
      </c>
      <c r="F161">
        <v>-1.15E-2</v>
      </c>
      <c r="G161">
        <v>4.4000000000000003E-3</v>
      </c>
    </row>
    <row r="162" spans="1:7">
      <c r="A162">
        <v>197610</v>
      </c>
      <c r="B162">
        <v>-2.4199999999999999E-2</v>
      </c>
      <c r="C162">
        <v>1.3000000000000002E-3</v>
      </c>
      <c r="D162">
        <v>-1.8E-3</v>
      </c>
      <c r="E162">
        <v>-1.9E-3</v>
      </c>
      <c r="F162">
        <v>-3.7000000000000002E-3</v>
      </c>
      <c r="G162">
        <v>4.0999999999999995E-3</v>
      </c>
    </row>
    <row r="163" spans="1:7">
      <c r="A163">
        <v>197611</v>
      </c>
      <c r="B163">
        <v>3.5999999999999999E-3</v>
      </c>
      <c r="C163">
        <v>2.6600000000000002E-2</v>
      </c>
      <c r="D163">
        <v>1.5100000000000001E-2</v>
      </c>
      <c r="E163">
        <v>-1.41E-2</v>
      </c>
      <c r="F163">
        <v>8.9999999999999998E-4</v>
      </c>
      <c r="G163">
        <v>4.0000000000000001E-3</v>
      </c>
    </row>
    <row r="164" spans="1:7">
      <c r="A164">
        <v>197612</v>
      </c>
      <c r="B164">
        <v>5.6500000000000002E-2</v>
      </c>
      <c r="C164">
        <v>3.6400000000000002E-2</v>
      </c>
      <c r="D164">
        <v>2.2700000000000001E-2</v>
      </c>
      <c r="E164">
        <v>-6.1000000000000004E-3</v>
      </c>
      <c r="F164">
        <v>2.2799999999999997E-2</v>
      </c>
      <c r="G164">
        <v>4.0000000000000001E-3</v>
      </c>
    </row>
    <row r="165" spans="1:7">
      <c r="A165">
        <v>197701</v>
      </c>
      <c r="B165">
        <v>-4.0500000000000001E-2</v>
      </c>
      <c r="C165">
        <v>5.9000000000000004E-2</v>
      </c>
      <c r="D165">
        <v>4.2699999999999995E-2</v>
      </c>
      <c r="E165">
        <v>-5.1000000000000004E-3</v>
      </c>
      <c r="F165">
        <v>1.9699999999999999E-2</v>
      </c>
      <c r="G165">
        <v>3.5999999999999999E-3</v>
      </c>
    </row>
    <row r="166" spans="1:7">
      <c r="A166">
        <v>197702</v>
      </c>
      <c r="B166">
        <v>-1.9400000000000001E-2</v>
      </c>
      <c r="C166">
        <v>1.0700000000000001E-2</v>
      </c>
      <c r="D166">
        <v>4.7000000000000002E-3</v>
      </c>
      <c r="E166">
        <v>-1.6000000000000001E-3</v>
      </c>
      <c r="F166">
        <v>-2.2000000000000001E-3</v>
      </c>
      <c r="G166">
        <v>3.4999999999999996E-3</v>
      </c>
    </row>
    <row r="167" spans="1:7">
      <c r="A167">
        <v>197703</v>
      </c>
      <c r="B167">
        <v>-1.3700000000000002E-2</v>
      </c>
      <c r="C167">
        <v>1.3100000000000001E-2</v>
      </c>
      <c r="D167">
        <v>1.0900000000000002E-2</v>
      </c>
      <c r="E167">
        <v>-3.0000000000000001E-3</v>
      </c>
      <c r="F167">
        <v>-5.9999999999999995E-4</v>
      </c>
      <c r="G167">
        <v>3.8E-3</v>
      </c>
    </row>
    <row r="168" spans="1:7">
      <c r="A168">
        <v>197704</v>
      </c>
      <c r="B168">
        <v>1.5E-3</v>
      </c>
      <c r="C168">
        <v>6.1000000000000004E-3</v>
      </c>
      <c r="D168">
        <v>3.3799999999999997E-2</v>
      </c>
      <c r="E168">
        <v>-2.01E-2</v>
      </c>
      <c r="F168">
        <v>1.1399999999999999E-2</v>
      </c>
      <c r="G168">
        <v>3.8E-3</v>
      </c>
    </row>
    <row r="169" spans="1:7">
      <c r="A169">
        <v>197705</v>
      </c>
      <c r="B169">
        <v>-1.4499999999999999E-2</v>
      </c>
      <c r="C169">
        <v>1.3100000000000001E-2</v>
      </c>
      <c r="D169">
        <v>8.5000000000000006E-3</v>
      </c>
      <c r="E169">
        <v>3.3000000000000004E-3</v>
      </c>
      <c r="F169">
        <v>1.9E-3</v>
      </c>
      <c r="G169">
        <v>3.7000000000000002E-3</v>
      </c>
    </row>
    <row r="170" spans="1:7">
      <c r="A170">
        <v>197706</v>
      </c>
      <c r="B170">
        <v>4.7100000000000003E-2</v>
      </c>
      <c r="C170">
        <v>2.0800000000000003E-2</v>
      </c>
      <c r="D170">
        <v>-7.4000000000000003E-3</v>
      </c>
      <c r="E170">
        <v>9.1000000000000004E-3</v>
      </c>
      <c r="F170">
        <v>-1.2E-2</v>
      </c>
      <c r="G170">
        <v>4.0000000000000001E-3</v>
      </c>
    </row>
    <row r="171" spans="1:7">
      <c r="A171">
        <v>197707</v>
      </c>
      <c r="B171">
        <v>-1.6899999999999998E-2</v>
      </c>
      <c r="C171">
        <v>1.8800000000000001E-2</v>
      </c>
      <c r="D171">
        <v>-5.6000000000000008E-3</v>
      </c>
      <c r="E171">
        <v>7.3000000000000001E-3</v>
      </c>
      <c r="F171">
        <v>8.9999999999999998E-4</v>
      </c>
      <c r="G171">
        <v>4.1999999999999997E-3</v>
      </c>
    </row>
    <row r="172" spans="1:7">
      <c r="A172">
        <v>197708</v>
      </c>
      <c r="B172">
        <v>-1.7500000000000002E-2</v>
      </c>
      <c r="C172">
        <v>8.6E-3</v>
      </c>
      <c r="D172">
        <v>-2.7000000000000003E-2</v>
      </c>
      <c r="E172">
        <v>9.7999999999999997E-3</v>
      </c>
      <c r="F172">
        <v>-6.6000000000000008E-3</v>
      </c>
      <c r="G172">
        <v>4.4000000000000003E-3</v>
      </c>
    </row>
    <row r="173" spans="1:7">
      <c r="A173">
        <v>197709</v>
      </c>
      <c r="B173">
        <v>-2.7000000000000001E-3</v>
      </c>
      <c r="C173">
        <v>1.43E-2</v>
      </c>
      <c r="D173">
        <v>-5.2000000000000006E-3</v>
      </c>
      <c r="E173">
        <v>1.43E-2</v>
      </c>
      <c r="F173">
        <v>-8.3999999999999995E-3</v>
      </c>
      <c r="G173">
        <v>4.3E-3</v>
      </c>
    </row>
    <row r="174" spans="1:7">
      <c r="A174">
        <v>197710</v>
      </c>
      <c r="B174">
        <v>-4.3799999999999999E-2</v>
      </c>
      <c r="C174">
        <v>1.4800000000000001E-2</v>
      </c>
      <c r="D174">
        <v>1.7500000000000002E-2</v>
      </c>
      <c r="E174">
        <v>-2E-3</v>
      </c>
      <c r="F174">
        <v>-3.0000000000000001E-3</v>
      </c>
      <c r="G174">
        <v>4.8999999999999998E-3</v>
      </c>
    </row>
    <row r="175" spans="1:7">
      <c r="A175">
        <v>197711</v>
      </c>
      <c r="B175">
        <v>0.04</v>
      </c>
      <c r="C175">
        <v>3.6400000000000002E-2</v>
      </c>
      <c r="D175">
        <v>2.6000000000000003E-3</v>
      </c>
      <c r="E175">
        <v>-1.3000000000000002E-3</v>
      </c>
      <c r="F175">
        <v>7.3000000000000001E-3</v>
      </c>
      <c r="G175">
        <v>5.0000000000000001E-3</v>
      </c>
    </row>
    <row r="176" spans="1:7">
      <c r="A176">
        <v>197712</v>
      </c>
      <c r="B176">
        <v>2.7000000000000001E-3</v>
      </c>
      <c r="C176">
        <v>1.5900000000000001E-2</v>
      </c>
      <c r="D176">
        <v>-2.8999999999999998E-3</v>
      </c>
      <c r="E176">
        <v>9.1999999999999998E-3</v>
      </c>
      <c r="F176">
        <v>-6.8999999999999999E-3</v>
      </c>
      <c r="G176">
        <v>4.8999999999999998E-3</v>
      </c>
    </row>
    <row r="177" spans="1:7">
      <c r="A177">
        <v>197801</v>
      </c>
      <c r="B177">
        <v>-6.0100000000000001E-2</v>
      </c>
      <c r="C177">
        <v>2.7200000000000002E-2</v>
      </c>
      <c r="D177">
        <v>3.3599999999999998E-2</v>
      </c>
      <c r="E177">
        <v>-1.72E-2</v>
      </c>
      <c r="F177">
        <v>1.52E-2</v>
      </c>
      <c r="G177">
        <v>4.8999999999999998E-3</v>
      </c>
    </row>
    <row r="178" spans="1:7">
      <c r="A178">
        <v>197802</v>
      </c>
      <c r="B178">
        <v>-1.38E-2</v>
      </c>
      <c r="C178">
        <v>3.7000000000000005E-2</v>
      </c>
      <c r="D178">
        <v>8.3000000000000001E-3</v>
      </c>
      <c r="E178">
        <v>3.0000000000000001E-3</v>
      </c>
      <c r="F178">
        <v>1.01E-2</v>
      </c>
      <c r="G178">
        <v>4.5999999999999999E-3</v>
      </c>
    </row>
    <row r="179" spans="1:7">
      <c r="A179">
        <v>197803</v>
      </c>
      <c r="B179">
        <v>2.8500000000000001E-2</v>
      </c>
      <c r="C179">
        <v>3.7100000000000001E-2</v>
      </c>
      <c r="D179">
        <v>1.18E-2</v>
      </c>
      <c r="E179">
        <v>-5.8999999999999999E-3</v>
      </c>
      <c r="F179">
        <v>1.89E-2</v>
      </c>
      <c r="G179">
        <v>5.3E-3</v>
      </c>
    </row>
    <row r="180" spans="1:7">
      <c r="A180">
        <v>197804</v>
      </c>
      <c r="B180">
        <v>7.8799999999999995E-2</v>
      </c>
      <c r="C180">
        <v>-2.6000000000000003E-3</v>
      </c>
      <c r="D180">
        <v>-3.5400000000000001E-2</v>
      </c>
      <c r="E180">
        <v>2.81E-2</v>
      </c>
      <c r="F180">
        <v>-1.26E-2</v>
      </c>
      <c r="G180">
        <v>5.4000000000000003E-3</v>
      </c>
    </row>
    <row r="181" spans="1:7">
      <c r="A181">
        <v>197805</v>
      </c>
      <c r="B181">
        <v>1.7600000000000001E-2</v>
      </c>
      <c r="C181">
        <v>4.58E-2</v>
      </c>
      <c r="D181">
        <v>-5.2000000000000006E-3</v>
      </c>
      <c r="E181">
        <v>2.2000000000000001E-3</v>
      </c>
      <c r="F181">
        <v>4.0999999999999995E-3</v>
      </c>
      <c r="G181">
        <v>5.1000000000000004E-3</v>
      </c>
    </row>
    <row r="182" spans="1:7">
      <c r="A182">
        <v>197806</v>
      </c>
      <c r="B182">
        <v>-1.6899999999999998E-2</v>
      </c>
      <c r="C182">
        <v>1.5600000000000001E-2</v>
      </c>
      <c r="D182">
        <v>5.6999999999999993E-3</v>
      </c>
      <c r="E182">
        <v>-1.3999999999999999E-2</v>
      </c>
      <c r="F182">
        <v>-7.000000000000001E-4</v>
      </c>
      <c r="G182">
        <v>5.4000000000000003E-3</v>
      </c>
    </row>
    <row r="183" spans="1:7">
      <c r="A183">
        <v>197807</v>
      </c>
      <c r="B183">
        <v>5.1100000000000007E-2</v>
      </c>
      <c r="C183">
        <v>1.1999999999999999E-3</v>
      </c>
      <c r="D183">
        <v>-1.15E-2</v>
      </c>
      <c r="E183">
        <v>1.5500000000000002E-2</v>
      </c>
      <c r="F183">
        <v>-7.8000000000000005E-3</v>
      </c>
      <c r="G183">
        <v>5.6000000000000008E-3</v>
      </c>
    </row>
    <row r="184" spans="1:7">
      <c r="A184">
        <v>197808</v>
      </c>
      <c r="B184">
        <v>3.7499999999999999E-2</v>
      </c>
      <c r="C184">
        <v>4.9500000000000002E-2</v>
      </c>
      <c r="D184">
        <v>-5.1000000000000004E-3</v>
      </c>
      <c r="E184">
        <v>1.43E-2</v>
      </c>
      <c r="F184">
        <v>4.5999999999999999E-3</v>
      </c>
      <c r="G184">
        <v>5.6000000000000008E-3</v>
      </c>
    </row>
    <row r="185" spans="1:7">
      <c r="A185">
        <v>197809</v>
      </c>
      <c r="B185">
        <v>-1.43E-2</v>
      </c>
      <c r="C185">
        <v>-3.2000000000000002E-3</v>
      </c>
      <c r="D185">
        <v>1.89E-2</v>
      </c>
      <c r="E185">
        <v>-6.7000000000000002E-3</v>
      </c>
      <c r="F185">
        <v>1.78E-2</v>
      </c>
      <c r="G185">
        <v>6.1999999999999998E-3</v>
      </c>
    </row>
    <row r="186" spans="1:7">
      <c r="A186">
        <v>197810</v>
      </c>
      <c r="B186">
        <v>-0.1191</v>
      </c>
      <c r="C186">
        <v>-0.1002</v>
      </c>
      <c r="D186">
        <v>1.38E-2</v>
      </c>
      <c r="E186">
        <v>1.1999999999999999E-3</v>
      </c>
      <c r="F186">
        <v>9.4000000000000004E-3</v>
      </c>
      <c r="G186">
        <v>6.8000000000000005E-3</v>
      </c>
    </row>
    <row r="187" spans="1:7">
      <c r="A187">
        <v>197811</v>
      </c>
      <c r="B187">
        <v>2.7099999999999999E-2</v>
      </c>
      <c r="C187">
        <v>2.81E-2</v>
      </c>
      <c r="D187">
        <v>-2.1499999999999998E-2</v>
      </c>
      <c r="E187">
        <v>1.1299999999999999E-2</v>
      </c>
      <c r="F187">
        <v>-1.17E-2</v>
      </c>
      <c r="G187">
        <v>6.9999999999999993E-3</v>
      </c>
    </row>
    <row r="188" spans="1:7">
      <c r="A188">
        <v>197812</v>
      </c>
      <c r="B188">
        <v>8.8000000000000005E-3</v>
      </c>
      <c r="C188">
        <v>1.1299999999999999E-2</v>
      </c>
      <c r="D188">
        <v>-2.1299999999999999E-2</v>
      </c>
      <c r="E188">
        <v>2.01E-2</v>
      </c>
      <c r="F188">
        <v>-1.3200000000000002E-2</v>
      </c>
      <c r="G188">
        <v>7.8000000000000005E-3</v>
      </c>
    </row>
    <row r="189" spans="1:7">
      <c r="A189">
        <v>197901</v>
      </c>
      <c r="B189">
        <v>4.2300000000000004E-2</v>
      </c>
      <c r="C189">
        <v>3.78E-2</v>
      </c>
      <c r="D189">
        <v>2.1899999999999999E-2</v>
      </c>
      <c r="E189">
        <v>-2.4700000000000003E-2</v>
      </c>
      <c r="F189">
        <v>1.52E-2</v>
      </c>
      <c r="G189">
        <v>7.7000000000000002E-3</v>
      </c>
    </row>
    <row r="190" spans="1:7">
      <c r="A190">
        <v>197902</v>
      </c>
      <c r="B190">
        <v>-3.56E-2</v>
      </c>
      <c r="C190">
        <v>5.4000000000000003E-3</v>
      </c>
      <c r="D190">
        <v>1.17E-2</v>
      </c>
      <c r="E190">
        <v>-1.1200000000000002E-2</v>
      </c>
      <c r="F190">
        <v>9.4000000000000004E-3</v>
      </c>
      <c r="G190">
        <v>7.3000000000000001E-3</v>
      </c>
    </row>
    <row r="191" spans="1:7">
      <c r="A191">
        <v>197903</v>
      </c>
      <c r="B191">
        <v>5.6799999999999996E-2</v>
      </c>
      <c r="C191">
        <v>3.2400000000000005E-2</v>
      </c>
      <c r="D191">
        <v>-7.0999999999999995E-3</v>
      </c>
      <c r="E191">
        <v>5.3E-3</v>
      </c>
      <c r="F191">
        <v>3.2000000000000002E-3</v>
      </c>
      <c r="G191">
        <v>8.1000000000000013E-3</v>
      </c>
    </row>
    <row r="192" spans="1:7">
      <c r="A192">
        <v>197904</v>
      </c>
      <c r="B192">
        <v>-5.9999999999999995E-4</v>
      </c>
      <c r="C192">
        <v>2.3700000000000002E-2</v>
      </c>
      <c r="D192">
        <v>1.1200000000000002E-2</v>
      </c>
      <c r="E192">
        <v>1.0800000000000001E-2</v>
      </c>
      <c r="F192">
        <v>1.7000000000000001E-3</v>
      </c>
      <c r="G192">
        <v>8.0000000000000002E-3</v>
      </c>
    </row>
    <row r="193" spans="1:7">
      <c r="A193">
        <v>197905</v>
      </c>
      <c r="B193">
        <v>-2.2100000000000002E-2</v>
      </c>
      <c r="C193">
        <v>1.8E-3</v>
      </c>
      <c r="D193">
        <v>1.3100000000000001E-2</v>
      </c>
      <c r="E193">
        <v>-1.54E-2</v>
      </c>
      <c r="F193">
        <v>-2.7000000000000001E-3</v>
      </c>
      <c r="G193">
        <v>8.199999999999999E-3</v>
      </c>
    </row>
    <row r="194" spans="1:7">
      <c r="A194">
        <v>197906</v>
      </c>
      <c r="B194">
        <v>3.85E-2</v>
      </c>
      <c r="C194">
        <v>0.01</v>
      </c>
      <c r="D194">
        <v>1.44E-2</v>
      </c>
      <c r="E194">
        <v>-1.66E-2</v>
      </c>
      <c r="F194">
        <v>-5.2000000000000006E-3</v>
      </c>
      <c r="G194">
        <v>8.1000000000000013E-3</v>
      </c>
    </row>
    <row r="195" spans="1:7">
      <c r="A195">
        <v>197907</v>
      </c>
      <c r="B195">
        <v>8.199999999999999E-3</v>
      </c>
      <c r="C195">
        <v>1.2700000000000001E-2</v>
      </c>
      <c r="D195">
        <v>1.8600000000000002E-2</v>
      </c>
      <c r="E195">
        <v>-2.8999999999999998E-3</v>
      </c>
      <c r="F195">
        <v>7.0999999999999995E-3</v>
      </c>
      <c r="G195">
        <v>7.7000000000000002E-3</v>
      </c>
    </row>
    <row r="196" spans="1:7">
      <c r="A196">
        <v>197908</v>
      </c>
      <c r="B196">
        <v>5.5300000000000002E-2</v>
      </c>
      <c r="C196">
        <v>1.9199999999999998E-2</v>
      </c>
      <c r="D196">
        <v>-1.5800000000000002E-2</v>
      </c>
      <c r="E196">
        <v>1.6200000000000003E-2</v>
      </c>
      <c r="F196">
        <v>-1.4800000000000001E-2</v>
      </c>
      <c r="G196">
        <v>7.7000000000000002E-3</v>
      </c>
    </row>
    <row r="197" spans="1:7">
      <c r="A197">
        <v>197909</v>
      </c>
      <c r="B197">
        <v>-8.199999999999999E-3</v>
      </c>
      <c r="C197">
        <v>-3.2000000000000002E-3</v>
      </c>
      <c r="D197">
        <v>-9.0000000000000011E-3</v>
      </c>
      <c r="E197">
        <v>1.01E-2</v>
      </c>
      <c r="F197">
        <v>3.2000000000000002E-3</v>
      </c>
      <c r="G197">
        <v>8.3000000000000001E-3</v>
      </c>
    </row>
    <row r="198" spans="1:7">
      <c r="A198">
        <v>197910</v>
      </c>
      <c r="B198">
        <v>-8.1000000000000003E-2</v>
      </c>
      <c r="C198">
        <v>-3.5000000000000003E-2</v>
      </c>
      <c r="D198">
        <v>-1.84E-2</v>
      </c>
      <c r="E198">
        <v>1.01E-2</v>
      </c>
      <c r="F198">
        <v>7.000000000000001E-4</v>
      </c>
      <c r="G198">
        <v>8.6999999999999994E-3</v>
      </c>
    </row>
    <row r="199" spans="1:7">
      <c r="A199">
        <v>197911</v>
      </c>
      <c r="B199">
        <v>5.21E-2</v>
      </c>
      <c r="C199">
        <v>2.53E-2</v>
      </c>
      <c r="D199">
        <v>-3.2899999999999999E-2</v>
      </c>
      <c r="E199">
        <v>5.9999999999999995E-4</v>
      </c>
      <c r="F199">
        <v>-2.12E-2</v>
      </c>
      <c r="G199">
        <v>9.9000000000000008E-3</v>
      </c>
    </row>
    <row r="200" spans="1:7">
      <c r="A200">
        <v>197912</v>
      </c>
      <c r="B200">
        <v>1.7899999999999999E-2</v>
      </c>
      <c r="C200">
        <v>4.3200000000000002E-2</v>
      </c>
      <c r="D200">
        <v>-2.1000000000000001E-2</v>
      </c>
      <c r="E200">
        <v>-6.9999999999999993E-3</v>
      </c>
      <c r="F200">
        <v>-9.1999999999999998E-3</v>
      </c>
      <c r="G200">
        <v>9.4999999999999998E-3</v>
      </c>
    </row>
    <row r="201" spans="1:7">
      <c r="A201">
        <v>198001</v>
      </c>
      <c r="B201">
        <v>5.5099999999999996E-2</v>
      </c>
      <c r="C201">
        <v>1.83E-2</v>
      </c>
      <c r="D201">
        <v>1.7500000000000002E-2</v>
      </c>
      <c r="E201">
        <v>-1.7000000000000001E-2</v>
      </c>
      <c r="F201">
        <v>1.6399999999999998E-2</v>
      </c>
      <c r="G201">
        <v>8.0000000000000002E-3</v>
      </c>
    </row>
    <row r="202" spans="1:7">
      <c r="A202">
        <v>198002</v>
      </c>
      <c r="B202">
        <v>-1.2200000000000001E-2</v>
      </c>
      <c r="C202">
        <v>-1.5700000000000002E-2</v>
      </c>
      <c r="D202">
        <v>6.1000000000000004E-3</v>
      </c>
      <c r="E202">
        <v>4.0000000000000002E-4</v>
      </c>
      <c r="F202">
        <v>2.6800000000000001E-2</v>
      </c>
      <c r="G202">
        <v>8.8999999999999999E-3</v>
      </c>
    </row>
    <row r="203" spans="1:7">
      <c r="A203">
        <v>198003</v>
      </c>
      <c r="B203">
        <v>-0.129</v>
      </c>
      <c r="C203">
        <v>-6.93E-2</v>
      </c>
      <c r="D203">
        <v>-1.01E-2</v>
      </c>
      <c r="E203">
        <v>1.46E-2</v>
      </c>
      <c r="F203">
        <v>-1.1899999999999999E-2</v>
      </c>
      <c r="G203">
        <v>1.21E-2</v>
      </c>
    </row>
    <row r="204" spans="1:7">
      <c r="A204">
        <v>198004</v>
      </c>
      <c r="B204">
        <v>3.9700000000000006E-2</v>
      </c>
      <c r="C204">
        <v>1.0500000000000001E-2</v>
      </c>
      <c r="D204">
        <v>1.06E-2</v>
      </c>
      <c r="E204">
        <v>-2.1000000000000001E-2</v>
      </c>
      <c r="F204">
        <v>2.8999999999999998E-3</v>
      </c>
      <c r="G204">
        <v>1.26E-2</v>
      </c>
    </row>
    <row r="205" spans="1:7">
      <c r="A205">
        <v>198005</v>
      </c>
      <c r="B205">
        <v>5.2600000000000001E-2</v>
      </c>
      <c r="C205">
        <v>2.1100000000000001E-2</v>
      </c>
      <c r="D205">
        <v>3.8E-3</v>
      </c>
      <c r="E205">
        <v>3.4000000000000002E-3</v>
      </c>
      <c r="F205">
        <v>-3.0999999999999999E-3</v>
      </c>
      <c r="G205">
        <v>8.1000000000000013E-3</v>
      </c>
    </row>
    <row r="206" spans="1:7">
      <c r="A206">
        <v>198006</v>
      </c>
      <c r="B206">
        <v>3.0600000000000002E-2</v>
      </c>
      <c r="C206">
        <v>1.41E-2</v>
      </c>
      <c r="D206">
        <v>-7.6E-3</v>
      </c>
      <c r="E206">
        <v>-1.5E-3</v>
      </c>
      <c r="F206">
        <v>-1.26E-2</v>
      </c>
      <c r="G206">
        <v>6.1000000000000004E-3</v>
      </c>
    </row>
    <row r="207" spans="1:7">
      <c r="A207">
        <v>198007</v>
      </c>
      <c r="B207">
        <v>6.4899999999999999E-2</v>
      </c>
      <c r="C207">
        <v>3.8199999999999998E-2</v>
      </c>
      <c r="D207">
        <v>-6.4100000000000004E-2</v>
      </c>
      <c r="E207">
        <v>4.0599999999999997E-2</v>
      </c>
      <c r="F207">
        <v>-2.4300000000000002E-2</v>
      </c>
      <c r="G207">
        <v>5.3E-3</v>
      </c>
    </row>
    <row r="208" spans="1:7">
      <c r="A208">
        <v>198008</v>
      </c>
      <c r="B208">
        <v>1.8000000000000002E-2</v>
      </c>
      <c r="C208">
        <v>4.2500000000000003E-2</v>
      </c>
      <c r="D208">
        <v>-2.6000000000000002E-2</v>
      </c>
      <c r="E208">
        <v>2.06E-2</v>
      </c>
      <c r="F208">
        <v>-8.6E-3</v>
      </c>
      <c r="G208">
        <v>6.4000000000000003E-3</v>
      </c>
    </row>
    <row r="209" spans="1:7">
      <c r="A209">
        <v>198009</v>
      </c>
      <c r="B209">
        <v>2.1899999999999999E-2</v>
      </c>
      <c r="C209">
        <v>6.7000000000000002E-3</v>
      </c>
      <c r="D209">
        <v>-4.5899999999999996E-2</v>
      </c>
      <c r="E209">
        <v>1.9099999999999999E-2</v>
      </c>
      <c r="F209">
        <v>-2.76E-2</v>
      </c>
      <c r="G209">
        <v>7.4999999999999997E-3</v>
      </c>
    </row>
    <row r="210" spans="1:7">
      <c r="A210">
        <v>198010</v>
      </c>
      <c r="B210">
        <v>1.06E-2</v>
      </c>
      <c r="C210">
        <v>2.3300000000000001E-2</v>
      </c>
      <c r="D210">
        <v>-2.76E-2</v>
      </c>
      <c r="E210">
        <v>1.6500000000000001E-2</v>
      </c>
      <c r="F210">
        <v>-1.15E-2</v>
      </c>
      <c r="G210">
        <v>9.4999999999999998E-3</v>
      </c>
    </row>
    <row r="211" spans="1:7">
      <c r="A211">
        <v>198011</v>
      </c>
      <c r="B211">
        <v>9.5899999999999999E-2</v>
      </c>
      <c r="C211">
        <v>-3.3100000000000004E-2</v>
      </c>
      <c r="D211">
        <v>-8.3299999999999999E-2</v>
      </c>
      <c r="E211">
        <v>4.4999999999999998E-2</v>
      </c>
      <c r="F211">
        <v>-5.6600000000000004E-2</v>
      </c>
      <c r="G211">
        <v>9.5999999999999992E-3</v>
      </c>
    </row>
    <row r="212" spans="1:7">
      <c r="A212">
        <v>198012</v>
      </c>
      <c r="B212">
        <v>-4.5199999999999997E-2</v>
      </c>
      <c r="C212">
        <v>-2.8999999999999998E-3</v>
      </c>
      <c r="D212">
        <v>2.7900000000000001E-2</v>
      </c>
      <c r="E212">
        <v>-1.29E-2</v>
      </c>
      <c r="F212">
        <v>1.24E-2</v>
      </c>
      <c r="G212">
        <v>1.3100000000000001E-2</v>
      </c>
    </row>
    <row r="213" spans="1:7">
      <c r="A213">
        <v>198101</v>
      </c>
      <c r="B213">
        <v>-5.04E-2</v>
      </c>
      <c r="C213">
        <v>3.2899999999999999E-2</v>
      </c>
      <c r="D213">
        <v>6.7199999999999996E-2</v>
      </c>
      <c r="E213">
        <v>-3.5099999999999999E-2</v>
      </c>
      <c r="F213">
        <v>4.3299999999999998E-2</v>
      </c>
      <c r="G213">
        <v>1.0400000000000001E-2</v>
      </c>
    </row>
    <row r="214" spans="1:7">
      <c r="A214">
        <v>198102</v>
      </c>
      <c r="B214">
        <v>5.6999999999999993E-3</v>
      </c>
      <c r="C214">
        <v>-5.0000000000000001E-3</v>
      </c>
      <c r="D214">
        <v>1.0200000000000001E-2</v>
      </c>
      <c r="E214">
        <v>2.0999999999999999E-3</v>
      </c>
      <c r="F214">
        <v>2.2200000000000001E-2</v>
      </c>
      <c r="G214">
        <v>1.0700000000000001E-2</v>
      </c>
    </row>
    <row r="215" spans="1:7">
      <c r="A215">
        <v>198103</v>
      </c>
      <c r="B215">
        <v>3.56E-2</v>
      </c>
      <c r="C215">
        <v>3.0200000000000001E-2</v>
      </c>
      <c r="D215">
        <v>6.4000000000000003E-3</v>
      </c>
      <c r="E215">
        <v>-2.2400000000000003E-2</v>
      </c>
      <c r="F215">
        <v>-5.4000000000000003E-3</v>
      </c>
      <c r="G215">
        <v>1.21E-2</v>
      </c>
    </row>
    <row r="216" spans="1:7">
      <c r="A216">
        <v>198104</v>
      </c>
      <c r="B216">
        <v>-2.1100000000000001E-2</v>
      </c>
      <c r="C216">
        <v>4.5899999999999996E-2</v>
      </c>
      <c r="D216">
        <v>2.2799999999999997E-2</v>
      </c>
      <c r="E216">
        <v>8.3000000000000001E-3</v>
      </c>
      <c r="F216">
        <v>1.24E-2</v>
      </c>
      <c r="G216">
        <v>1.0800000000000001E-2</v>
      </c>
    </row>
    <row r="217" spans="1:7">
      <c r="A217">
        <v>198105</v>
      </c>
      <c r="B217">
        <v>1.1000000000000001E-3</v>
      </c>
      <c r="C217">
        <v>2.4500000000000001E-2</v>
      </c>
      <c r="D217">
        <v>-4.1999999999999997E-3</v>
      </c>
      <c r="E217">
        <v>3.0000000000000001E-3</v>
      </c>
      <c r="F217">
        <v>-1.5300000000000001E-2</v>
      </c>
      <c r="G217">
        <v>1.15E-2</v>
      </c>
    </row>
    <row r="218" spans="1:7">
      <c r="A218">
        <v>198106</v>
      </c>
      <c r="B218">
        <v>-2.3599999999999999E-2</v>
      </c>
      <c r="C218">
        <v>-9.5999999999999992E-3</v>
      </c>
      <c r="D218">
        <v>5.1299999999999998E-2</v>
      </c>
      <c r="E218">
        <v>-1.3700000000000002E-2</v>
      </c>
      <c r="F218">
        <v>2.6600000000000002E-2</v>
      </c>
      <c r="G218">
        <v>1.3500000000000002E-2</v>
      </c>
    </row>
    <row r="219" spans="1:7">
      <c r="A219">
        <v>198107</v>
      </c>
      <c r="B219">
        <v>-1.54E-2</v>
      </c>
      <c r="C219">
        <v>-2.0499999999999997E-2</v>
      </c>
      <c r="D219">
        <v>-5.0000000000000001E-3</v>
      </c>
      <c r="E219">
        <v>1.26E-2</v>
      </c>
      <c r="F219">
        <v>-2.5400000000000002E-2</v>
      </c>
      <c r="G219">
        <v>1.24E-2</v>
      </c>
    </row>
    <row r="220" spans="1:7">
      <c r="A220">
        <v>198108</v>
      </c>
      <c r="B220">
        <v>-7.0400000000000004E-2</v>
      </c>
      <c r="C220">
        <v>-1.8100000000000002E-2</v>
      </c>
      <c r="D220">
        <v>4.7599999999999996E-2</v>
      </c>
      <c r="E220">
        <v>-3.2000000000000002E-3</v>
      </c>
      <c r="F220">
        <v>1.41E-2</v>
      </c>
      <c r="G220">
        <v>1.2800000000000001E-2</v>
      </c>
    </row>
    <row r="221" spans="1:7">
      <c r="A221">
        <v>198109</v>
      </c>
      <c r="B221">
        <v>-7.17E-2</v>
      </c>
      <c r="C221">
        <v>-2.4500000000000001E-2</v>
      </c>
      <c r="D221">
        <v>5.1700000000000003E-2</v>
      </c>
      <c r="E221">
        <v>8.0000000000000004E-4</v>
      </c>
      <c r="F221">
        <v>2.63E-2</v>
      </c>
      <c r="G221">
        <v>1.24E-2</v>
      </c>
    </row>
    <row r="222" spans="1:7">
      <c r="A222">
        <v>198110</v>
      </c>
      <c r="B222">
        <v>4.9200000000000001E-2</v>
      </c>
      <c r="C222">
        <v>2.3700000000000002E-2</v>
      </c>
      <c r="D222">
        <v>-4.2099999999999999E-2</v>
      </c>
      <c r="E222">
        <v>3.15E-2</v>
      </c>
      <c r="F222">
        <v>-3.0099999999999998E-2</v>
      </c>
      <c r="G222">
        <v>1.21E-2</v>
      </c>
    </row>
    <row r="223" spans="1:7">
      <c r="A223">
        <v>198111</v>
      </c>
      <c r="B223">
        <v>3.3599999999999998E-2</v>
      </c>
      <c r="C223">
        <v>-1.5100000000000001E-2</v>
      </c>
      <c r="D223">
        <v>1.83E-2</v>
      </c>
      <c r="E223">
        <v>8.0000000000000004E-4</v>
      </c>
      <c r="F223">
        <v>9.4999999999999998E-3</v>
      </c>
      <c r="G223">
        <v>1.0700000000000001E-2</v>
      </c>
    </row>
    <row r="224" spans="1:7">
      <c r="A224">
        <v>198112</v>
      </c>
      <c r="B224">
        <v>-3.6499999999999998E-2</v>
      </c>
      <c r="C224">
        <v>1.2E-2</v>
      </c>
      <c r="D224">
        <v>8.1000000000000013E-3</v>
      </c>
      <c r="E224">
        <v>2.2000000000000001E-3</v>
      </c>
      <c r="F224">
        <v>2.5000000000000001E-2</v>
      </c>
      <c r="G224">
        <v>8.6999999999999994E-3</v>
      </c>
    </row>
    <row r="225" spans="1:7">
      <c r="A225">
        <v>198201</v>
      </c>
      <c r="B225">
        <v>-3.2400000000000005E-2</v>
      </c>
      <c r="C225">
        <v>-1.1399999999999999E-2</v>
      </c>
      <c r="D225">
        <v>3.1899999999999998E-2</v>
      </c>
      <c r="E225">
        <v>-1.49E-2</v>
      </c>
      <c r="F225">
        <v>1.9199999999999998E-2</v>
      </c>
      <c r="G225">
        <v>8.0000000000000002E-3</v>
      </c>
    </row>
    <row r="226" spans="1:7">
      <c r="A226">
        <v>198202</v>
      </c>
      <c r="B226">
        <v>-5.8600000000000006E-2</v>
      </c>
      <c r="C226">
        <v>3.4999999999999996E-3</v>
      </c>
      <c r="D226">
        <v>6.0499999999999998E-2</v>
      </c>
      <c r="E226">
        <v>-3.4799999999999998E-2</v>
      </c>
      <c r="F226">
        <v>4.5599999999999995E-2</v>
      </c>
      <c r="G226">
        <v>9.1999999999999998E-3</v>
      </c>
    </row>
    <row r="227" spans="1:7">
      <c r="A227">
        <v>198203</v>
      </c>
      <c r="B227">
        <v>-1.8700000000000001E-2</v>
      </c>
      <c r="C227">
        <v>-5.0000000000000001E-4</v>
      </c>
      <c r="D227">
        <v>3.8100000000000002E-2</v>
      </c>
      <c r="E227">
        <v>-1.38E-2</v>
      </c>
      <c r="F227">
        <v>2.4900000000000002E-2</v>
      </c>
      <c r="G227">
        <v>9.7999999999999997E-3</v>
      </c>
    </row>
    <row r="228" spans="1:7">
      <c r="A228">
        <v>198204</v>
      </c>
      <c r="B228">
        <v>3.27E-2</v>
      </c>
      <c r="C228">
        <v>1.0900000000000002E-2</v>
      </c>
      <c r="D228">
        <v>-2.7000000000000003E-2</v>
      </c>
      <c r="E228">
        <v>1.5700000000000002E-2</v>
      </c>
      <c r="F228">
        <v>-1E-4</v>
      </c>
      <c r="G228">
        <v>1.1299999999999999E-2</v>
      </c>
    </row>
    <row r="229" spans="1:7">
      <c r="A229">
        <v>198205</v>
      </c>
      <c r="B229">
        <v>-3.9900000000000005E-2</v>
      </c>
      <c r="C229">
        <v>6.4000000000000003E-3</v>
      </c>
      <c r="D229">
        <v>1.7500000000000002E-2</v>
      </c>
      <c r="E229">
        <v>8.6999999999999994E-3</v>
      </c>
      <c r="F229">
        <v>-3.0000000000000001E-3</v>
      </c>
      <c r="G229">
        <v>1.06E-2</v>
      </c>
    </row>
    <row r="230" spans="1:7">
      <c r="A230">
        <v>198206</v>
      </c>
      <c r="B230">
        <v>-3.09E-2</v>
      </c>
      <c r="C230">
        <v>-5.2000000000000006E-3</v>
      </c>
      <c r="D230">
        <v>1.5300000000000001E-2</v>
      </c>
      <c r="E230">
        <v>1E-4</v>
      </c>
      <c r="F230">
        <v>2.7200000000000002E-2</v>
      </c>
      <c r="G230">
        <v>9.5999999999999992E-3</v>
      </c>
    </row>
    <row r="231" spans="1:7">
      <c r="A231">
        <v>198207</v>
      </c>
      <c r="B231">
        <v>-3.1899999999999998E-2</v>
      </c>
      <c r="C231">
        <v>9.4999999999999998E-3</v>
      </c>
      <c r="D231">
        <v>8.9999999999999998E-4</v>
      </c>
      <c r="E231">
        <v>1.0400000000000001E-2</v>
      </c>
      <c r="F231">
        <v>1.5500000000000002E-2</v>
      </c>
      <c r="G231">
        <v>1.0500000000000001E-2</v>
      </c>
    </row>
    <row r="232" spans="1:7">
      <c r="A232">
        <v>198208</v>
      </c>
      <c r="B232">
        <v>0.11140000000000001</v>
      </c>
      <c r="C232">
        <v>-4.3499999999999997E-2</v>
      </c>
      <c r="D232">
        <v>9.4999999999999998E-3</v>
      </c>
      <c r="E232">
        <v>-1.89E-2</v>
      </c>
      <c r="F232">
        <v>8.9999999999999998E-4</v>
      </c>
      <c r="G232">
        <v>7.6E-3</v>
      </c>
    </row>
    <row r="233" spans="1:7">
      <c r="A233">
        <v>198209</v>
      </c>
      <c r="B233">
        <v>1.29E-2</v>
      </c>
      <c r="C233">
        <v>2.6099999999999998E-2</v>
      </c>
      <c r="D233">
        <v>2.8000000000000004E-3</v>
      </c>
      <c r="E233">
        <v>2.1400000000000002E-2</v>
      </c>
      <c r="F233">
        <v>-4.0000000000000002E-4</v>
      </c>
      <c r="G233">
        <v>5.1000000000000004E-3</v>
      </c>
    </row>
    <row r="234" spans="1:7">
      <c r="A234">
        <v>198210</v>
      </c>
      <c r="B234">
        <v>0.113</v>
      </c>
      <c r="C234">
        <v>1.9199999999999998E-2</v>
      </c>
      <c r="D234">
        <v>-3.6600000000000001E-2</v>
      </c>
      <c r="E234">
        <v>2.8999999999999998E-3</v>
      </c>
      <c r="F234">
        <v>-3.4000000000000002E-3</v>
      </c>
      <c r="G234">
        <v>5.8999999999999999E-3</v>
      </c>
    </row>
    <row r="235" spans="1:7">
      <c r="A235">
        <v>198211</v>
      </c>
      <c r="B235">
        <v>4.6699999999999998E-2</v>
      </c>
      <c r="C235">
        <v>4.4299999999999999E-2</v>
      </c>
      <c r="D235">
        <v>-1.8700000000000001E-2</v>
      </c>
      <c r="E235">
        <v>-9.7000000000000003E-3</v>
      </c>
      <c r="F235">
        <v>2.7000000000000001E-3</v>
      </c>
      <c r="G235">
        <v>6.3E-3</v>
      </c>
    </row>
    <row r="236" spans="1:7">
      <c r="A236">
        <v>198212</v>
      </c>
      <c r="B236">
        <v>5.5000000000000005E-3</v>
      </c>
      <c r="C236">
        <v>-4.0000000000000002E-4</v>
      </c>
      <c r="D236">
        <v>-2.0000000000000001E-4</v>
      </c>
      <c r="E236">
        <v>-1E-4</v>
      </c>
      <c r="F236">
        <v>1.0200000000000001E-2</v>
      </c>
      <c r="G236">
        <v>6.7000000000000002E-3</v>
      </c>
    </row>
    <row r="237" spans="1:7">
      <c r="A237">
        <v>198301</v>
      </c>
      <c r="B237">
        <v>3.6000000000000004E-2</v>
      </c>
      <c r="C237">
        <v>3.3500000000000002E-2</v>
      </c>
      <c r="D237">
        <v>-7.4999999999999997E-3</v>
      </c>
      <c r="E237">
        <v>-1.5500000000000002E-2</v>
      </c>
      <c r="F237">
        <v>-5.7999999999999996E-3</v>
      </c>
      <c r="G237">
        <v>6.8999999999999999E-3</v>
      </c>
    </row>
    <row r="238" spans="1:7">
      <c r="A238">
        <v>198302</v>
      </c>
      <c r="B238">
        <v>2.5899999999999999E-2</v>
      </c>
      <c r="C238">
        <v>2.92E-2</v>
      </c>
      <c r="D238">
        <v>6.9999999999999993E-3</v>
      </c>
      <c r="E238">
        <v>-5.2000000000000006E-3</v>
      </c>
      <c r="F238">
        <v>1.0500000000000001E-2</v>
      </c>
      <c r="G238">
        <v>6.1999999999999998E-3</v>
      </c>
    </row>
    <row r="239" spans="1:7">
      <c r="A239">
        <v>198303</v>
      </c>
      <c r="B239">
        <v>2.8199999999999999E-2</v>
      </c>
      <c r="C239">
        <v>1.3700000000000002E-2</v>
      </c>
      <c r="D239">
        <v>2.0199999999999999E-2</v>
      </c>
      <c r="E239">
        <v>-1.7000000000000001E-3</v>
      </c>
      <c r="F239">
        <v>2.7400000000000004E-2</v>
      </c>
      <c r="G239">
        <v>6.3E-3</v>
      </c>
    </row>
    <row r="240" spans="1:7">
      <c r="A240">
        <v>198304</v>
      </c>
      <c r="B240">
        <v>6.6699999999999995E-2</v>
      </c>
      <c r="C240">
        <v>4.7999999999999996E-3</v>
      </c>
      <c r="D240">
        <v>4.8999999999999998E-3</v>
      </c>
      <c r="E240">
        <v>-1.1000000000000001E-3</v>
      </c>
      <c r="F240">
        <v>1.4199999999999999E-2</v>
      </c>
      <c r="G240">
        <v>7.0999999999999995E-3</v>
      </c>
    </row>
    <row r="241" spans="1:7">
      <c r="A241">
        <v>198305</v>
      </c>
      <c r="B241">
        <v>5.2000000000000006E-3</v>
      </c>
      <c r="C241">
        <v>6.3E-2</v>
      </c>
      <c r="D241">
        <v>-1.3999999999999999E-2</v>
      </c>
      <c r="E241">
        <v>-1.84E-2</v>
      </c>
      <c r="F241">
        <v>-1.5100000000000001E-2</v>
      </c>
      <c r="G241">
        <v>6.8999999999999999E-3</v>
      </c>
    </row>
    <row r="242" spans="1:7">
      <c r="A242">
        <v>198306</v>
      </c>
      <c r="B242">
        <v>3.0699999999999998E-2</v>
      </c>
      <c r="C242">
        <v>1.18E-2</v>
      </c>
      <c r="D242">
        <v>-3.9E-2</v>
      </c>
      <c r="E242">
        <v>2.6000000000000002E-2</v>
      </c>
      <c r="F242">
        <v>-8.6999999999999994E-3</v>
      </c>
      <c r="G242">
        <v>6.7000000000000002E-3</v>
      </c>
    </row>
    <row r="243" spans="1:7">
      <c r="A243">
        <v>198307</v>
      </c>
      <c r="B243">
        <v>-4.0700000000000007E-2</v>
      </c>
      <c r="C243">
        <v>1.01E-2</v>
      </c>
      <c r="D243">
        <v>5.62E-2</v>
      </c>
      <c r="E243">
        <v>-1.4000000000000002E-3</v>
      </c>
      <c r="F243">
        <v>2.81E-2</v>
      </c>
      <c r="G243">
        <v>7.4000000000000003E-3</v>
      </c>
    </row>
    <row r="244" spans="1:7">
      <c r="A244">
        <v>198308</v>
      </c>
      <c r="B244">
        <v>-5.0000000000000001E-3</v>
      </c>
      <c r="C244">
        <v>-4.3200000000000002E-2</v>
      </c>
      <c r="D244">
        <v>5.5400000000000005E-2</v>
      </c>
      <c r="E244">
        <v>5.1000000000000004E-3</v>
      </c>
      <c r="F244">
        <v>1.9E-2</v>
      </c>
      <c r="G244">
        <v>7.6E-3</v>
      </c>
    </row>
    <row r="245" spans="1:7">
      <c r="A245">
        <v>198309</v>
      </c>
      <c r="B245">
        <v>9.1000000000000004E-3</v>
      </c>
      <c r="C245">
        <v>3.0000000000000001E-3</v>
      </c>
      <c r="D245">
        <v>1.01E-2</v>
      </c>
      <c r="E245">
        <v>1.24E-2</v>
      </c>
      <c r="F245">
        <v>5.0000000000000001E-3</v>
      </c>
      <c r="G245">
        <v>7.6E-3</v>
      </c>
    </row>
    <row r="246" spans="1:7">
      <c r="A246">
        <v>198310</v>
      </c>
      <c r="B246">
        <v>-3.44E-2</v>
      </c>
      <c r="C246">
        <v>-3.7700000000000004E-2</v>
      </c>
      <c r="D246">
        <v>4.9700000000000001E-2</v>
      </c>
      <c r="E246">
        <v>-7.7000000000000002E-3</v>
      </c>
      <c r="F246">
        <v>2.9600000000000001E-2</v>
      </c>
      <c r="G246">
        <v>7.6E-3</v>
      </c>
    </row>
    <row r="247" spans="1:7">
      <c r="A247">
        <v>198311</v>
      </c>
      <c r="B247">
        <v>2.1600000000000001E-2</v>
      </c>
      <c r="C247">
        <v>1.8700000000000001E-2</v>
      </c>
      <c r="D247">
        <v>-7.1999999999999998E-3</v>
      </c>
      <c r="E247">
        <v>-6.7000000000000002E-3</v>
      </c>
      <c r="F247">
        <v>6.6000000000000008E-3</v>
      </c>
      <c r="G247">
        <v>6.9999999999999993E-3</v>
      </c>
    </row>
    <row r="248" spans="1:7">
      <c r="A248">
        <v>198312</v>
      </c>
      <c r="B248">
        <v>-1.78E-2</v>
      </c>
      <c r="C248">
        <v>-4.5000000000000005E-3</v>
      </c>
      <c r="D248">
        <v>1.7299999999999999E-2</v>
      </c>
      <c r="E248">
        <v>1.6399999999999998E-2</v>
      </c>
      <c r="F248">
        <v>1.2700000000000001E-2</v>
      </c>
      <c r="G248">
        <v>7.3000000000000001E-3</v>
      </c>
    </row>
    <row r="249" spans="1:7">
      <c r="A249">
        <v>198401</v>
      </c>
      <c r="B249">
        <v>-1.9199999999999998E-2</v>
      </c>
      <c r="C249">
        <v>-4.0000000000000002E-4</v>
      </c>
      <c r="D249">
        <v>7.5800000000000006E-2</v>
      </c>
      <c r="E249">
        <v>-8.8999999999999999E-3</v>
      </c>
      <c r="F249">
        <v>2.92E-2</v>
      </c>
      <c r="G249">
        <v>7.6E-3</v>
      </c>
    </row>
    <row r="250" spans="1:7">
      <c r="A250">
        <v>198402</v>
      </c>
      <c r="B250">
        <v>-4.8200000000000007E-2</v>
      </c>
      <c r="C250">
        <v>-1.5900000000000001E-2</v>
      </c>
      <c r="D250">
        <v>3.3300000000000003E-2</v>
      </c>
      <c r="E250">
        <v>9.0000000000000011E-3</v>
      </c>
      <c r="F250">
        <v>1.5800000000000002E-2</v>
      </c>
      <c r="G250">
        <v>7.0999999999999995E-3</v>
      </c>
    </row>
    <row r="251" spans="1:7">
      <c r="A251">
        <v>198403</v>
      </c>
      <c r="B251">
        <v>6.3E-3</v>
      </c>
      <c r="C251">
        <v>-2.8999999999999998E-3</v>
      </c>
      <c r="D251">
        <v>4.5999999999999999E-3</v>
      </c>
      <c r="E251">
        <v>-9.5999999999999992E-3</v>
      </c>
      <c r="F251">
        <v>1.17E-2</v>
      </c>
      <c r="G251">
        <v>7.3000000000000001E-3</v>
      </c>
    </row>
    <row r="252" spans="1:7">
      <c r="A252">
        <v>198404</v>
      </c>
      <c r="B252">
        <v>-5.1000000000000004E-3</v>
      </c>
      <c r="C252">
        <v>-9.4999999999999998E-3</v>
      </c>
      <c r="D252">
        <v>1.2E-2</v>
      </c>
      <c r="E252">
        <v>3.3399999999999999E-2</v>
      </c>
      <c r="F252">
        <v>7.6E-3</v>
      </c>
      <c r="G252">
        <v>8.1000000000000013E-3</v>
      </c>
    </row>
    <row r="253" spans="1:7">
      <c r="A253">
        <v>198405</v>
      </c>
      <c r="B253">
        <v>-5.9699999999999996E-2</v>
      </c>
      <c r="C253">
        <v>1.3000000000000002E-3</v>
      </c>
      <c r="D253">
        <v>3.0999999999999999E-3</v>
      </c>
      <c r="E253">
        <v>2.3599999999999999E-2</v>
      </c>
      <c r="F253">
        <v>-4.5999999999999999E-3</v>
      </c>
      <c r="G253">
        <v>7.8000000000000005E-3</v>
      </c>
    </row>
    <row r="254" spans="1:7">
      <c r="A254">
        <v>198406</v>
      </c>
      <c r="B254">
        <v>1.8200000000000001E-2</v>
      </c>
      <c r="C254">
        <v>1.1000000000000001E-3</v>
      </c>
      <c r="D254">
        <v>-2.6600000000000002E-2</v>
      </c>
      <c r="E254">
        <v>3.1699999999999999E-2</v>
      </c>
      <c r="F254">
        <v>-1.5600000000000001E-2</v>
      </c>
      <c r="G254">
        <v>7.4999999999999997E-3</v>
      </c>
    </row>
    <row r="255" spans="1:7">
      <c r="A255">
        <v>198407</v>
      </c>
      <c r="B255">
        <v>-2.7400000000000004E-2</v>
      </c>
      <c r="C255">
        <v>-2.2200000000000001E-2</v>
      </c>
      <c r="D255">
        <v>3.5999999999999999E-3</v>
      </c>
      <c r="E255">
        <v>3.5499999999999997E-2</v>
      </c>
      <c r="F255">
        <v>-2.1499999999999998E-2</v>
      </c>
      <c r="G255">
        <v>8.199999999999999E-3</v>
      </c>
    </row>
    <row r="256" spans="1:7">
      <c r="A256">
        <v>198408</v>
      </c>
      <c r="B256">
        <v>0.1028</v>
      </c>
      <c r="C256">
        <v>-2.6000000000000003E-3</v>
      </c>
      <c r="D256">
        <v>-1.8200000000000001E-2</v>
      </c>
      <c r="E256">
        <v>-6.8000000000000005E-3</v>
      </c>
      <c r="F256">
        <v>-9.1999999999999998E-3</v>
      </c>
      <c r="G256">
        <v>8.3000000000000001E-3</v>
      </c>
    </row>
    <row r="257" spans="1:7">
      <c r="A257">
        <v>198409</v>
      </c>
      <c r="B257">
        <v>-8.0000000000000002E-3</v>
      </c>
      <c r="C257">
        <v>-2.9999999999999997E-4</v>
      </c>
      <c r="D257">
        <v>5.2800000000000007E-2</v>
      </c>
      <c r="E257">
        <v>1.3700000000000002E-2</v>
      </c>
      <c r="F257">
        <v>2.4100000000000003E-2</v>
      </c>
      <c r="G257">
        <v>8.6E-3</v>
      </c>
    </row>
    <row r="258" spans="1:7">
      <c r="A258">
        <v>198410</v>
      </c>
      <c r="B258">
        <v>-8.3999999999999995E-3</v>
      </c>
      <c r="C258">
        <v>-1.44E-2</v>
      </c>
      <c r="D258">
        <v>4.5000000000000005E-3</v>
      </c>
      <c r="E258">
        <v>1.18E-2</v>
      </c>
      <c r="F258">
        <v>-1.0900000000000002E-2</v>
      </c>
      <c r="G258">
        <v>0.01</v>
      </c>
    </row>
    <row r="259" spans="1:7">
      <c r="A259">
        <v>198411</v>
      </c>
      <c r="B259">
        <v>-1.7600000000000001E-2</v>
      </c>
      <c r="C259">
        <v>-1.0200000000000001E-2</v>
      </c>
      <c r="D259">
        <v>4.0599999999999997E-2</v>
      </c>
      <c r="E259">
        <v>7.1999999999999998E-3</v>
      </c>
      <c r="F259">
        <v>2.06E-2</v>
      </c>
      <c r="G259">
        <v>7.3000000000000001E-3</v>
      </c>
    </row>
    <row r="260" spans="1:7">
      <c r="A260">
        <v>198412</v>
      </c>
      <c r="B260">
        <v>1.84E-2</v>
      </c>
      <c r="C260">
        <v>-6.5000000000000006E-3</v>
      </c>
      <c r="D260">
        <v>-2.6000000000000003E-3</v>
      </c>
      <c r="E260">
        <v>1.3100000000000001E-2</v>
      </c>
      <c r="F260">
        <v>-1.3600000000000001E-2</v>
      </c>
      <c r="G260">
        <v>6.4000000000000003E-3</v>
      </c>
    </row>
    <row r="261" spans="1:7">
      <c r="A261">
        <v>198501</v>
      </c>
      <c r="B261">
        <v>7.9899999999999999E-2</v>
      </c>
      <c r="C261">
        <v>3.5099999999999999E-2</v>
      </c>
      <c r="D261">
        <v>-5.3499999999999999E-2</v>
      </c>
      <c r="E261">
        <v>-8.8999999999999999E-3</v>
      </c>
      <c r="F261">
        <v>-3.4100000000000005E-2</v>
      </c>
      <c r="G261">
        <v>6.5000000000000006E-3</v>
      </c>
    </row>
    <row r="262" spans="1:7">
      <c r="A262">
        <v>198502</v>
      </c>
      <c r="B262">
        <v>1.2200000000000001E-2</v>
      </c>
      <c r="C262">
        <v>1.0400000000000001E-2</v>
      </c>
      <c r="D262">
        <v>-1E-3</v>
      </c>
      <c r="E262">
        <v>1.29E-2</v>
      </c>
      <c r="F262">
        <v>1.06E-2</v>
      </c>
      <c r="G262">
        <v>5.7999999999999996E-3</v>
      </c>
    </row>
    <row r="263" spans="1:7">
      <c r="A263">
        <v>198503</v>
      </c>
      <c r="B263">
        <v>-8.3999999999999995E-3</v>
      </c>
      <c r="C263">
        <v>-1.3899999999999999E-2</v>
      </c>
      <c r="D263">
        <v>4.0700000000000007E-2</v>
      </c>
      <c r="E263">
        <v>1.23E-2</v>
      </c>
      <c r="F263">
        <v>2.8799999999999999E-2</v>
      </c>
      <c r="G263">
        <v>6.1999999999999998E-3</v>
      </c>
    </row>
    <row r="264" spans="1:7">
      <c r="A264">
        <v>198504</v>
      </c>
      <c r="B264">
        <v>-9.5999999999999992E-3</v>
      </c>
      <c r="C264">
        <v>-1E-3</v>
      </c>
      <c r="D264">
        <v>3.7200000000000004E-2</v>
      </c>
      <c r="E264">
        <v>1.5500000000000002E-2</v>
      </c>
      <c r="F264">
        <v>7.0999999999999995E-3</v>
      </c>
      <c r="G264">
        <v>7.1999999999999998E-3</v>
      </c>
    </row>
    <row r="265" spans="1:7">
      <c r="A265">
        <v>198505</v>
      </c>
      <c r="B265">
        <v>5.0900000000000001E-2</v>
      </c>
      <c r="C265">
        <v>-2.3100000000000002E-2</v>
      </c>
      <c r="D265">
        <v>-9.5999999999999992E-3</v>
      </c>
      <c r="E265">
        <v>1.3300000000000001E-2</v>
      </c>
      <c r="F265">
        <v>-1.49E-2</v>
      </c>
      <c r="G265">
        <v>6.6000000000000008E-3</v>
      </c>
    </row>
    <row r="266" spans="1:7">
      <c r="A266">
        <v>198506</v>
      </c>
      <c r="B266">
        <v>1.2700000000000001E-2</v>
      </c>
      <c r="C266">
        <v>3.4999999999999996E-3</v>
      </c>
      <c r="D266">
        <v>3.8E-3</v>
      </c>
      <c r="E266">
        <v>1.7600000000000001E-2</v>
      </c>
      <c r="F266">
        <v>-7.7000000000000002E-3</v>
      </c>
      <c r="G266">
        <v>5.5000000000000005E-3</v>
      </c>
    </row>
    <row r="267" spans="1:7">
      <c r="A267">
        <v>198507</v>
      </c>
      <c r="B267">
        <v>-7.4000000000000003E-3</v>
      </c>
      <c r="C267">
        <v>2.8700000000000003E-2</v>
      </c>
      <c r="D267">
        <v>-1.6200000000000003E-2</v>
      </c>
      <c r="E267">
        <v>-4.1999999999999997E-3</v>
      </c>
      <c r="F267">
        <v>-3.8E-3</v>
      </c>
      <c r="G267">
        <v>6.1999999999999998E-3</v>
      </c>
    </row>
    <row r="268" spans="1:7">
      <c r="A268">
        <v>198508</v>
      </c>
      <c r="B268">
        <v>-1.0200000000000001E-2</v>
      </c>
      <c r="C268">
        <v>-2.8999999999999998E-3</v>
      </c>
      <c r="D268">
        <v>2.3199999999999998E-2</v>
      </c>
      <c r="E268">
        <v>-1E-3</v>
      </c>
      <c r="F268">
        <v>1.83E-2</v>
      </c>
      <c r="G268">
        <v>5.5000000000000005E-3</v>
      </c>
    </row>
    <row r="269" spans="1:7">
      <c r="A269">
        <v>198509</v>
      </c>
      <c r="B269">
        <v>-4.5400000000000003E-2</v>
      </c>
      <c r="C269">
        <v>-1.8000000000000002E-2</v>
      </c>
      <c r="D269">
        <v>1.29E-2</v>
      </c>
      <c r="E269">
        <v>1.1399999999999999E-2</v>
      </c>
      <c r="F269">
        <v>1.6399999999999998E-2</v>
      </c>
      <c r="G269">
        <v>6.0000000000000001E-3</v>
      </c>
    </row>
    <row r="270" spans="1:7">
      <c r="A270">
        <v>198510</v>
      </c>
      <c r="B270">
        <v>4.02E-2</v>
      </c>
      <c r="C270">
        <v>-1.4999999999999999E-2</v>
      </c>
      <c r="D270">
        <v>7.4999999999999997E-3</v>
      </c>
      <c r="E270">
        <v>8.8999999999999999E-3</v>
      </c>
      <c r="F270">
        <v>-1.06E-2</v>
      </c>
      <c r="G270">
        <v>6.5000000000000006E-3</v>
      </c>
    </row>
    <row r="271" spans="1:7">
      <c r="A271">
        <v>198511</v>
      </c>
      <c r="B271">
        <v>6.480000000000001E-2</v>
      </c>
      <c r="C271">
        <v>2.0000000000000001E-4</v>
      </c>
      <c r="D271">
        <v>-2.8500000000000001E-2</v>
      </c>
      <c r="E271">
        <v>3.3000000000000004E-3</v>
      </c>
      <c r="F271">
        <v>-2.3199999999999998E-2</v>
      </c>
      <c r="G271">
        <v>6.1000000000000004E-3</v>
      </c>
    </row>
    <row r="272" spans="1:7">
      <c r="A272">
        <v>198512</v>
      </c>
      <c r="B272">
        <v>3.8800000000000001E-2</v>
      </c>
      <c r="C272">
        <v>-4.0999999999999995E-3</v>
      </c>
      <c r="D272">
        <v>-1.54E-2</v>
      </c>
      <c r="E272">
        <v>9.9000000000000008E-3</v>
      </c>
      <c r="F272">
        <v>-1.8000000000000002E-2</v>
      </c>
      <c r="G272">
        <v>6.5000000000000006E-3</v>
      </c>
    </row>
    <row r="273" spans="1:7">
      <c r="A273">
        <v>198601</v>
      </c>
      <c r="B273">
        <v>6.5000000000000006E-3</v>
      </c>
      <c r="C273">
        <v>1.01E-2</v>
      </c>
      <c r="D273">
        <v>4.4000000000000003E-3</v>
      </c>
      <c r="E273">
        <v>-0.02</v>
      </c>
      <c r="F273">
        <v>-2.0299999999999999E-2</v>
      </c>
      <c r="G273">
        <v>5.6000000000000008E-3</v>
      </c>
    </row>
    <row r="274" spans="1:7">
      <c r="A274">
        <v>198602</v>
      </c>
      <c r="B274">
        <v>7.1300000000000002E-2</v>
      </c>
      <c r="C274">
        <v>-7.0999999999999995E-3</v>
      </c>
      <c r="D274">
        <v>-7.1999999999999998E-3</v>
      </c>
      <c r="E274">
        <v>1.06E-2</v>
      </c>
      <c r="F274">
        <v>-1.2E-2</v>
      </c>
      <c r="G274">
        <v>5.3E-3</v>
      </c>
    </row>
    <row r="275" spans="1:7">
      <c r="A275">
        <v>198603</v>
      </c>
      <c r="B275">
        <v>4.8800000000000003E-2</v>
      </c>
      <c r="C275">
        <v>-6.6000000000000008E-3</v>
      </c>
      <c r="D275">
        <v>-3.9000000000000003E-3</v>
      </c>
      <c r="E275">
        <v>1.21E-2</v>
      </c>
      <c r="F275">
        <v>9.1999999999999998E-3</v>
      </c>
      <c r="G275">
        <v>6.0000000000000001E-3</v>
      </c>
    </row>
    <row r="276" spans="1:7">
      <c r="A276">
        <v>198604</v>
      </c>
      <c r="B276">
        <v>-1.3100000000000001E-2</v>
      </c>
      <c r="C276">
        <v>2.8399999999999998E-2</v>
      </c>
      <c r="D276">
        <v>-2.8700000000000003E-2</v>
      </c>
      <c r="E276">
        <v>2.9100000000000001E-2</v>
      </c>
      <c r="F276">
        <v>2.9999999999999997E-4</v>
      </c>
      <c r="G276">
        <v>5.2000000000000006E-3</v>
      </c>
    </row>
    <row r="277" spans="1:7">
      <c r="A277">
        <v>198605</v>
      </c>
      <c r="B277">
        <v>4.6200000000000005E-2</v>
      </c>
      <c r="C277">
        <v>-1.29E-2</v>
      </c>
      <c r="D277">
        <v>-2.0999999999999999E-3</v>
      </c>
      <c r="E277">
        <v>2.1299999999999999E-2</v>
      </c>
      <c r="F277">
        <v>1.0800000000000001E-2</v>
      </c>
      <c r="G277">
        <v>4.8999999999999998E-3</v>
      </c>
    </row>
    <row r="278" spans="1:7">
      <c r="A278">
        <v>198606</v>
      </c>
      <c r="B278">
        <v>1.03E-2</v>
      </c>
      <c r="C278">
        <v>-8.8999999999999999E-3</v>
      </c>
      <c r="D278">
        <v>1.2800000000000001E-2</v>
      </c>
      <c r="E278">
        <v>1.8000000000000002E-2</v>
      </c>
      <c r="F278">
        <v>8.6999999999999994E-3</v>
      </c>
      <c r="G278">
        <v>5.2000000000000006E-3</v>
      </c>
    </row>
    <row r="279" spans="1:7">
      <c r="A279">
        <v>198607</v>
      </c>
      <c r="B279">
        <v>-6.4500000000000002E-2</v>
      </c>
      <c r="C279">
        <v>-3.4599999999999999E-2</v>
      </c>
      <c r="D279">
        <v>4.7E-2</v>
      </c>
      <c r="E279">
        <v>-5.4000000000000003E-3</v>
      </c>
      <c r="F279">
        <v>8.3999999999999995E-3</v>
      </c>
      <c r="G279">
        <v>5.2000000000000006E-3</v>
      </c>
    </row>
    <row r="280" spans="1:7">
      <c r="A280">
        <v>198608</v>
      </c>
      <c r="B280">
        <v>6.0700000000000004E-2</v>
      </c>
      <c r="C280">
        <v>-4.3499999999999997E-2</v>
      </c>
      <c r="D280">
        <v>3.5099999999999999E-2</v>
      </c>
      <c r="E280">
        <v>-1.66E-2</v>
      </c>
      <c r="F280">
        <v>3.2100000000000004E-2</v>
      </c>
      <c r="G280">
        <v>4.5999999999999999E-3</v>
      </c>
    </row>
    <row r="281" spans="1:7">
      <c r="A281">
        <v>198609</v>
      </c>
      <c r="B281">
        <v>-8.5999999999999993E-2</v>
      </c>
      <c r="C281">
        <v>2.0499999999999997E-2</v>
      </c>
      <c r="D281">
        <v>3.2199999999999999E-2</v>
      </c>
      <c r="E281">
        <v>-8.0000000000000004E-4</v>
      </c>
      <c r="F281">
        <v>3.7100000000000001E-2</v>
      </c>
      <c r="G281">
        <v>4.5000000000000005E-3</v>
      </c>
    </row>
    <row r="282" spans="1:7">
      <c r="A282">
        <v>198610</v>
      </c>
      <c r="B282">
        <v>4.6600000000000003E-2</v>
      </c>
      <c r="C282">
        <v>-2.3300000000000001E-2</v>
      </c>
      <c r="D282">
        <v>-1.4199999999999999E-2</v>
      </c>
      <c r="E282">
        <v>-5.0000000000000001E-4</v>
      </c>
      <c r="F282">
        <v>0.01</v>
      </c>
      <c r="G282">
        <v>4.5999999999999999E-3</v>
      </c>
    </row>
    <row r="283" spans="1:7">
      <c r="A283">
        <v>198611</v>
      </c>
      <c r="B283">
        <v>1.17E-2</v>
      </c>
      <c r="C283">
        <v>-1.8800000000000001E-2</v>
      </c>
      <c r="D283">
        <v>-7.000000000000001E-4</v>
      </c>
      <c r="E283">
        <v>1.0900000000000002E-2</v>
      </c>
      <c r="F283">
        <v>6.7000000000000002E-3</v>
      </c>
      <c r="G283">
        <v>3.9000000000000003E-3</v>
      </c>
    </row>
    <row r="284" spans="1:7">
      <c r="A284">
        <v>198612</v>
      </c>
      <c r="B284">
        <v>-3.27E-2</v>
      </c>
      <c r="C284">
        <v>1.1999999999999999E-3</v>
      </c>
      <c r="D284">
        <v>3.5999999999999999E-3</v>
      </c>
      <c r="E284">
        <v>7.9000000000000008E-3</v>
      </c>
      <c r="F284">
        <v>8.9999999999999998E-4</v>
      </c>
      <c r="G284">
        <v>4.8999999999999998E-3</v>
      </c>
    </row>
    <row r="285" spans="1:7">
      <c r="A285">
        <v>198701</v>
      </c>
      <c r="B285">
        <v>0.12470000000000001</v>
      </c>
      <c r="C285">
        <v>-1.54E-2</v>
      </c>
      <c r="D285">
        <v>-3.1600000000000003E-2</v>
      </c>
      <c r="E285">
        <v>1.7000000000000001E-3</v>
      </c>
      <c r="F285">
        <v>-0.01</v>
      </c>
      <c r="G285">
        <v>4.1999999999999997E-3</v>
      </c>
    </row>
    <row r="286" spans="1:7">
      <c r="A286">
        <v>198702</v>
      </c>
      <c r="B286">
        <v>4.3899999999999995E-2</v>
      </c>
      <c r="C286">
        <v>3.4000000000000002E-2</v>
      </c>
      <c r="D286">
        <v>-5.91E-2</v>
      </c>
      <c r="E286">
        <v>-7.6E-3</v>
      </c>
      <c r="F286">
        <v>-2.6600000000000002E-2</v>
      </c>
      <c r="G286">
        <v>4.3E-3</v>
      </c>
    </row>
    <row r="287" spans="1:7">
      <c r="A287">
        <v>198703</v>
      </c>
      <c r="B287">
        <v>1.6399999999999998E-2</v>
      </c>
      <c r="C287">
        <v>2.8000000000000004E-3</v>
      </c>
      <c r="D287">
        <v>1.61E-2</v>
      </c>
      <c r="E287">
        <v>1.3600000000000001E-2</v>
      </c>
      <c r="F287">
        <v>4.1399999999999999E-2</v>
      </c>
      <c r="G287">
        <v>4.7000000000000002E-3</v>
      </c>
    </row>
    <row r="288" spans="1:7">
      <c r="A288">
        <v>198704</v>
      </c>
      <c r="B288">
        <v>-2.1100000000000001E-2</v>
      </c>
      <c r="C288">
        <v>-1.54E-2</v>
      </c>
      <c r="D288">
        <v>-3.9000000000000003E-3</v>
      </c>
      <c r="E288">
        <v>-4.8999999999999998E-3</v>
      </c>
      <c r="F288">
        <v>1.0500000000000001E-2</v>
      </c>
      <c r="G288">
        <v>4.4000000000000003E-3</v>
      </c>
    </row>
    <row r="289" spans="1:7">
      <c r="A289">
        <v>198705</v>
      </c>
      <c r="B289">
        <v>1.1000000000000001E-3</v>
      </c>
      <c r="C289">
        <v>-5.6000000000000008E-3</v>
      </c>
      <c r="D289">
        <v>2.3E-3</v>
      </c>
      <c r="E289">
        <v>5.1000000000000004E-3</v>
      </c>
      <c r="F289">
        <v>1.1399999999999999E-2</v>
      </c>
      <c r="G289">
        <v>3.8E-3</v>
      </c>
    </row>
    <row r="290" spans="1:7">
      <c r="A290">
        <v>198706</v>
      </c>
      <c r="B290">
        <v>3.9399999999999998E-2</v>
      </c>
      <c r="C290">
        <v>-2.2100000000000002E-2</v>
      </c>
      <c r="D290">
        <v>1.0400000000000001E-2</v>
      </c>
      <c r="E290">
        <v>1.7000000000000001E-2</v>
      </c>
      <c r="F290">
        <v>8.3999999999999995E-3</v>
      </c>
      <c r="G290">
        <v>4.7999999999999996E-3</v>
      </c>
    </row>
    <row r="291" spans="1:7">
      <c r="A291">
        <v>198707</v>
      </c>
      <c r="B291">
        <v>3.85E-2</v>
      </c>
      <c r="C291">
        <v>-1.1399999999999999E-2</v>
      </c>
      <c r="D291">
        <v>6.8000000000000005E-3</v>
      </c>
      <c r="E291">
        <v>-6.1000000000000004E-3</v>
      </c>
      <c r="F291">
        <v>1.61E-2</v>
      </c>
      <c r="G291">
        <v>4.5999999999999999E-3</v>
      </c>
    </row>
    <row r="292" spans="1:7">
      <c r="A292">
        <v>198708</v>
      </c>
      <c r="B292">
        <v>3.5200000000000002E-2</v>
      </c>
      <c r="C292">
        <v>-9.4000000000000004E-3</v>
      </c>
      <c r="D292">
        <v>-9.300000000000001E-3</v>
      </c>
      <c r="E292">
        <v>2.0400000000000001E-2</v>
      </c>
      <c r="F292">
        <v>-1.61E-2</v>
      </c>
      <c r="G292">
        <v>4.7000000000000002E-3</v>
      </c>
    </row>
    <row r="293" spans="1:7">
      <c r="A293">
        <v>198709</v>
      </c>
      <c r="B293">
        <v>-2.5899999999999999E-2</v>
      </c>
      <c r="C293">
        <v>3.8E-3</v>
      </c>
      <c r="D293">
        <v>2.7000000000000001E-3</v>
      </c>
      <c r="E293">
        <v>-9.7000000000000003E-3</v>
      </c>
      <c r="F293">
        <v>1.8700000000000001E-2</v>
      </c>
      <c r="G293">
        <v>4.5000000000000005E-3</v>
      </c>
    </row>
    <row r="294" spans="1:7">
      <c r="A294">
        <v>198710</v>
      </c>
      <c r="B294">
        <v>-0.2324</v>
      </c>
      <c r="C294">
        <v>-8.0700000000000008E-2</v>
      </c>
      <c r="D294">
        <v>4.24E-2</v>
      </c>
      <c r="E294">
        <v>2.0400000000000001E-2</v>
      </c>
      <c r="F294">
        <v>2.3400000000000001E-2</v>
      </c>
      <c r="G294">
        <v>6.0000000000000001E-3</v>
      </c>
    </row>
    <row r="295" spans="1:7">
      <c r="A295">
        <v>198711</v>
      </c>
      <c r="B295">
        <v>-7.7699999999999991E-2</v>
      </c>
      <c r="C295">
        <v>2.8500000000000001E-2</v>
      </c>
      <c r="D295">
        <v>2.9500000000000002E-2</v>
      </c>
      <c r="E295">
        <v>-1.8800000000000001E-2</v>
      </c>
      <c r="F295">
        <v>6.8000000000000005E-3</v>
      </c>
      <c r="G295">
        <v>3.4999999999999996E-3</v>
      </c>
    </row>
    <row r="296" spans="1:7">
      <c r="A296">
        <v>198712</v>
      </c>
      <c r="B296">
        <v>6.8099999999999994E-2</v>
      </c>
      <c r="C296">
        <v>5.9999999999999995E-4</v>
      </c>
      <c r="D296">
        <v>-4.4299999999999999E-2</v>
      </c>
      <c r="E296">
        <v>2.9600000000000001E-2</v>
      </c>
      <c r="F296">
        <v>-2.4199999999999999E-2</v>
      </c>
      <c r="G296">
        <v>3.9000000000000003E-3</v>
      </c>
    </row>
    <row r="297" spans="1:7">
      <c r="A297">
        <v>198801</v>
      </c>
      <c r="B297">
        <v>4.2099999999999999E-2</v>
      </c>
      <c r="C297">
        <v>-5.1000000000000004E-3</v>
      </c>
      <c r="D297">
        <v>5.0099999999999999E-2</v>
      </c>
      <c r="E297">
        <v>-1.1399999999999999E-2</v>
      </c>
      <c r="F297">
        <v>2.1299999999999999E-2</v>
      </c>
      <c r="G297">
        <v>2.8999999999999998E-3</v>
      </c>
    </row>
    <row r="298" spans="1:7">
      <c r="A298">
        <v>198802</v>
      </c>
      <c r="B298">
        <v>4.7500000000000001E-2</v>
      </c>
      <c r="C298">
        <v>3.32E-2</v>
      </c>
      <c r="D298">
        <v>-1.7100000000000001E-2</v>
      </c>
      <c r="E298">
        <v>1.5600000000000001E-2</v>
      </c>
      <c r="F298">
        <v>-1E-4</v>
      </c>
      <c r="G298">
        <v>4.5999999999999999E-3</v>
      </c>
    </row>
    <row r="299" spans="1:7">
      <c r="A299">
        <v>198803</v>
      </c>
      <c r="B299">
        <v>-2.2700000000000001E-2</v>
      </c>
      <c r="C299">
        <v>6.25E-2</v>
      </c>
      <c r="D299">
        <v>7.3000000000000001E-3</v>
      </c>
      <c r="E299">
        <v>-2.5000000000000001E-3</v>
      </c>
      <c r="F299">
        <v>1.8000000000000002E-2</v>
      </c>
      <c r="G299">
        <v>4.4000000000000003E-3</v>
      </c>
    </row>
    <row r="300" spans="1:7">
      <c r="A300">
        <v>198804</v>
      </c>
      <c r="B300">
        <v>5.6000000000000008E-3</v>
      </c>
      <c r="C300">
        <v>1.1599999999999999E-2</v>
      </c>
      <c r="D300">
        <v>1.67E-2</v>
      </c>
      <c r="E300">
        <v>-2E-3</v>
      </c>
      <c r="F300">
        <v>1.9199999999999998E-2</v>
      </c>
      <c r="G300">
        <v>4.5999999999999999E-3</v>
      </c>
    </row>
    <row r="301" spans="1:7">
      <c r="A301">
        <v>198805</v>
      </c>
      <c r="B301">
        <v>-2.8999999999999998E-3</v>
      </c>
      <c r="C301">
        <v>-2.5600000000000001E-2</v>
      </c>
      <c r="D301">
        <v>2.4199999999999999E-2</v>
      </c>
      <c r="E301">
        <v>-7.4000000000000003E-3</v>
      </c>
      <c r="F301">
        <v>3.3000000000000004E-3</v>
      </c>
      <c r="G301">
        <v>5.1000000000000004E-3</v>
      </c>
    </row>
    <row r="302" spans="1:7">
      <c r="A302">
        <v>198806</v>
      </c>
      <c r="B302">
        <v>4.7899999999999998E-2</v>
      </c>
      <c r="C302">
        <v>2.1600000000000001E-2</v>
      </c>
      <c r="D302">
        <v>-1.24E-2</v>
      </c>
      <c r="E302">
        <v>1.47E-2</v>
      </c>
      <c r="F302">
        <v>-3.3700000000000001E-2</v>
      </c>
      <c r="G302">
        <v>4.8999999999999998E-3</v>
      </c>
    </row>
    <row r="303" spans="1:7">
      <c r="A303">
        <v>198807</v>
      </c>
      <c r="B303">
        <v>-1.2500000000000001E-2</v>
      </c>
      <c r="C303">
        <v>-2.0999999999999999E-3</v>
      </c>
      <c r="D303">
        <v>2.2200000000000001E-2</v>
      </c>
      <c r="E303">
        <v>-5.7999999999999996E-3</v>
      </c>
      <c r="F303">
        <v>1.52E-2</v>
      </c>
      <c r="G303">
        <v>5.1000000000000004E-3</v>
      </c>
    </row>
    <row r="304" spans="1:7">
      <c r="A304">
        <v>198808</v>
      </c>
      <c r="B304">
        <v>-3.3100000000000004E-2</v>
      </c>
      <c r="C304">
        <v>-2.9999999999999997E-4</v>
      </c>
      <c r="D304">
        <v>2.1499999999999998E-2</v>
      </c>
      <c r="E304">
        <v>-8.199999999999999E-3</v>
      </c>
      <c r="F304">
        <v>1.7600000000000001E-2</v>
      </c>
      <c r="G304">
        <v>5.8999999999999999E-3</v>
      </c>
    </row>
    <row r="305" spans="1:7">
      <c r="A305">
        <v>198809</v>
      </c>
      <c r="B305">
        <v>3.3000000000000002E-2</v>
      </c>
      <c r="C305">
        <v>-1.3600000000000001E-2</v>
      </c>
      <c r="D305">
        <v>-7.4999999999999997E-3</v>
      </c>
      <c r="E305">
        <v>1.7600000000000001E-2</v>
      </c>
      <c r="F305">
        <v>-6.1000000000000004E-3</v>
      </c>
      <c r="G305">
        <v>6.1999999999999998E-3</v>
      </c>
    </row>
    <row r="306" spans="1:7">
      <c r="A306">
        <v>198810</v>
      </c>
      <c r="B306">
        <v>1.15E-2</v>
      </c>
      <c r="C306">
        <v>-2.9500000000000002E-2</v>
      </c>
      <c r="D306">
        <v>2.0499999999999997E-2</v>
      </c>
      <c r="E306">
        <v>1.3000000000000001E-2</v>
      </c>
      <c r="F306">
        <v>1.03E-2</v>
      </c>
      <c r="G306">
        <v>6.1000000000000004E-3</v>
      </c>
    </row>
    <row r="307" spans="1:7">
      <c r="A307">
        <v>198811</v>
      </c>
      <c r="B307">
        <v>-2.29E-2</v>
      </c>
      <c r="C307">
        <v>-1.6500000000000001E-2</v>
      </c>
      <c r="D307">
        <v>1.41E-2</v>
      </c>
      <c r="E307">
        <v>-2.8000000000000004E-3</v>
      </c>
      <c r="F307">
        <v>1.6200000000000003E-2</v>
      </c>
      <c r="G307">
        <v>5.6999999999999993E-3</v>
      </c>
    </row>
    <row r="308" spans="1:7">
      <c r="A308">
        <v>198812</v>
      </c>
      <c r="B308">
        <v>1.49E-2</v>
      </c>
      <c r="C308">
        <v>2.01E-2</v>
      </c>
      <c r="D308">
        <v>-1.6899999999999998E-2</v>
      </c>
      <c r="E308">
        <v>6.8999999999999999E-3</v>
      </c>
      <c r="F308">
        <v>-3.8E-3</v>
      </c>
      <c r="G308">
        <v>6.3E-3</v>
      </c>
    </row>
    <row r="309" spans="1:7">
      <c r="A309">
        <v>198901</v>
      </c>
      <c r="B309">
        <v>6.0999999999999999E-2</v>
      </c>
      <c r="C309">
        <v>-2.3100000000000002E-2</v>
      </c>
      <c r="D309">
        <v>6.0000000000000001E-3</v>
      </c>
      <c r="E309">
        <v>-9.4999999999999998E-3</v>
      </c>
      <c r="F309">
        <v>1.4000000000000002E-3</v>
      </c>
      <c r="G309">
        <v>5.5000000000000005E-3</v>
      </c>
    </row>
    <row r="310" spans="1:7">
      <c r="A310">
        <v>198902</v>
      </c>
      <c r="B310">
        <v>-2.2499999999999999E-2</v>
      </c>
      <c r="C310">
        <v>2.7099999999999999E-2</v>
      </c>
      <c r="D310">
        <v>1.01E-2</v>
      </c>
      <c r="E310">
        <v>-8.6999999999999994E-3</v>
      </c>
      <c r="F310">
        <v>1.8100000000000002E-2</v>
      </c>
      <c r="G310">
        <v>6.1000000000000004E-3</v>
      </c>
    </row>
    <row r="311" spans="1:7">
      <c r="A311">
        <v>198903</v>
      </c>
      <c r="B311">
        <v>1.5700000000000002E-2</v>
      </c>
      <c r="C311">
        <v>6.8000000000000005E-3</v>
      </c>
      <c r="D311">
        <v>5.7999999999999996E-3</v>
      </c>
      <c r="E311">
        <v>5.0000000000000001E-4</v>
      </c>
      <c r="F311">
        <v>7.1999999999999998E-3</v>
      </c>
      <c r="G311">
        <v>6.7000000000000002E-3</v>
      </c>
    </row>
    <row r="312" spans="1:7">
      <c r="A312">
        <v>198904</v>
      </c>
      <c r="B312">
        <v>4.3299999999999998E-2</v>
      </c>
      <c r="C312">
        <v>-7.8000000000000005E-3</v>
      </c>
      <c r="D312">
        <v>-1.4199999999999999E-2</v>
      </c>
      <c r="E312">
        <v>7.0999999999999995E-3</v>
      </c>
      <c r="F312">
        <v>-5.6999999999999993E-3</v>
      </c>
      <c r="G312">
        <v>6.7000000000000002E-3</v>
      </c>
    </row>
    <row r="313" spans="1:7">
      <c r="A313">
        <v>198905</v>
      </c>
      <c r="B313">
        <v>3.3500000000000002E-2</v>
      </c>
      <c r="C313">
        <v>-1E-4</v>
      </c>
      <c r="D313">
        <v>-8.8000000000000005E-3</v>
      </c>
      <c r="E313">
        <v>4.8999999999999998E-3</v>
      </c>
      <c r="F313">
        <v>-8.0000000000000004E-4</v>
      </c>
      <c r="G313">
        <v>7.9000000000000008E-3</v>
      </c>
    </row>
    <row r="314" spans="1:7">
      <c r="A314">
        <v>198906</v>
      </c>
      <c r="B314">
        <v>-1.3500000000000002E-2</v>
      </c>
      <c r="C314">
        <v>-1.0900000000000002E-2</v>
      </c>
      <c r="D314">
        <v>2.2499999999999999E-2</v>
      </c>
      <c r="E314">
        <v>2.7000000000000001E-3</v>
      </c>
      <c r="F314">
        <v>1.5600000000000001E-2</v>
      </c>
      <c r="G314">
        <v>7.0999999999999995E-3</v>
      </c>
    </row>
    <row r="315" spans="1:7">
      <c r="A315">
        <v>198907</v>
      </c>
      <c r="B315">
        <v>7.2000000000000008E-2</v>
      </c>
      <c r="C315">
        <v>-4.1500000000000002E-2</v>
      </c>
      <c r="D315">
        <v>-2.7900000000000001E-2</v>
      </c>
      <c r="E315">
        <v>1.9800000000000002E-2</v>
      </c>
      <c r="F315">
        <v>-5.7999999999999996E-3</v>
      </c>
      <c r="G315">
        <v>6.9999999999999993E-3</v>
      </c>
    </row>
    <row r="316" spans="1:7">
      <c r="A316">
        <v>198908</v>
      </c>
      <c r="B316">
        <v>1.44E-2</v>
      </c>
      <c r="C316">
        <v>4.7999999999999996E-3</v>
      </c>
      <c r="D316">
        <v>6.0000000000000001E-3</v>
      </c>
      <c r="E316">
        <v>3.9000000000000003E-3</v>
      </c>
      <c r="F316">
        <v>-5.7999999999999996E-3</v>
      </c>
      <c r="G316">
        <v>7.4000000000000003E-3</v>
      </c>
    </row>
    <row r="317" spans="1:7">
      <c r="A317">
        <v>198909</v>
      </c>
      <c r="B317">
        <v>-7.6E-3</v>
      </c>
      <c r="C317">
        <v>4.8999999999999998E-3</v>
      </c>
      <c r="D317">
        <v>-1.2700000000000001E-2</v>
      </c>
      <c r="E317">
        <v>1.3999999999999999E-2</v>
      </c>
      <c r="F317">
        <v>5.0000000000000001E-3</v>
      </c>
      <c r="G317">
        <v>6.5000000000000006E-3</v>
      </c>
    </row>
    <row r="318" spans="1:7">
      <c r="A318">
        <v>198910</v>
      </c>
      <c r="B318">
        <v>-3.6700000000000003E-2</v>
      </c>
      <c r="C318">
        <v>-3.3000000000000002E-2</v>
      </c>
      <c r="D318">
        <v>-1.11E-2</v>
      </c>
      <c r="E318">
        <v>1.1000000000000001E-3</v>
      </c>
      <c r="F318">
        <v>-4.0000000000000002E-4</v>
      </c>
      <c r="G318">
        <v>6.8000000000000005E-3</v>
      </c>
    </row>
    <row r="319" spans="1:7">
      <c r="A319">
        <v>198911</v>
      </c>
      <c r="B319">
        <v>1.03E-2</v>
      </c>
      <c r="C319">
        <v>-1.29E-2</v>
      </c>
      <c r="D319">
        <v>-1.0900000000000002E-2</v>
      </c>
      <c r="E319">
        <v>-8.6E-3</v>
      </c>
      <c r="F319">
        <v>1.41E-2</v>
      </c>
      <c r="G319">
        <v>6.8999999999999999E-3</v>
      </c>
    </row>
    <row r="320" spans="1:7">
      <c r="A320">
        <v>198912</v>
      </c>
      <c r="B320">
        <v>1.1599999999999999E-2</v>
      </c>
      <c r="C320">
        <v>-2.2700000000000001E-2</v>
      </c>
      <c r="D320">
        <v>1.6000000000000001E-3</v>
      </c>
      <c r="E320">
        <v>-7.000000000000001E-4</v>
      </c>
      <c r="F320">
        <v>1.4199999999999999E-2</v>
      </c>
      <c r="G320">
        <v>6.1000000000000004E-3</v>
      </c>
    </row>
    <row r="321" spans="1:7">
      <c r="A321">
        <v>199001</v>
      </c>
      <c r="B321">
        <v>-7.85E-2</v>
      </c>
      <c r="C321">
        <v>-1.3100000000000001E-2</v>
      </c>
      <c r="D321">
        <v>8.5000000000000006E-3</v>
      </c>
      <c r="E321">
        <v>-1.17E-2</v>
      </c>
      <c r="F321">
        <v>1.3500000000000002E-2</v>
      </c>
      <c r="G321">
        <v>5.6999999999999993E-3</v>
      </c>
    </row>
    <row r="322" spans="1:7">
      <c r="A322">
        <v>199002</v>
      </c>
      <c r="B322">
        <v>1.11E-2</v>
      </c>
      <c r="C322">
        <v>1.17E-2</v>
      </c>
      <c r="D322">
        <v>6.4000000000000003E-3</v>
      </c>
      <c r="E322">
        <v>-2.9999999999999997E-4</v>
      </c>
      <c r="F322">
        <v>-6.6000000000000008E-3</v>
      </c>
      <c r="G322">
        <v>5.6999999999999993E-3</v>
      </c>
    </row>
    <row r="323" spans="1:7">
      <c r="A323">
        <v>199003</v>
      </c>
      <c r="B323">
        <v>1.83E-2</v>
      </c>
      <c r="C323">
        <v>1.6200000000000003E-2</v>
      </c>
      <c r="D323">
        <v>-2.92E-2</v>
      </c>
      <c r="E323">
        <v>2.0400000000000001E-2</v>
      </c>
      <c r="F323">
        <v>-1.0200000000000001E-2</v>
      </c>
      <c r="G323">
        <v>6.4000000000000003E-3</v>
      </c>
    </row>
    <row r="324" spans="1:7">
      <c r="A324">
        <v>199004</v>
      </c>
      <c r="B324">
        <v>-3.3599999999999998E-2</v>
      </c>
      <c r="C324">
        <v>-3.3000000000000004E-3</v>
      </c>
      <c r="D324">
        <v>-2.5899999999999999E-2</v>
      </c>
      <c r="E324">
        <v>1.78E-2</v>
      </c>
      <c r="F324">
        <v>-9.7999999999999997E-3</v>
      </c>
      <c r="G324">
        <v>6.8999999999999999E-3</v>
      </c>
    </row>
    <row r="325" spans="1:7">
      <c r="A325">
        <v>199005</v>
      </c>
      <c r="B325">
        <v>8.4199999999999997E-2</v>
      </c>
      <c r="C325">
        <v>-2.35E-2</v>
      </c>
      <c r="D325">
        <v>-3.8300000000000001E-2</v>
      </c>
      <c r="E325">
        <v>1.5700000000000002E-2</v>
      </c>
      <c r="F325">
        <v>-1.6799999999999999E-2</v>
      </c>
      <c r="G325">
        <v>6.8000000000000005E-3</v>
      </c>
    </row>
    <row r="326" spans="1:7">
      <c r="A326">
        <v>199006</v>
      </c>
      <c r="B326">
        <v>-1.0900000000000002E-2</v>
      </c>
      <c r="C326">
        <v>1.3500000000000002E-2</v>
      </c>
      <c r="D326">
        <v>-1.9300000000000001E-2</v>
      </c>
      <c r="E326">
        <v>-1.03E-2</v>
      </c>
      <c r="F326">
        <v>-3.9000000000000003E-3</v>
      </c>
      <c r="G326">
        <v>6.3E-3</v>
      </c>
    </row>
    <row r="327" spans="1:7">
      <c r="A327">
        <v>199007</v>
      </c>
      <c r="B327">
        <v>-1.9E-2</v>
      </c>
      <c r="C327">
        <v>-3.1600000000000003E-2</v>
      </c>
      <c r="D327">
        <v>-2.9999999999999997E-4</v>
      </c>
      <c r="E327">
        <v>-1.8E-3</v>
      </c>
      <c r="F327">
        <v>3.2100000000000004E-2</v>
      </c>
      <c r="G327">
        <v>6.8000000000000005E-3</v>
      </c>
    </row>
    <row r="328" spans="1:7">
      <c r="A328">
        <v>199008</v>
      </c>
      <c r="B328">
        <v>-0.10150000000000001</v>
      </c>
      <c r="C328">
        <v>-3.8700000000000005E-2</v>
      </c>
      <c r="D328">
        <v>1.6399999999999998E-2</v>
      </c>
      <c r="E328">
        <v>-3.4999999999999996E-3</v>
      </c>
      <c r="F328">
        <v>2.9600000000000001E-2</v>
      </c>
      <c r="G328">
        <v>6.6000000000000008E-3</v>
      </c>
    </row>
    <row r="329" spans="1:7">
      <c r="A329">
        <v>199009</v>
      </c>
      <c r="B329">
        <v>-6.1200000000000004E-2</v>
      </c>
      <c r="C329">
        <v>-3.7400000000000003E-2</v>
      </c>
      <c r="D329">
        <v>6.4000000000000003E-3</v>
      </c>
      <c r="E329">
        <v>5.9999999999999995E-4</v>
      </c>
      <c r="F329">
        <v>3.6700000000000003E-2</v>
      </c>
      <c r="G329">
        <v>6.0000000000000001E-3</v>
      </c>
    </row>
    <row r="330" spans="1:7">
      <c r="A330">
        <v>199010</v>
      </c>
      <c r="B330">
        <v>-1.9199999999999998E-2</v>
      </c>
      <c r="C330">
        <v>-5.1200000000000002E-2</v>
      </c>
      <c r="D330">
        <v>1E-3</v>
      </c>
      <c r="E330">
        <v>2.9700000000000004E-2</v>
      </c>
      <c r="F330">
        <v>-3.0000000000000001E-3</v>
      </c>
      <c r="G330">
        <v>6.8000000000000005E-3</v>
      </c>
    </row>
    <row r="331" spans="1:7">
      <c r="A331">
        <v>199011</v>
      </c>
      <c r="B331">
        <v>6.3500000000000001E-2</v>
      </c>
      <c r="C331">
        <v>7.000000000000001E-4</v>
      </c>
      <c r="D331">
        <v>-3.1000000000000003E-2</v>
      </c>
      <c r="E331">
        <v>6.5000000000000006E-3</v>
      </c>
      <c r="F331">
        <v>-4.7400000000000005E-2</v>
      </c>
      <c r="G331">
        <v>5.6999999999999993E-3</v>
      </c>
    </row>
    <row r="332" spans="1:7">
      <c r="A332">
        <v>199012</v>
      </c>
      <c r="B332">
        <v>2.46E-2</v>
      </c>
      <c r="C332">
        <v>6.7000000000000002E-3</v>
      </c>
      <c r="D332">
        <v>-1.7000000000000001E-2</v>
      </c>
      <c r="E332">
        <v>2.7300000000000001E-2</v>
      </c>
      <c r="F332">
        <v>-1.89E-2</v>
      </c>
      <c r="G332">
        <v>6.0000000000000001E-3</v>
      </c>
    </row>
    <row r="333" spans="1:7">
      <c r="A333">
        <v>199101</v>
      </c>
      <c r="B333">
        <v>4.6900000000000004E-2</v>
      </c>
      <c r="C333">
        <v>3.9100000000000003E-2</v>
      </c>
      <c r="D333">
        <v>-1.6E-2</v>
      </c>
      <c r="E333">
        <v>1.2800000000000001E-2</v>
      </c>
      <c r="F333">
        <v>-3.9900000000000005E-2</v>
      </c>
      <c r="G333">
        <v>5.2000000000000006E-3</v>
      </c>
    </row>
    <row r="334" spans="1:7">
      <c r="A334">
        <v>199102</v>
      </c>
      <c r="B334">
        <v>7.1900000000000006E-2</v>
      </c>
      <c r="C334">
        <v>3.9399999999999998E-2</v>
      </c>
      <c r="D334">
        <v>-5.7999999999999996E-3</v>
      </c>
      <c r="E334">
        <v>-2E-3</v>
      </c>
      <c r="F334">
        <v>-3.3000000000000004E-3</v>
      </c>
      <c r="G334">
        <v>4.7999999999999996E-3</v>
      </c>
    </row>
    <row r="335" spans="1:7">
      <c r="A335">
        <v>199103</v>
      </c>
      <c r="B335">
        <v>2.6499999999999999E-2</v>
      </c>
      <c r="C335">
        <v>3.8300000000000001E-2</v>
      </c>
      <c r="D335">
        <v>-1.3899999999999999E-2</v>
      </c>
      <c r="E335">
        <v>-5.3E-3</v>
      </c>
      <c r="F335">
        <v>-1.06E-2</v>
      </c>
      <c r="G335">
        <v>4.4000000000000003E-3</v>
      </c>
    </row>
    <row r="336" spans="1:7">
      <c r="A336">
        <v>199104</v>
      </c>
      <c r="B336">
        <v>-2.8000000000000004E-3</v>
      </c>
      <c r="C336">
        <v>3.0999999999999999E-3</v>
      </c>
      <c r="D336">
        <v>1.4999999999999999E-2</v>
      </c>
      <c r="E336">
        <v>6.1999999999999998E-3</v>
      </c>
      <c r="F336">
        <v>7.4000000000000003E-3</v>
      </c>
      <c r="G336">
        <v>5.3E-3</v>
      </c>
    </row>
    <row r="337" spans="1:7">
      <c r="A337">
        <v>199105</v>
      </c>
      <c r="B337">
        <v>3.6499999999999998E-2</v>
      </c>
      <c r="C337">
        <v>1.4000000000000002E-3</v>
      </c>
      <c r="D337">
        <v>-5.2000000000000006E-3</v>
      </c>
      <c r="E337">
        <v>0.02</v>
      </c>
      <c r="F337">
        <v>-2.4300000000000002E-2</v>
      </c>
      <c r="G337">
        <v>4.7000000000000002E-3</v>
      </c>
    </row>
    <row r="338" spans="1:7">
      <c r="A338">
        <v>199106</v>
      </c>
      <c r="B338">
        <v>-4.9400000000000006E-2</v>
      </c>
      <c r="C338">
        <v>2.3999999999999998E-3</v>
      </c>
      <c r="D338">
        <v>1.15E-2</v>
      </c>
      <c r="E338">
        <v>1.7899999999999999E-2</v>
      </c>
      <c r="F338">
        <v>6.5000000000000006E-3</v>
      </c>
      <c r="G338">
        <v>4.1999999999999997E-3</v>
      </c>
    </row>
    <row r="339" spans="1:7">
      <c r="A339">
        <v>199107</v>
      </c>
      <c r="B339">
        <v>4.24E-2</v>
      </c>
      <c r="C339">
        <v>-9.5999999999999992E-3</v>
      </c>
      <c r="D339">
        <v>-1.3200000000000002E-2</v>
      </c>
      <c r="E339">
        <v>1.6E-2</v>
      </c>
      <c r="F339">
        <v>-1.3600000000000001E-2</v>
      </c>
      <c r="G339">
        <v>4.8999999999999998E-3</v>
      </c>
    </row>
    <row r="340" spans="1:7">
      <c r="A340">
        <v>199108</v>
      </c>
      <c r="B340">
        <v>2.3199999999999998E-2</v>
      </c>
      <c r="C340">
        <v>1.3999999999999999E-2</v>
      </c>
      <c r="D340">
        <v>-7.8000000000000005E-3</v>
      </c>
      <c r="E340">
        <v>8.3999999999999995E-3</v>
      </c>
      <c r="F340">
        <v>-3.4000000000000002E-3</v>
      </c>
      <c r="G340">
        <v>4.5999999999999999E-3</v>
      </c>
    </row>
    <row r="341" spans="1:7">
      <c r="A341">
        <v>199109</v>
      </c>
      <c r="B341">
        <v>-1.5900000000000001E-2</v>
      </c>
      <c r="C341">
        <v>1.5600000000000001E-2</v>
      </c>
      <c r="D341">
        <v>-1.0800000000000001E-2</v>
      </c>
      <c r="E341">
        <v>-1.8200000000000001E-2</v>
      </c>
      <c r="F341">
        <v>8.0000000000000004E-4</v>
      </c>
      <c r="G341">
        <v>4.5999999999999999E-3</v>
      </c>
    </row>
    <row r="342" spans="1:7">
      <c r="A342">
        <v>199110</v>
      </c>
      <c r="B342">
        <v>1.29E-2</v>
      </c>
      <c r="C342">
        <v>9.1000000000000004E-3</v>
      </c>
      <c r="D342">
        <v>-4.7000000000000002E-3</v>
      </c>
      <c r="E342">
        <v>-1.7000000000000001E-2</v>
      </c>
      <c r="F342">
        <v>-2.3E-3</v>
      </c>
      <c r="G342">
        <v>4.1999999999999997E-3</v>
      </c>
    </row>
    <row r="343" spans="1:7">
      <c r="A343">
        <v>199111</v>
      </c>
      <c r="B343">
        <v>-4.1900000000000007E-2</v>
      </c>
      <c r="C343">
        <v>-8.3000000000000001E-3</v>
      </c>
      <c r="D343">
        <v>-1.89E-2</v>
      </c>
      <c r="E343">
        <v>1.11E-2</v>
      </c>
      <c r="F343">
        <v>1E-4</v>
      </c>
      <c r="G343">
        <v>3.9000000000000003E-3</v>
      </c>
    </row>
    <row r="344" spans="1:7">
      <c r="A344">
        <v>199112</v>
      </c>
      <c r="B344">
        <v>0.1084</v>
      </c>
      <c r="C344">
        <v>-2.4E-2</v>
      </c>
      <c r="D344">
        <v>-4.1700000000000001E-2</v>
      </c>
      <c r="E344">
        <v>3.5499999999999997E-2</v>
      </c>
      <c r="F344">
        <v>-3.1200000000000002E-2</v>
      </c>
      <c r="G344">
        <v>3.8E-3</v>
      </c>
    </row>
    <row r="345" spans="1:7">
      <c r="A345">
        <v>199201</v>
      </c>
      <c r="B345">
        <v>-5.8999999999999999E-3</v>
      </c>
      <c r="C345">
        <v>9.1799999999999993E-2</v>
      </c>
      <c r="D345">
        <v>4.7100000000000003E-2</v>
      </c>
      <c r="E345">
        <v>-1.3200000000000002E-2</v>
      </c>
      <c r="F345">
        <v>3.2000000000000001E-2</v>
      </c>
      <c r="G345">
        <v>3.4000000000000002E-3</v>
      </c>
    </row>
    <row r="346" spans="1:7">
      <c r="A346">
        <v>199202</v>
      </c>
      <c r="B346">
        <v>1.0900000000000002E-2</v>
      </c>
      <c r="C346">
        <v>1.3300000000000001E-2</v>
      </c>
      <c r="D346">
        <v>6.4699999999999994E-2</v>
      </c>
      <c r="E346">
        <v>8.0000000000000004E-4</v>
      </c>
      <c r="F346">
        <v>2.1899999999999999E-2</v>
      </c>
      <c r="G346">
        <v>2.8000000000000004E-3</v>
      </c>
    </row>
    <row r="347" spans="1:7">
      <c r="A347">
        <v>199203</v>
      </c>
      <c r="B347">
        <v>-2.6600000000000002E-2</v>
      </c>
      <c r="C347">
        <v>-9.300000000000001E-3</v>
      </c>
      <c r="D347">
        <v>3.56E-2</v>
      </c>
      <c r="E347">
        <v>-1E-4</v>
      </c>
      <c r="F347">
        <v>1.95E-2</v>
      </c>
      <c r="G347">
        <v>3.4000000000000002E-3</v>
      </c>
    </row>
    <row r="348" spans="1:7">
      <c r="A348">
        <v>199204</v>
      </c>
      <c r="B348">
        <v>1.0700000000000001E-2</v>
      </c>
      <c r="C348">
        <v>-5.7000000000000002E-2</v>
      </c>
      <c r="D348">
        <v>4.3400000000000001E-2</v>
      </c>
      <c r="E348">
        <v>1.6899999999999998E-2</v>
      </c>
      <c r="F348">
        <v>2.23E-2</v>
      </c>
      <c r="G348">
        <v>3.2000000000000002E-3</v>
      </c>
    </row>
    <row r="349" spans="1:7">
      <c r="A349">
        <v>199205</v>
      </c>
      <c r="B349">
        <v>3.0000000000000001E-3</v>
      </c>
      <c r="C349">
        <v>2.0999999999999999E-3</v>
      </c>
      <c r="D349">
        <v>1.1899999999999999E-2</v>
      </c>
      <c r="E349">
        <v>-9.4999999999999998E-3</v>
      </c>
      <c r="F349">
        <v>4.7999999999999996E-3</v>
      </c>
      <c r="G349">
        <v>2.8000000000000004E-3</v>
      </c>
    </row>
    <row r="350" spans="1:7">
      <c r="A350">
        <v>199206</v>
      </c>
      <c r="B350">
        <v>-2.3400000000000001E-2</v>
      </c>
      <c r="C350">
        <v>-2.7300000000000001E-2</v>
      </c>
      <c r="D350">
        <v>3.2400000000000005E-2</v>
      </c>
      <c r="E350">
        <v>-5.0000000000000001E-4</v>
      </c>
      <c r="F350">
        <v>1.01E-2</v>
      </c>
      <c r="G350">
        <v>3.2000000000000002E-3</v>
      </c>
    </row>
    <row r="351" spans="1:7">
      <c r="A351">
        <v>199207</v>
      </c>
      <c r="B351">
        <v>3.7700000000000004E-2</v>
      </c>
      <c r="C351">
        <v>-6.1999999999999998E-3</v>
      </c>
      <c r="D351">
        <v>-5.6000000000000008E-3</v>
      </c>
      <c r="E351">
        <v>1.3000000000000001E-2</v>
      </c>
      <c r="F351">
        <v>-9.1000000000000004E-3</v>
      </c>
      <c r="G351">
        <v>3.0999999999999999E-3</v>
      </c>
    </row>
    <row r="352" spans="1:7">
      <c r="A352">
        <v>199208</v>
      </c>
      <c r="B352">
        <v>-2.3799999999999998E-2</v>
      </c>
      <c r="C352">
        <v>-4.1999999999999997E-3</v>
      </c>
      <c r="D352">
        <v>-1.1000000000000001E-2</v>
      </c>
      <c r="E352">
        <v>3.7200000000000004E-2</v>
      </c>
      <c r="F352">
        <v>-1.6500000000000001E-2</v>
      </c>
      <c r="G352">
        <v>2.6000000000000003E-3</v>
      </c>
    </row>
    <row r="353" spans="1:7">
      <c r="A353">
        <v>199209</v>
      </c>
      <c r="B353">
        <v>1.1899999999999999E-2</v>
      </c>
      <c r="C353">
        <v>4.7999999999999996E-3</v>
      </c>
      <c r="D353">
        <v>-2.6000000000000003E-3</v>
      </c>
      <c r="E353">
        <v>1.6399999999999998E-2</v>
      </c>
      <c r="F353">
        <v>-5.8999999999999999E-3</v>
      </c>
      <c r="G353">
        <v>2.6000000000000003E-3</v>
      </c>
    </row>
    <row r="354" spans="1:7">
      <c r="A354">
        <v>199210</v>
      </c>
      <c r="B354">
        <v>1.0200000000000001E-2</v>
      </c>
      <c r="C354">
        <v>2.07E-2</v>
      </c>
      <c r="D354">
        <v>-1.9800000000000002E-2</v>
      </c>
      <c r="E354">
        <v>1.24E-2</v>
      </c>
      <c r="F354">
        <v>-7.9000000000000008E-3</v>
      </c>
      <c r="G354">
        <v>2.3E-3</v>
      </c>
    </row>
    <row r="355" spans="1:7">
      <c r="A355">
        <v>199211</v>
      </c>
      <c r="B355">
        <v>4.1299999999999996E-2</v>
      </c>
      <c r="C355">
        <v>3.9399999999999998E-2</v>
      </c>
      <c r="D355">
        <v>-1.3500000000000002E-2</v>
      </c>
      <c r="E355">
        <v>-6.8000000000000005E-3</v>
      </c>
      <c r="F355">
        <v>-1.5900000000000001E-2</v>
      </c>
      <c r="G355">
        <v>2.3E-3</v>
      </c>
    </row>
    <row r="356" spans="1:7">
      <c r="A356">
        <v>199212</v>
      </c>
      <c r="B356">
        <v>1.5300000000000001E-2</v>
      </c>
      <c r="C356">
        <v>1.6799999999999999E-2</v>
      </c>
      <c r="D356">
        <v>2.6200000000000001E-2</v>
      </c>
      <c r="E356">
        <v>-4.7999999999999996E-3</v>
      </c>
      <c r="F356">
        <v>8.3999999999999995E-3</v>
      </c>
      <c r="G356">
        <v>2.8000000000000004E-3</v>
      </c>
    </row>
    <row r="357" spans="1:7">
      <c r="A357">
        <v>199301</v>
      </c>
      <c r="B357">
        <v>9.300000000000001E-3</v>
      </c>
      <c r="C357">
        <v>1.9300000000000001E-2</v>
      </c>
      <c r="D357">
        <v>5.9400000000000008E-2</v>
      </c>
      <c r="E357">
        <v>-1.84E-2</v>
      </c>
      <c r="F357">
        <v>2.9100000000000001E-2</v>
      </c>
      <c r="G357">
        <v>2.3E-3</v>
      </c>
    </row>
    <row r="358" spans="1:7">
      <c r="A358">
        <v>199302</v>
      </c>
      <c r="B358">
        <v>1.1999999999999999E-3</v>
      </c>
      <c r="C358">
        <v>-3.4500000000000003E-2</v>
      </c>
      <c r="D358">
        <v>6.4200000000000007E-2</v>
      </c>
      <c r="E358">
        <v>-4.1999999999999997E-3</v>
      </c>
      <c r="F358">
        <v>4.1299999999999996E-2</v>
      </c>
      <c r="G358">
        <v>2.2000000000000001E-3</v>
      </c>
    </row>
    <row r="359" spans="1:7">
      <c r="A359">
        <v>199303</v>
      </c>
      <c r="B359">
        <v>2.3E-2</v>
      </c>
      <c r="C359">
        <v>8.9999999999999998E-4</v>
      </c>
      <c r="D359">
        <v>1.18E-2</v>
      </c>
      <c r="E359">
        <v>-1.5E-3</v>
      </c>
      <c r="F359">
        <v>9.0000000000000011E-3</v>
      </c>
      <c r="G359">
        <v>2.5000000000000001E-3</v>
      </c>
    </row>
    <row r="360" spans="1:7">
      <c r="A360">
        <v>199304</v>
      </c>
      <c r="B360">
        <v>-3.0499999999999999E-2</v>
      </c>
      <c r="C360">
        <v>-8.5000000000000006E-3</v>
      </c>
      <c r="D360">
        <v>2.4900000000000002E-2</v>
      </c>
      <c r="E360">
        <v>-3.61E-2</v>
      </c>
      <c r="F360">
        <v>1.38E-2</v>
      </c>
      <c r="G360">
        <v>2.3999999999999998E-3</v>
      </c>
    </row>
    <row r="361" spans="1:7">
      <c r="A361">
        <v>199305</v>
      </c>
      <c r="B361">
        <v>2.8900000000000002E-2</v>
      </c>
      <c r="C361">
        <v>1.9E-2</v>
      </c>
      <c r="D361">
        <v>-3.4200000000000001E-2</v>
      </c>
      <c r="E361">
        <v>-1.1999999999999999E-3</v>
      </c>
      <c r="F361">
        <v>-1.0400000000000001E-2</v>
      </c>
      <c r="G361">
        <v>2.2000000000000001E-3</v>
      </c>
    </row>
    <row r="362" spans="1:7">
      <c r="A362">
        <v>199306</v>
      </c>
      <c r="B362">
        <v>3.0999999999999999E-3</v>
      </c>
      <c r="C362">
        <v>1.3000000000000002E-3</v>
      </c>
      <c r="D362">
        <v>2.75E-2</v>
      </c>
      <c r="E362">
        <v>-9.1999999999999998E-3</v>
      </c>
      <c r="F362">
        <v>1.21E-2</v>
      </c>
      <c r="G362">
        <v>2.5000000000000001E-3</v>
      </c>
    </row>
    <row r="363" spans="1:7">
      <c r="A363">
        <v>199307</v>
      </c>
      <c r="B363">
        <v>-3.4000000000000002E-3</v>
      </c>
      <c r="C363">
        <v>9.4999999999999998E-3</v>
      </c>
      <c r="D363">
        <v>2.8500000000000001E-2</v>
      </c>
      <c r="E363">
        <v>-1.8700000000000001E-2</v>
      </c>
      <c r="F363">
        <v>2.06E-2</v>
      </c>
      <c r="G363">
        <v>2.3999999999999998E-3</v>
      </c>
    </row>
    <row r="364" spans="1:7">
      <c r="A364">
        <v>199308</v>
      </c>
      <c r="B364">
        <v>3.7100000000000001E-2</v>
      </c>
      <c r="C364">
        <v>1E-3</v>
      </c>
      <c r="D364">
        <v>1.3000000000000002E-3</v>
      </c>
      <c r="E364">
        <v>-1.54E-2</v>
      </c>
      <c r="F364">
        <v>-4.0000000000000002E-4</v>
      </c>
      <c r="G364">
        <v>2.5000000000000001E-3</v>
      </c>
    </row>
    <row r="365" spans="1:7">
      <c r="A365">
        <v>199309</v>
      </c>
      <c r="B365">
        <v>-1.1999999999999999E-3</v>
      </c>
      <c r="C365">
        <v>2.98E-2</v>
      </c>
      <c r="D365">
        <v>-3.0999999999999999E-3</v>
      </c>
      <c r="E365">
        <v>2.3999999999999998E-3</v>
      </c>
      <c r="F365">
        <v>-1.6000000000000001E-3</v>
      </c>
      <c r="G365">
        <v>2.6000000000000003E-3</v>
      </c>
    </row>
    <row r="366" spans="1:7">
      <c r="A366">
        <v>199310</v>
      </c>
      <c r="B366">
        <v>1.41E-2</v>
      </c>
      <c r="C366">
        <v>1.89E-2</v>
      </c>
      <c r="D366">
        <v>-2.76E-2</v>
      </c>
      <c r="E366">
        <v>5.6999999999999993E-3</v>
      </c>
      <c r="F366">
        <v>6.0000000000000001E-3</v>
      </c>
      <c r="G366">
        <v>2.2000000000000001E-3</v>
      </c>
    </row>
    <row r="367" spans="1:7">
      <c r="A367">
        <v>199311</v>
      </c>
      <c r="B367">
        <v>-1.89E-2</v>
      </c>
      <c r="C367">
        <v>-1.2700000000000001E-2</v>
      </c>
      <c r="D367">
        <v>-7.4000000000000003E-3</v>
      </c>
      <c r="E367">
        <v>2.23E-2</v>
      </c>
      <c r="F367">
        <v>-9.4000000000000004E-3</v>
      </c>
      <c r="G367">
        <v>2.5000000000000001E-3</v>
      </c>
    </row>
    <row r="368" spans="1:7">
      <c r="A368">
        <v>199312</v>
      </c>
      <c r="B368">
        <v>1.6500000000000001E-2</v>
      </c>
      <c r="C368">
        <v>1.3999999999999999E-2</v>
      </c>
      <c r="D368">
        <v>3.2000000000000002E-3</v>
      </c>
      <c r="E368">
        <v>1.1599999999999999E-2</v>
      </c>
      <c r="F368">
        <v>-3.4000000000000002E-3</v>
      </c>
      <c r="G368">
        <v>2.3E-3</v>
      </c>
    </row>
    <row r="369" spans="1:7">
      <c r="A369">
        <v>199401</v>
      </c>
      <c r="B369">
        <v>2.8700000000000003E-2</v>
      </c>
      <c r="C369">
        <v>-5.9999999999999995E-4</v>
      </c>
      <c r="D369">
        <v>1.15E-2</v>
      </c>
      <c r="E369">
        <v>-1.66E-2</v>
      </c>
      <c r="F369">
        <v>1.43E-2</v>
      </c>
      <c r="G369">
        <v>2.5000000000000001E-3</v>
      </c>
    </row>
    <row r="370" spans="1:7">
      <c r="A370">
        <v>199402</v>
      </c>
      <c r="B370">
        <v>-2.5499999999999998E-2</v>
      </c>
      <c r="C370">
        <v>2.6700000000000002E-2</v>
      </c>
      <c r="D370">
        <v>-1.54E-2</v>
      </c>
      <c r="E370">
        <v>2.1400000000000002E-2</v>
      </c>
      <c r="F370">
        <v>-0.01</v>
      </c>
      <c r="G370">
        <v>2.0999999999999999E-3</v>
      </c>
    </row>
    <row r="371" spans="1:7">
      <c r="A371">
        <v>199403</v>
      </c>
      <c r="B371">
        <v>-4.7800000000000002E-2</v>
      </c>
      <c r="C371">
        <v>-1.0400000000000001E-2</v>
      </c>
      <c r="D371">
        <v>1.6E-2</v>
      </c>
      <c r="E371">
        <v>6.8999999999999999E-3</v>
      </c>
      <c r="F371">
        <v>1.2800000000000001E-2</v>
      </c>
      <c r="G371">
        <v>2.7000000000000001E-3</v>
      </c>
    </row>
    <row r="372" spans="1:7">
      <c r="A372">
        <v>199404</v>
      </c>
      <c r="B372">
        <v>6.8000000000000005E-3</v>
      </c>
      <c r="C372">
        <v>-1.01E-2</v>
      </c>
      <c r="D372">
        <v>1.66E-2</v>
      </c>
      <c r="E372">
        <v>1.0700000000000001E-2</v>
      </c>
      <c r="F372">
        <v>1.11E-2</v>
      </c>
      <c r="G372">
        <v>2.7000000000000001E-3</v>
      </c>
    </row>
    <row r="373" spans="1:7">
      <c r="A373">
        <v>199405</v>
      </c>
      <c r="B373">
        <v>5.7999999999999996E-3</v>
      </c>
      <c r="C373">
        <v>-2.5600000000000001E-2</v>
      </c>
      <c r="D373">
        <v>6.7000000000000002E-3</v>
      </c>
      <c r="E373">
        <v>6.0000000000000001E-3</v>
      </c>
      <c r="F373">
        <v>6.8000000000000005E-3</v>
      </c>
      <c r="G373">
        <v>3.0999999999999999E-3</v>
      </c>
    </row>
    <row r="374" spans="1:7">
      <c r="A374">
        <v>199406</v>
      </c>
      <c r="B374">
        <v>-3.0299999999999997E-2</v>
      </c>
      <c r="C374">
        <v>-5.0000000000000001E-3</v>
      </c>
      <c r="D374">
        <v>1.67E-2</v>
      </c>
      <c r="E374">
        <v>1.21E-2</v>
      </c>
      <c r="F374">
        <v>1.47E-2</v>
      </c>
      <c r="G374">
        <v>3.0999999999999999E-3</v>
      </c>
    </row>
    <row r="375" spans="1:7">
      <c r="A375">
        <v>199407</v>
      </c>
      <c r="B375">
        <v>2.8199999999999999E-2</v>
      </c>
      <c r="C375">
        <v>-1.8500000000000003E-2</v>
      </c>
      <c r="D375">
        <v>5.7999999999999996E-3</v>
      </c>
      <c r="E375">
        <v>-6.5000000000000006E-3</v>
      </c>
      <c r="F375">
        <v>1.4000000000000002E-3</v>
      </c>
      <c r="G375">
        <v>2.8000000000000004E-3</v>
      </c>
    </row>
    <row r="376" spans="1:7">
      <c r="A376">
        <v>199408</v>
      </c>
      <c r="B376">
        <v>4.0099999999999997E-2</v>
      </c>
      <c r="C376">
        <v>1.3700000000000002E-2</v>
      </c>
      <c r="D376">
        <v>-2.5099999999999997E-2</v>
      </c>
      <c r="E376">
        <v>9.4999999999999998E-3</v>
      </c>
      <c r="F376">
        <v>-1.47E-2</v>
      </c>
      <c r="G376">
        <v>3.7000000000000002E-3</v>
      </c>
    </row>
    <row r="377" spans="1:7">
      <c r="A377">
        <v>199409</v>
      </c>
      <c r="B377">
        <v>-2.3100000000000002E-2</v>
      </c>
      <c r="C377">
        <v>2.7999999999999997E-2</v>
      </c>
      <c r="D377">
        <v>-1.89E-2</v>
      </c>
      <c r="E377">
        <v>5.2000000000000006E-3</v>
      </c>
      <c r="F377">
        <v>9.300000000000001E-3</v>
      </c>
      <c r="G377">
        <v>3.7000000000000002E-3</v>
      </c>
    </row>
    <row r="378" spans="1:7">
      <c r="A378">
        <v>199410</v>
      </c>
      <c r="B378">
        <v>1.34E-2</v>
      </c>
      <c r="C378">
        <v>-2.3E-2</v>
      </c>
      <c r="D378">
        <v>-1.6200000000000003E-2</v>
      </c>
      <c r="E378">
        <v>2.3E-3</v>
      </c>
      <c r="F378">
        <v>-6.8000000000000005E-3</v>
      </c>
      <c r="G378">
        <v>3.8E-3</v>
      </c>
    </row>
    <row r="379" spans="1:7">
      <c r="A379">
        <v>199411</v>
      </c>
      <c r="B379">
        <v>-4.0399999999999998E-2</v>
      </c>
      <c r="C379">
        <v>7.000000000000001E-4</v>
      </c>
      <c r="D379">
        <v>-6.9999999999999993E-3</v>
      </c>
      <c r="E379">
        <v>4.1999999999999997E-3</v>
      </c>
      <c r="F379">
        <v>-5.0000000000000001E-3</v>
      </c>
      <c r="G379">
        <v>3.7000000000000002E-3</v>
      </c>
    </row>
    <row r="380" spans="1:7">
      <c r="A380">
        <v>199412</v>
      </c>
      <c r="B380">
        <v>8.6E-3</v>
      </c>
      <c r="C380">
        <v>0</v>
      </c>
      <c r="D380">
        <v>-1.3000000000000002E-3</v>
      </c>
      <c r="E380">
        <v>3.7000000000000002E-3</v>
      </c>
      <c r="F380">
        <v>3.8E-3</v>
      </c>
      <c r="G380">
        <v>4.4000000000000003E-3</v>
      </c>
    </row>
    <row r="381" spans="1:7">
      <c r="A381">
        <v>199501</v>
      </c>
      <c r="B381">
        <v>1.8000000000000002E-2</v>
      </c>
      <c r="C381">
        <v>-3.0600000000000002E-2</v>
      </c>
      <c r="D381">
        <v>2.5700000000000001E-2</v>
      </c>
      <c r="E381">
        <v>1.7000000000000001E-3</v>
      </c>
      <c r="F381">
        <v>-7.4999999999999997E-3</v>
      </c>
      <c r="G381">
        <v>4.1999999999999997E-3</v>
      </c>
    </row>
    <row r="382" spans="1:7">
      <c r="A382">
        <v>199502</v>
      </c>
      <c r="B382">
        <v>3.6299999999999999E-2</v>
      </c>
      <c r="C382">
        <v>-5.4000000000000003E-3</v>
      </c>
      <c r="D382">
        <v>1.0800000000000001E-2</v>
      </c>
      <c r="E382">
        <v>5.8999999999999999E-3</v>
      </c>
      <c r="F382">
        <v>-3.3000000000000004E-3</v>
      </c>
      <c r="G382">
        <v>4.0000000000000001E-3</v>
      </c>
    </row>
    <row r="383" spans="1:7">
      <c r="A383">
        <v>199503</v>
      </c>
      <c r="B383">
        <v>2.1899999999999999E-2</v>
      </c>
      <c r="C383">
        <v>-5.1000000000000004E-3</v>
      </c>
      <c r="D383">
        <v>-2.1499999999999998E-2</v>
      </c>
      <c r="E383">
        <v>-1.7000000000000001E-3</v>
      </c>
      <c r="F383">
        <v>2.2000000000000001E-3</v>
      </c>
      <c r="G383">
        <v>4.5999999999999999E-3</v>
      </c>
    </row>
    <row r="384" spans="1:7">
      <c r="A384">
        <v>199504</v>
      </c>
      <c r="B384">
        <v>2.1100000000000001E-2</v>
      </c>
      <c r="C384">
        <v>-2.2000000000000001E-3</v>
      </c>
      <c r="D384">
        <v>1.7100000000000001E-2</v>
      </c>
      <c r="E384">
        <v>4.0999999999999995E-3</v>
      </c>
      <c r="F384">
        <v>9.0000000000000011E-3</v>
      </c>
      <c r="G384">
        <v>4.4000000000000003E-3</v>
      </c>
    </row>
    <row r="385" spans="1:7">
      <c r="A385">
        <v>199505</v>
      </c>
      <c r="B385">
        <v>2.8999999999999998E-2</v>
      </c>
      <c r="C385">
        <v>-2.1899999999999999E-2</v>
      </c>
      <c r="D385">
        <v>2.29E-2</v>
      </c>
      <c r="E385">
        <v>3.9000000000000003E-3</v>
      </c>
      <c r="F385">
        <v>4.0000000000000002E-4</v>
      </c>
      <c r="G385">
        <v>5.4000000000000003E-3</v>
      </c>
    </row>
    <row r="386" spans="1:7">
      <c r="A386">
        <v>199506</v>
      </c>
      <c r="B386">
        <v>2.7200000000000002E-2</v>
      </c>
      <c r="C386">
        <v>3.0600000000000002E-2</v>
      </c>
      <c r="D386">
        <v>-2.5400000000000002E-2</v>
      </c>
      <c r="E386">
        <v>-3.3000000000000004E-3</v>
      </c>
      <c r="F386">
        <v>-2.4400000000000002E-2</v>
      </c>
      <c r="G386">
        <v>4.7000000000000002E-3</v>
      </c>
    </row>
    <row r="387" spans="1:7">
      <c r="A387">
        <v>199507</v>
      </c>
      <c r="B387">
        <v>3.7200000000000004E-2</v>
      </c>
      <c r="C387">
        <v>2.0899999999999998E-2</v>
      </c>
      <c r="D387">
        <v>-1.6200000000000003E-2</v>
      </c>
      <c r="E387">
        <v>3.0000000000000001E-3</v>
      </c>
      <c r="F387">
        <v>-1.6500000000000001E-2</v>
      </c>
      <c r="G387">
        <v>4.5000000000000005E-3</v>
      </c>
    </row>
    <row r="388" spans="1:7">
      <c r="A388">
        <v>199508</v>
      </c>
      <c r="B388">
        <v>5.5000000000000005E-3</v>
      </c>
      <c r="C388">
        <v>1.7500000000000002E-2</v>
      </c>
      <c r="D388">
        <v>2.7900000000000001E-2</v>
      </c>
      <c r="E388">
        <v>-1.24E-2</v>
      </c>
      <c r="F388">
        <v>1.6200000000000003E-2</v>
      </c>
      <c r="G388">
        <v>4.7000000000000002E-3</v>
      </c>
    </row>
    <row r="389" spans="1:7">
      <c r="A389">
        <v>199509</v>
      </c>
      <c r="B389">
        <v>3.3500000000000002E-2</v>
      </c>
      <c r="C389">
        <v>-1.8800000000000001E-2</v>
      </c>
      <c r="D389">
        <v>-4.0000000000000002E-4</v>
      </c>
      <c r="E389">
        <v>1.03E-2</v>
      </c>
      <c r="F389">
        <v>3.5999999999999999E-3</v>
      </c>
      <c r="G389">
        <v>4.3E-3</v>
      </c>
    </row>
    <row r="390" spans="1:7">
      <c r="A390">
        <v>199510</v>
      </c>
      <c r="B390">
        <v>-1.52E-2</v>
      </c>
      <c r="C390">
        <v>-4.0399999999999998E-2</v>
      </c>
      <c r="D390">
        <v>-5.0000000000000001E-3</v>
      </c>
      <c r="E390">
        <v>1.9099999999999999E-2</v>
      </c>
      <c r="F390">
        <v>-5.0000000000000001E-4</v>
      </c>
      <c r="G390">
        <v>4.7000000000000002E-3</v>
      </c>
    </row>
    <row r="391" spans="1:7">
      <c r="A391">
        <v>199511</v>
      </c>
      <c r="B391">
        <v>3.9600000000000003E-2</v>
      </c>
      <c r="C391">
        <v>-1.0700000000000001E-2</v>
      </c>
      <c r="D391">
        <v>5.1000000000000004E-3</v>
      </c>
      <c r="E391">
        <v>-6.1999999999999998E-3</v>
      </c>
      <c r="F391">
        <v>1.1200000000000002E-2</v>
      </c>
      <c r="G391">
        <v>4.1999999999999997E-3</v>
      </c>
    </row>
    <row r="392" spans="1:7">
      <c r="A392">
        <v>199512</v>
      </c>
      <c r="B392">
        <v>1.03E-2</v>
      </c>
      <c r="C392">
        <v>7.1999999999999998E-3</v>
      </c>
      <c r="D392">
        <v>2.2000000000000001E-3</v>
      </c>
      <c r="E392">
        <v>-1.3700000000000002E-2</v>
      </c>
      <c r="F392">
        <v>3.1000000000000003E-2</v>
      </c>
      <c r="G392">
        <v>4.8999999999999998E-3</v>
      </c>
    </row>
    <row r="393" spans="1:7">
      <c r="A393">
        <v>199601</v>
      </c>
      <c r="B393">
        <v>2.2599999999999999E-2</v>
      </c>
      <c r="C393">
        <v>-2.5600000000000001E-2</v>
      </c>
      <c r="D393">
        <v>3.8E-3</v>
      </c>
      <c r="E393">
        <v>1.8E-3</v>
      </c>
      <c r="F393">
        <v>2.3100000000000002E-2</v>
      </c>
      <c r="G393">
        <v>4.3E-3</v>
      </c>
    </row>
    <row r="394" spans="1:7">
      <c r="A394">
        <v>199602</v>
      </c>
      <c r="B394">
        <v>1.3300000000000001E-2</v>
      </c>
      <c r="C394">
        <v>1.77E-2</v>
      </c>
      <c r="D394">
        <v>-1.0800000000000001E-2</v>
      </c>
      <c r="E394">
        <v>2.3999999999999998E-3</v>
      </c>
      <c r="F394">
        <v>-1.9E-2</v>
      </c>
      <c r="G394">
        <v>3.9000000000000003E-3</v>
      </c>
    </row>
    <row r="395" spans="1:7">
      <c r="A395">
        <v>199603</v>
      </c>
      <c r="B395">
        <v>7.3000000000000001E-3</v>
      </c>
      <c r="C395">
        <v>1.61E-2</v>
      </c>
      <c r="D395">
        <v>3.4999999999999996E-3</v>
      </c>
      <c r="E395">
        <v>1.4199999999999999E-2</v>
      </c>
      <c r="F395">
        <v>-9.4999999999999998E-3</v>
      </c>
      <c r="G395">
        <v>3.9000000000000003E-3</v>
      </c>
    </row>
    <row r="396" spans="1:7">
      <c r="A396">
        <v>199604</v>
      </c>
      <c r="B396">
        <v>2.06E-2</v>
      </c>
      <c r="C396">
        <v>4.7100000000000003E-2</v>
      </c>
      <c r="D396">
        <v>-4.02E-2</v>
      </c>
      <c r="E396">
        <v>-1.4000000000000002E-3</v>
      </c>
      <c r="F396">
        <v>-2.1100000000000001E-2</v>
      </c>
      <c r="G396">
        <v>4.5999999999999999E-3</v>
      </c>
    </row>
    <row r="397" spans="1:7">
      <c r="A397">
        <v>199605</v>
      </c>
      <c r="B397">
        <v>2.3599999999999999E-2</v>
      </c>
      <c r="C397">
        <v>3.2100000000000004E-2</v>
      </c>
      <c r="D397">
        <v>-8.3000000000000001E-3</v>
      </c>
      <c r="E397">
        <v>1.1999999999999999E-3</v>
      </c>
      <c r="F397">
        <v>-3.0000000000000001E-3</v>
      </c>
      <c r="G397">
        <v>4.1999999999999997E-3</v>
      </c>
    </row>
    <row r="398" spans="1:7">
      <c r="A398">
        <v>199606</v>
      </c>
      <c r="B398">
        <v>-1.1399999999999999E-2</v>
      </c>
      <c r="C398">
        <v>-3.6499999999999998E-2</v>
      </c>
      <c r="D398">
        <v>2.35E-2</v>
      </c>
      <c r="E398">
        <v>3.5099999999999999E-2</v>
      </c>
      <c r="F398">
        <v>1.2200000000000001E-2</v>
      </c>
      <c r="G398">
        <v>4.0000000000000001E-3</v>
      </c>
    </row>
    <row r="399" spans="1:7">
      <c r="A399">
        <v>199607</v>
      </c>
      <c r="B399">
        <v>-5.9699999999999996E-2</v>
      </c>
      <c r="C399">
        <v>-3.8100000000000002E-2</v>
      </c>
      <c r="D399">
        <v>5.1400000000000001E-2</v>
      </c>
      <c r="E399">
        <v>2.9500000000000002E-2</v>
      </c>
      <c r="F399">
        <v>2.6000000000000002E-2</v>
      </c>
      <c r="G399">
        <v>4.5000000000000005E-3</v>
      </c>
    </row>
    <row r="400" spans="1:7">
      <c r="A400">
        <v>199608</v>
      </c>
      <c r="B400">
        <v>2.7700000000000002E-2</v>
      </c>
      <c r="C400">
        <v>2.5700000000000001E-2</v>
      </c>
      <c r="D400">
        <v>-7.4000000000000003E-3</v>
      </c>
      <c r="E400">
        <v>-3.7000000000000002E-3</v>
      </c>
      <c r="F400">
        <v>-2.4199999999999999E-2</v>
      </c>
      <c r="G400">
        <v>4.0999999999999995E-3</v>
      </c>
    </row>
    <row r="401" spans="1:7">
      <c r="A401">
        <v>199609</v>
      </c>
      <c r="B401">
        <v>5.0099999999999999E-2</v>
      </c>
      <c r="C401">
        <v>-1.3899999999999999E-2</v>
      </c>
      <c r="D401">
        <v>-2.7200000000000002E-2</v>
      </c>
      <c r="E401">
        <v>1.2700000000000001E-2</v>
      </c>
      <c r="F401">
        <v>-2.2200000000000001E-2</v>
      </c>
      <c r="G401">
        <v>4.4000000000000003E-3</v>
      </c>
    </row>
    <row r="402" spans="1:7">
      <c r="A402">
        <v>199610</v>
      </c>
      <c r="B402">
        <v>8.6E-3</v>
      </c>
      <c r="C402">
        <v>-3.7700000000000004E-2</v>
      </c>
      <c r="D402">
        <v>4.9400000000000006E-2</v>
      </c>
      <c r="E402">
        <v>1.3999999999999999E-2</v>
      </c>
      <c r="F402">
        <v>3.2500000000000001E-2</v>
      </c>
      <c r="G402">
        <v>4.1999999999999997E-3</v>
      </c>
    </row>
    <row r="403" spans="1:7">
      <c r="A403">
        <v>199611</v>
      </c>
      <c r="B403">
        <v>6.25E-2</v>
      </c>
      <c r="C403">
        <v>-3.7999999999999999E-2</v>
      </c>
      <c r="D403">
        <v>1.3899999999999999E-2</v>
      </c>
      <c r="E403">
        <v>2.12E-2</v>
      </c>
      <c r="F403">
        <v>-7.9000000000000008E-3</v>
      </c>
      <c r="G403">
        <v>4.0999999999999995E-3</v>
      </c>
    </row>
    <row r="404" spans="1:7">
      <c r="A404">
        <v>199612</v>
      </c>
      <c r="B404">
        <v>-1.7000000000000001E-2</v>
      </c>
      <c r="C404">
        <v>3.2500000000000001E-2</v>
      </c>
      <c r="D404">
        <v>1.3100000000000001E-2</v>
      </c>
      <c r="E404">
        <v>3.7000000000000002E-3</v>
      </c>
      <c r="F404">
        <v>1.49E-2</v>
      </c>
      <c r="G404">
        <v>4.5999999999999999E-3</v>
      </c>
    </row>
    <row r="405" spans="1:7">
      <c r="A405">
        <v>199701</v>
      </c>
      <c r="B405">
        <v>4.99E-2</v>
      </c>
      <c r="C405">
        <v>-1.8200000000000001E-2</v>
      </c>
      <c r="D405">
        <v>-1.4199999999999999E-2</v>
      </c>
      <c r="E405">
        <v>1.1899999999999999E-2</v>
      </c>
      <c r="F405">
        <v>-2.0000000000000001E-4</v>
      </c>
      <c r="G405">
        <v>4.5000000000000005E-3</v>
      </c>
    </row>
    <row r="406" spans="1:7">
      <c r="A406">
        <v>199702</v>
      </c>
      <c r="B406">
        <v>-4.8999999999999998E-3</v>
      </c>
      <c r="C406">
        <v>-2.5899999999999999E-2</v>
      </c>
      <c r="D406">
        <v>5.67E-2</v>
      </c>
      <c r="E406">
        <v>6.7000000000000002E-3</v>
      </c>
      <c r="F406">
        <v>3.4700000000000002E-2</v>
      </c>
      <c r="G406">
        <v>3.9000000000000003E-3</v>
      </c>
    </row>
    <row r="407" spans="1:7">
      <c r="A407">
        <v>199703</v>
      </c>
      <c r="B407">
        <v>-5.0300000000000004E-2</v>
      </c>
      <c r="C407">
        <v>-4.3E-3</v>
      </c>
      <c r="D407">
        <v>3.39E-2</v>
      </c>
      <c r="E407">
        <v>5.0000000000000001E-3</v>
      </c>
      <c r="F407">
        <v>1.66E-2</v>
      </c>
      <c r="G407">
        <v>4.3E-3</v>
      </c>
    </row>
    <row r="408" spans="1:7">
      <c r="A408">
        <v>199704</v>
      </c>
      <c r="B408">
        <v>4.0399999999999998E-2</v>
      </c>
      <c r="C408">
        <v>-5.7000000000000002E-2</v>
      </c>
      <c r="D408">
        <v>7.000000000000001E-4</v>
      </c>
      <c r="E408">
        <v>3.2599999999999997E-2</v>
      </c>
      <c r="F408">
        <v>-7.1999999999999998E-3</v>
      </c>
      <c r="G408">
        <v>4.3E-3</v>
      </c>
    </row>
    <row r="409" spans="1:7">
      <c r="A409">
        <v>199705</v>
      </c>
      <c r="B409">
        <v>6.7400000000000002E-2</v>
      </c>
      <c r="C409">
        <v>4.7500000000000001E-2</v>
      </c>
      <c r="D409">
        <v>-4.1299999999999996E-2</v>
      </c>
      <c r="E409">
        <v>-1.0200000000000001E-2</v>
      </c>
      <c r="F409">
        <v>-2.9600000000000001E-2</v>
      </c>
      <c r="G409">
        <v>4.8999999999999998E-3</v>
      </c>
    </row>
    <row r="410" spans="1:7">
      <c r="A410">
        <v>199706</v>
      </c>
      <c r="B410">
        <v>4.0999999999999995E-2</v>
      </c>
      <c r="C410">
        <v>1.1899999999999999E-2</v>
      </c>
      <c r="D410">
        <v>1.5800000000000002E-2</v>
      </c>
      <c r="E410">
        <v>5.6000000000000008E-3</v>
      </c>
      <c r="F410">
        <v>6.6000000000000008E-3</v>
      </c>
      <c r="G410">
        <v>3.7000000000000002E-3</v>
      </c>
    </row>
    <row r="411" spans="1:7">
      <c r="A411">
        <v>199707</v>
      </c>
      <c r="B411">
        <v>7.3300000000000004E-2</v>
      </c>
      <c r="C411">
        <v>-2.76E-2</v>
      </c>
      <c r="D411">
        <v>2.6000000000000003E-3</v>
      </c>
      <c r="E411">
        <v>7.000000000000001E-4</v>
      </c>
      <c r="F411">
        <v>-2.58E-2</v>
      </c>
      <c r="G411">
        <v>4.3E-3</v>
      </c>
    </row>
    <row r="412" spans="1:7">
      <c r="A412">
        <v>199708</v>
      </c>
      <c r="B412">
        <v>-4.1500000000000002E-2</v>
      </c>
      <c r="C412">
        <v>7.6100000000000001E-2</v>
      </c>
      <c r="D412">
        <v>1.18E-2</v>
      </c>
      <c r="E412">
        <v>-1.11E-2</v>
      </c>
      <c r="F412">
        <v>-4.0000000000000002E-4</v>
      </c>
      <c r="G412">
        <v>4.0999999999999995E-3</v>
      </c>
    </row>
    <row r="413" spans="1:7">
      <c r="A413">
        <v>199709</v>
      </c>
      <c r="B413">
        <v>5.3499999999999999E-2</v>
      </c>
      <c r="C413">
        <v>2.4900000000000002E-2</v>
      </c>
      <c r="D413">
        <v>3.7000000000000002E-3</v>
      </c>
      <c r="E413">
        <v>-1.6299999999999999E-2</v>
      </c>
      <c r="F413">
        <v>-9.1000000000000004E-3</v>
      </c>
      <c r="G413">
        <v>4.4000000000000003E-3</v>
      </c>
    </row>
    <row r="414" spans="1:7">
      <c r="A414">
        <v>199710</v>
      </c>
      <c r="B414">
        <v>-3.7999999999999999E-2</v>
      </c>
      <c r="C414">
        <v>-5.2000000000000006E-3</v>
      </c>
      <c r="D414">
        <v>2.2700000000000001E-2</v>
      </c>
      <c r="E414">
        <v>0.01</v>
      </c>
      <c r="F414">
        <v>1.9400000000000001E-2</v>
      </c>
      <c r="G414">
        <v>4.1999999999999997E-3</v>
      </c>
    </row>
    <row r="415" spans="1:7">
      <c r="A415">
        <v>199711</v>
      </c>
      <c r="B415">
        <v>2.98E-2</v>
      </c>
      <c r="C415">
        <v>-5.1100000000000007E-2</v>
      </c>
      <c r="D415">
        <v>1.2E-2</v>
      </c>
      <c r="E415">
        <v>2.81E-2</v>
      </c>
      <c r="F415">
        <v>1.84E-2</v>
      </c>
      <c r="G415">
        <v>3.9000000000000003E-3</v>
      </c>
    </row>
    <row r="416" spans="1:7">
      <c r="A416">
        <v>199712</v>
      </c>
      <c r="B416">
        <v>1.3200000000000002E-2</v>
      </c>
      <c r="C416">
        <v>-2.0299999999999999E-2</v>
      </c>
      <c r="D416">
        <v>3.8399999999999997E-2</v>
      </c>
      <c r="E416">
        <v>7.4000000000000003E-3</v>
      </c>
      <c r="F416">
        <v>1.9199999999999998E-2</v>
      </c>
      <c r="G416">
        <v>4.7999999999999996E-3</v>
      </c>
    </row>
    <row r="417" spans="1:7">
      <c r="A417">
        <v>199801</v>
      </c>
      <c r="B417">
        <v>1.5E-3</v>
      </c>
      <c r="C417">
        <v>-1.3600000000000001E-2</v>
      </c>
      <c r="D417">
        <v>-1.6299999999999999E-2</v>
      </c>
      <c r="E417">
        <v>8.6999999999999994E-3</v>
      </c>
      <c r="F417">
        <v>-7.3000000000000001E-3</v>
      </c>
      <c r="G417">
        <v>4.3E-3</v>
      </c>
    </row>
    <row r="418" spans="1:7">
      <c r="A418">
        <v>199802</v>
      </c>
      <c r="B418">
        <v>7.0400000000000004E-2</v>
      </c>
      <c r="C418">
        <v>2E-3</v>
      </c>
      <c r="D418">
        <v>-8.5000000000000006E-3</v>
      </c>
      <c r="E418">
        <v>-3.0999999999999999E-3</v>
      </c>
      <c r="F418">
        <v>-2.5400000000000002E-2</v>
      </c>
      <c r="G418">
        <v>3.9000000000000003E-3</v>
      </c>
    </row>
    <row r="419" spans="1:7">
      <c r="A419">
        <v>199803</v>
      </c>
      <c r="B419">
        <v>4.7599999999999996E-2</v>
      </c>
      <c r="C419">
        <v>-6.5000000000000006E-3</v>
      </c>
      <c r="D419">
        <v>1.3899999999999999E-2</v>
      </c>
      <c r="E419">
        <v>-2.6000000000000003E-3</v>
      </c>
      <c r="F419">
        <v>-3.7000000000000002E-3</v>
      </c>
      <c r="G419">
        <v>3.9000000000000003E-3</v>
      </c>
    </row>
    <row r="420" spans="1:7">
      <c r="A420">
        <v>199804</v>
      </c>
      <c r="B420">
        <v>7.3000000000000001E-3</v>
      </c>
      <c r="C420">
        <v>0</v>
      </c>
      <c r="D420">
        <v>9.4000000000000004E-3</v>
      </c>
      <c r="E420">
        <v>-1.6899999999999998E-2</v>
      </c>
      <c r="F420">
        <v>-3.5999999999999999E-3</v>
      </c>
      <c r="G420">
        <v>4.3E-3</v>
      </c>
    </row>
    <row r="421" spans="1:7">
      <c r="A421">
        <v>199805</v>
      </c>
      <c r="B421">
        <v>-3.0699999999999998E-2</v>
      </c>
      <c r="C421">
        <v>-2.9500000000000002E-2</v>
      </c>
      <c r="D421">
        <v>3.44E-2</v>
      </c>
      <c r="E421">
        <v>1.1000000000000001E-2</v>
      </c>
      <c r="F421">
        <v>2.6099999999999998E-2</v>
      </c>
      <c r="G421">
        <v>4.0000000000000001E-3</v>
      </c>
    </row>
    <row r="422" spans="1:7">
      <c r="A422">
        <v>199806</v>
      </c>
      <c r="B422">
        <v>3.1800000000000002E-2</v>
      </c>
      <c r="C422">
        <v>-3.6600000000000001E-2</v>
      </c>
      <c r="D422">
        <v>-1.9599999999999999E-2</v>
      </c>
      <c r="E422">
        <v>-2.6000000000000003E-3</v>
      </c>
      <c r="F422">
        <v>-2.9700000000000004E-2</v>
      </c>
      <c r="G422">
        <v>4.0999999999999995E-3</v>
      </c>
    </row>
    <row r="423" spans="1:7">
      <c r="A423">
        <v>199807</v>
      </c>
      <c r="B423">
        <v>-2.46E-2</v>
      </c>
      <c r="C423">
        <v>-5.2699999999999997E-2</v>
      </c>
      <c r="D423">
        <v>-1.78E-2</v>
      </c>
      <c r="E423">
        <v>1.7399999999999999E-2</v>
      </c>
      <c r="F423">
        <v>4.5000000000000005E-3</v>
      </c>
      <c r="G423">
        <v>4.0000000000000001E-3</v>
      </c>
    </row>
    <row r="424" spans="1:7">
      <c r="A424">
        <v>199808</v>
      </c>
      <c r="B424">
        <v>-0.1608</v>
      </c>
      <c r="C424">
        <v>-5.1700000000000003E-2</v>
      </c>
      <c r="D424">
        <v>3.5299999999999998E-2</v>
      </c>
      <c r="E424">
        <v>3.3700000000000001E-2</v>
      </c>
      <c r="F424">
        <v>5.91E-2</v>
      </c>
      <c r="G424">
        <v>4.3E-3</v>
      </c>
    </row>
    <row r="425" spans="1:7">
      <c r="A425">
        <v>199809</v>
      </c>
      <c r="B425">
        <v>6.1500000000000006E-2</v>
      </c>
      <c r="C425">
        <v>-7.8000000000000005E-3</v>
      </c>
      <c r="D425">
        <v>-3.4200000000000001E-2</v>
      </c>
      <c r="E425">
        <v>-1.8800000000000001E-2</v>
      </c>
      <c r="F425">
        <v>-2.9900000000000003E-2</v>
      </c>
      <c r="G425">
        <v>4.5999999999999999E-3</v>
      </c>
    </row>
    <row r="426" spans="1:7">
      <c r="A426">
        <v>199810</v>
      </c>
      <c r="B426">
        <v>7.1300000000000002E-2</v>
      </c>
      <c r="C426">
        <v>-3.4300000000000004E-2</v>
      </c>
      <c r="D426">
        <v>-2.23E-2</v>
      </c>
      <c r="E426">
        <v>9.300000000000001E-3</v>
      </c>
      <c r="F426">
        <v>3.0999999999999999E-3</v>
      </c>
      <c r="G426">
        <v>3.2000000000000002E-3</v>
      </c>
    </row>
    <row r="427" spans="1:7">
      <c r="A427">
        <v>199811</v>
      </c>
      <c r="B427">
        <v>6.0999999999999999E-2</v>
      </c>
      <c r="C427">
        <v>7.4999999999999997E-3</v>
      </c>
      <c r="D427">
        <v>-3.2500000000000001E-2</v>
      </c>
      <c r="E427">
        <v>-8.6E-3</v>
      </c>
      <c r="F427">
        <v>-1.18E-2</v>
      </c>
      <c r="G427">
        <v>3.0999999999999999E-3</v>
      </c>
    </row>
    <row r="428" spans="1:7">
      <c r="A428">
        <v>199812</v>
      </c>
      <c r="B428">
        <v>6.1600000000000002E-2</v>
      </c>
      <c r="C428">
        <v>-1.5600000000000001E-2</v>
      </c>
      <c r="D428">
        <v>-4.1900000000000007E-2</v>
      </c>
      <c r="E428">
        <v>-7.6E-3</v>
      </c>
      <c r="F428">
        <v>-3.39E-2</v>
      </c>
      <c r="G428">
        <v>3.8E-3</v>
      </c>
    </row>
    <row r="429" spans="1:7">
      <c r="A429">
        <v>199901</v>
      </c>
      <c r="B429">
        <v>3.5000000000000003E-2</v>
      </c>
      <c r="C429">
        <v>-7.4999999999999997E-3</v>
      </c>
      <c r="D429">
        <v>-4.5999999999999999E-2</v>
      </c>
      <c r="E429">
        <v>-2.7700000000000002E-2</v>
      </c>
      <c r="F429">
        <v>-6.8000000000000005E-2</v>
      </c>
      <c r="G429">
        <v>3.4999999999999996E-3</v>
      </c>
    </row>
    <row r="430" spans="1:7">
      <c r="A430">
        <v>199902</v>
      </c>
      <c r="B430">
        <v>-4.0800000000000003E-2</v>
      </c>
      <c r="C430">
        <v>-5.2199999999999996E-2</v>
      </c>
      <c r="D430">
        <v>1.9199999999999998E-2</v>
      </c>
      <c r="E430">
        <v>-1.23E-2</v>
      </c>
      <c r="F430">
        <v>4.0999999999999995E-2</v>
      </c>
      <c r="G430">
        <v>3.4999999999999996E-3</v>
      </c>
    </row>
    <row r="431" spans="1:7">
      <c r="A431">
        <v>199903</v>
      </c>
      <c r="B431">
        <v>3.4500000000000003E-2</v>
      </c>
      <c r="C431">
        <v>-4.2300000000000004E-2</v>
      </c>
      <c r="D431">
        <v>-2.7400000000000004E-2</v>
      </c>
      <c r="E431">
        <v>-4.0700000000000007E-2</v>
      </c>
      <c r="F431">
        <v>-1.4199999999999999E-2</v>
      </c>
      <c r="G431">
        <v>4.3E-3</v>
      </c>
    </row>
    <row r="432" spans="1:7">
      <c r="A432">
        <v>199904</v>
      </c>
      <c r="B432">
        <v>4.3299999999999998E-2</v>
      </c>
      <c r="C432">
        <v>4.5199999999999997E-2</v>
      </c>
      <c r="D432">
        <v>2.46E-2</v>
      </c>
      <c r="E432">
        <v>-2.53E-2</v>
      </c>
      <c r="F432">
        <v>8.8999999999999999E-3</v>
      </c>
      <c r="G432">
        <v>3.7000000000000002E-3</v>
      </c>
    </row>
    <row r="433" spans="1:7">
      <c r="A433">
        <v>199905</v>
      </c>
      <c r="B433">
        <v>-2.46E-2</v>
      </c>
      <c r="C433">
        <v>3.7100000000000001E-2</v>
      </c>
      <c r="D433">
        <v>2.35E-2</v>
      </c>
      <c r="E433">
        <v>9.300000000000001E-3</v>
      </c>
      <c r="F433">
        <v>3.3399999999999999E-2</v>
      </c>
      <c r="G433">
        <v>3.4000000000000002E-3</v>
      </c>
    </row>
    <row r="434" spans="1:7">
      <c r="A434">
        <v>199906</v>
      </c>
      <c r="B434">
        <v>4.7699999999999999E-2</v>
      </c>
      <c r="C434">
        <v>2.29E-2</v>
      </c>
      <c r="D434">
        <v>-3.1899999999999998E-2</v>
      </c>
      <c r="E434">
        <v>1.1299999999999999E-2</v>
      </c>
      <c r="F434">
        <v>-3.2100000000000004E-2</v>
      </c>
      <c r="G434">
        <v>4.0000000000000001E-3</v>
      </c>
    </row>
    <row r="435" spans="1:7">
      <c r="A435">
        <v>199907</v>
      </c>
      <c r="B435">
        <v>-3.49E-2</v>
      </c>
      <c r="C435">
        <v>2.5700000000000001E-2</v>
      </c>
      <c r="D435">
        <v>-4.4000000000000003E-3</v>
      </c>
      <c r="E435">
        <v>3.5999999999999999E-3</v>
      </c>
      <c r="F435">
        <v>3.2199999999999999E-2</v>
      </c>
      <c r="G435">
        <v>3.8E-3</v>
      </c>
    </row>
    <row r="436" spans="1:7">
      <c r="A436">
        <v>199908</v>
      </c>
      <c r="B436">
        <v>-1.38E-2</v>
      </c>
      <c r="C436">
        <v>-1.7299999999999999E-2</v>
      </c>
      <c r="D436">
        <v>-1.8700000000000001E-2</v>
      </c>
      <c r="E436">
        <v>-2.3999999999999998E-3</v>
      </c>
      <c r="F436">
        <v>6.4000000000000003E-3</v>
      </c>
      <c r="G436">
        <v>3.9000000000000003E-3</v>
      </c>
    </row>
    <row r="437" spans="1:7">
      <c r="A437">
        <v>199909</v>
      </c>
      <c r="B437">
        <v>-2.7900000000000001E-2</v>
      </c>
      <c r="C437">
        <v>2.5899999999999999E-2</v>
      </c>
      <c r="D437">
        <v>-3.49E-2</v>
      </c>
      <c r="E437">
        <v>-7.4999999999999997E-3</v>
      </c>
      <c r="F437">
        <v>-1.23E-2</v>
      </c>
      <c r="G437">
        <v>3.9000000000000003E-3</v>
      </c>
    </row>
    <row r="438" spans="1:7">
      <c r="A438">
        <v>199910</v>
      </c>
      <c r="B438">
        <v>6.1200000000000004E-2</v>
      </c>
      <c r="C438">
        <v>-6.9100000000000009E-2</v>
      </c>
      <c r="D438">
        <v>-3.3700000000000001E-2</v>
      </c>
      <c r="E438">
        <v>-1.7399999999999999E-2</v>
      </c>
      <c r="F438">
        <v>-1.1899999999999999E-2</v>
      </c>
      <c r="G438">
        <v>3.9000000000000003E-3</v>
      </c>
    </row>
    <row r="439" spans="1:7">
      <c r="A439">
        <v>199911</v>
      </c>
      <c r="B439">
        <v>3.3700000000000001E-2</v>
      </c>
      <c r="C439">
        <v>5.7999999999999996E-2</v>
      </c>
      <c r="D439">
        <v>-6.1200000000000004E-2</v>
      </c>
      <c r="E439">
        <v>-4.2800000000000005E-2</v>
      </c>
      <c r="F439">
        <v>-1.7399999999999999E-2</v>
      </c>
      <c r="G439">
        <v>3.5999999999999999E-3</v>
      </c>
    </row>
    <row r="440" spans="1:7">
      <c r="A440">
        <v>199912</v>
      </c>
      <c r="B440">
        <v>7.7200000000000005E-2</v>
      </c>
      <c r="C440">
        <v>5.3899999999999997E-2</v>
      </c>
      <c r="D440">
        <v>-8.3299999999999999E-2</v>
      </c>
      <c r="E440">
        <v>-7.5999999999999998E-2</v>
      </c>
      <c r="F440">
        <v>-5.6300000000000003E-2</v>
      </c>
      <c r="G440">
        <v>4.4000000000000003E-3</v>
      </c>
    </row>
    <row r="441" spans="1:7">
      <c r="A441">
        <v>200001</v>
      </c>
      <c r="B441">
        <v>-4.7400000000000005E-2</v>
      </c>
      <c r="C441">
        <v>4.4200000000000003E-2</v>
      </c>
      <c r="D441">
        <v>-1.8800000000000001E-2</v>
      </c>
      <c r="E441">
        <v>-6.2899999999999998E-2</v>
      </c>
      <c r="F441">
        <v>4.7199999999999999E-2</v>
      </c>
      <c r="G441">
        <v>4.0999999999999995E-3</v>
      </c>
    </row>
    <row r="442" spans="1:7">
      <c r="A442">
        <v>200002</v>
      </c>
      <c r="B442">
        <v>2.4500000000000001E-2</v>
      </c>
      <c r="C442">
        <v>0.18280000000000002</v>
      </c>
      <c r="D442">
        <v>-9.5899999999999999E-2</v>
      </c>
      <c r="E442">
        <v>-0.1865</v>
      </c>
      <c r="F442">
        <v>-4.7999999999999996E-3</v>
      </c>
      <c r="G442">
        <v>4.3E-3</v>
      </c>
    </row>
    <row r="443" spans="1:7">
      <c r="A443">
        <v>200003</v>
      </c>
      <c r="B443">
        <v>5.2000000000000005E-2</v>
      </c>
      <c r="C443">
        <v>-0.1532</v>
      </c>
      <c r="D443">
        <v>8.1300000000000011E-2</v>
      </c>
      <c r="E443">
        <v>0.11789999999999999</v>
      </c>
      <c r="F443">
        <v>-1.5900000000000001E-2</v>
      </c>
      <c r="G443">
        <v>4.7000000000000002E-3</v>
      </c>
    </row>
    <row r="444" spans="1:7">
      <c r="A444">
        <v>200004</v>
      </c>
      <c r="B444">
        <v>-6.4000000000000001E-2</v>
      </c>
      <c r="C444">
        <v>-5.0099999999999999E-2</v>
      </c>
      <c r="D444">
        <v>7.2599999999999998E-2</v>
      </c>
      <c r="E444">
        <v>7.6600000000000001E-2</v>
      </c>
      <c r="F444">
        <v>5.6500000000000002E-2</v>
      </c>
      <c r="G444">
        <v>4.5999999999999999E-3</v>
      </c>
    </row>
    <row r="445" spans="1:7">
      <c r="A445">
        <v>200005</v>
      </c>
      <c r="B445">
        <v>-4.4200000000000003E-2</v>
      </c>
      <c r="C445">
        <v>-3.8100000000000002E-2</v>
      </c>
      <c r="D445">
        <v>4.7500000000000001E-2</v>
      </c>
      <c r="E445">
        <v>4.1299999999999996E-2</v>
      </c>
      <c r="F445">
        <v>1.3700000000000002E-2</v>
      </c>
      <c r="G445">
        <v>5.0000000000000001E-3</v>
      </c>
    </row>
    <row r="446" spans="1:7">
      <c r="A446">
        <v>200006</v>
      </c>
      <c r="B446">
        <v>4.6399999999999997E-2</v>
      </c>
      <c r="C446">
        <v>9.9199999999999997E-2</v>
      </c>
      <c r="D446">
        <v>-8.4199999999999997E-2</v>
      </c>
      <c r="E446">
        <v>-8.3100000000000007E-2</v>
      </c>
      <c r="F446">
        <v>-2.9500000000000002E-2</v>
      </c>
      <c r="G446">
        <v>4.0000000000000001E-3</v>
      </c>
    </row>
    <row r="447" spans="1:7">
      <c r="A447">
        <v>200007</v>
      </c>
      <c r="B447">
        <v>-2.5099999999999997E-2</v>
      </c>
      <c r="C447">
        <v>-1.03E-2</v>
      </c>
      <c r="D447">
        <v>8.3100000000000007E-2</v>
      </c>
      <c r="E447">
        <v>5.8300000000000005E-2</v>
      </c>
      <c r="F447">
        <v>2.9399999999999999E-2</v>
      </c>
      <c r="G447">
        <v>4.7999999999999996E-3</v>
      </c>
    </row>
    <row r="448" spans="1:7">
      <c r="A448">
        <v>200008</v>
      </c>
      <c r="B448">
        <v>7.0300000000000001E-2</v>
      </c>
      <c r="C448">
        <v>-1.03E-2</v>
      </c>
      <c r="D448">
        <v>-1.3899999999999999E-2</v>
      </c>
      <c r="E448">
        <v>-3.2199999999999999E-2</v>
      </c>
      <c r="F448">
        <v>1.1000000000000001E-2</v>
      </c>
      <c r="G448">
        <v>5.0000000000000001E-3</v>
      </c>
    </row>
    <row r="449" spans="1:7">
      <c r="A449">
        <v>200009</v>
      </c>
      <c r="B449">
        <v>-5.45E-2</v>
      </c>
      <c r="C449">
        <v>1.9E-3</v>
      </c>
      <c r="D449">
        <v>7.17E-2</v>
      </c>
      <c r="E449">
        <v>2.5600000000000001E-2</v>
      </c>
      <c r="F449">
        <v>5.5300000000000002E-2</v>
      </c>
      <c r="G449">
        <v>5.1000000000000004E-3</v>
      </c>
    </row>
    <row r="450" spans="1:7">
      <c r="A450">
        <v>200010</v>
      </c>
      <c r="B450">
        <v>-2.76E-2</v>
      </c>
      <c r="C450">
        <v>-2.6499999999999999E-2</v>
      </c>
      <c r="D450">
        <v>5.7099999999999998E-2</v>
      </c>
      <c r="E450">
        <v>9.6099999999999991E-2</v>
      </c>
      <c r="F450">
        <v>3.7999999999999999E-2</v>
      </c>
      <c r="G450">
        <v>5.6000000000000008E-3</v>
      </c>
    </row>
    <row r="451" spans="1:7">
      <c r="A451">
        <v>200011</v>
      </c>
      <c r="B451">
        <v>-0.1072</v>
      </c>
      <c r="C451">
        <v>-5.7999999999999996E-3</v>
      </c>
      <c r="D451">
        <v>0.12300000000000001</v>
      </c>
      <c r="E451">
        <v>0.13070000000000001</v>
      </c>
      <c r="F451">
        <v>8.43E-2</v>
      </c>
      <c r="G451">
        <v>5.1000000000000004E-3</v>
      </c>
    </row>
    <row r="452" spans="1:7">
      <c r="A452">
        <v>200012</v>
      </c>
      <c r="B452">
        <v>1.1899999999999999E-2</v>
      </c>
      <c r="C452">
        <v>3.2599999999999997E-2</v>
      </c>
      <c r="D452">
        <v>7.6100000000000001E-2</v>
      </c>
      <c r="E452">
        <v>1.7100000000000001E-2</v>
      </c>
      <c r="F452">
        <v>4.7899999999999998E-2</v>
      </c>
      <c r="G452">
        <v>5.0000000000000001E-3</v>
      </c>
    </row>
    <row r="453" spans="1:7">
      <c r="A453">
        <v>200101</v>
      </c>
      <c r="B453">
        <v>3.1300000000000001E-2</v>
      </c>
      <c r="C453">
        <v>5.4800000000000008E-2</v>
      </c>
      <c r="D453">
        <v>-5.0700000000000002E-2</v>
      </c>
      <c r="E453">
        <v>-4.6900000000000004E-2</v>
      </c>
      <c r="F453">
        <v>-5.0300000000000004E-2</v>
      </c>
      <c r="G453">
        <v>5.4000000000000003E-3</v>
      </c>
    </row>
    <row r="454" spans="1:7">
      <c r="A454">
        <v>200102</v>
      </c>
      <c r="B454">
        <v>-0.10050000000000001</v>
      </c>
      <c r="C454">
        <v>2.8300000000000002E-2</v>
      </c>
      <c r="D454">
        <v>0.12470000000000001</v>
      </c>
      <c r="E454">
        <v>9.0999999999999998E-2</v>
      </c>
      <c r="F454">
        <v>9.0700000000000003E-2</v>
      </c>
      <c r="G454">
        <v>3.8E-3</v>
      </c>
    </row>
    <row r="455" spans="1:7">
      <c r="A455">
        <v>200103</v>
      </c>
      <c r="B455">
        <v>-7.2599999999999998E-2</v>
      </c>
      <c r="C455">
        <v>2.3300000000000001E-2</v>
      </c>
      <c r="D455">
        <v>6.4200000000000007E-2</v>
      </c>
      <c r="E455">
        <v>3.3500000000000002E-2</v>
      </c>
      <c r="F455">
        <v>3.9199999999999999E-2</v>
      </c>
      <c r="G455">
        <v>4.1999999999999997E-3</v>
      </c>
    </row>
    <row r="456" spans="1:7">
      <c r="A456">
        <v>200104</v>
      </c>
      <c r="B456">
        <v>7.9400000000000012E-2</v>
      </c>
      <c r="C456">
        <v>-8.6E-3</v>
      </c>
      <c r="D456">
        <v>-4.6699999999999998E-2</v>
      </c>
      <c r="E456">
        <v>-3.0600000000000002E-2</v>
      </c>
      <c r="F456">
        <v>-3.2000000000000001E-2</v>
      </c>
      <c r="G456">
        <v>3.9000000000000003E-3</v>
      </c>
    </row>
    <row r="457" spans="1:7">
      <c r="A457">
        <v>200105</v>
      </c>
      <c r="B457">
        <v>7.1999999999999998E-3</v>
      </c>
      <c r="C457">
        <v>3.6000000000000004E-2</v>
      </c>
      <c r="D457">
        <v>3.3599999999999998E-2</v>
      </c>
      <c r="E457">
        <v>2.5000000000000001E-3</v>
      </c>
      <c r="F457">
        <v>1.9099999999999999E-2</v>
      </c>
      <c r="G457">
        <v>3.2000000000000002E-3</v>
      </c>
    </row>
    <row r="458" spans="1:7">
      <c r="A458">
        <v>200106</v>
      </c>
      <c r="B458">
        <v>-1.9400000000000001E-2</v>
      </c>
      <c r="C458">
        <v>6.5700000000000008E-2</v>
      </c>
      <c r="D458">
        <v>-1.1200000000000002E-2</v>
      </c>
      <c r="E458">
        <v>1.6E-2</v>
      </c>
      <c r="F458">
        <v>-1.5100000000000001E-2</v>
      </c>
      <c r="G458">
        <v>2.8000000000000004E-3</v>
      </c>
    </row>
    <row r="459" spans="1:7">
      <c r="A459">
        <v>200107</v>
      </c>
      <c r="B459">
        <v>-2.1299999999999999E-2</v>
      </c>
      <c r="C459">
        <v>-2.8199999999999999E-2</v>
      </c>
      <c r="D459">
        <v>5.21E-2</v>
      </c>
      <c r="E459">
        <v>7.4200000000000002E-2</v>
      </c>
      <c r="F459">
        <v>3.0600000000000002E-2</v>
      </c>
      <c r="G459">
        <v>3.0000000000000001E-3</v>
      </c>
    </row>
    <row r="460" spans="1:7">
      <c r="A460">
        <v>200108</v>
      </c>
      <c r="B460">
        <v>-6.4600000000000005E-2</v>
      </c>
      <c r="C460">
        <v>2.7200000000000002E-2</v>
      </c>
      <c r="D460">
        <v>2.3100000000000002E-2</v>
      </c>
      <c r="E460">
        <v>4.0500000000000001E-2</v>
      </c>
      <c r="F460">
        <v>6.5599999999999992E-2</v>
      </c>
      <c r="G460">
        <v>3.0999999999999999E-3</v>
      </c>
    </row>
    <row r="461" spans="1:7">
      <c r="A461">
        <v>200109</v>
      </c>
      <c r="B461">
        <v>-9.2499999999999999E-2</v>
      </c>
      <c r="C461">
        <v>-5.7300000000000004E-2</v>
      </c>
      <c r="D461">
        <v>1.4499999999999999E-2</v>
      </c>
      <c r="E461">
        <v>4.99E-2</v>
      </c>
      <c r="F461">
        <v>3.2199999999999999E-2</v>
      </c>
      <c r="G461">
        <v>2.8000000000000004E-3</v>
      </c>
    </row>
    <row r="462" spans="1:7">
      <c r="A462">
        <v>200110</v>
      </c>
      <c r="B462">
        <v>2.46E-2</v>
      </c>
      <c r="C462">
        <v>5.2699999999999997E-2</v>
      </c>
      <c r="D462">
        <v>-7.6499999999999999E-2</v>
      </c>
      <c r="E462">
        <v>-2.98E-2</v>
      </c>
      <c r="F462">
        <v>-4.5599999999999995E-2</v>
      </c>
      <c r="G462">
        <v>2.2000000000000001E-3</v>
      </c>
    </row>
    <row r="463" spans="1:7">
      <c r="A463">
        <v>200111</v>
      </c>
      <c r="B463">
        <v>7.5400000000000009E-2</v>
      </c>
      <c r="C463">
        <v>-3.0000000000000001E-3</v>
      </c>
      <c r="D463">
        <v>2.2100000000000002E-2</v>
      </c>
      <c r="E463">
        <v>-3.73E-2</v>
      </c>
      <c r="F463">
        <v>-1.6399999999999998E-2</v>
      </c>
      <c r="G463">
        <v>1.7000000000000001E-3</v>
      </c>
    </row>
    <row r="464" spans="1:7">
      <c r="A464">
        <v>200112</v>
      </c>
      <c r="B464">
        <v>1.6E-2</v>
      </c>
      <c r="C464">
        <v>5.16E-2</v>
      </c>
      <c r="D464">
        <v>8.3999999999999995E-3</v>
      </c>
      <c r="E464">
        <v>3.4000000000000002E-3</v>
      </c>
      <c r="F464">
        <v>-2.6000000000000003E-3</v>
      </c>
      <c r="G464">
        <v>1.5E-3</v>
      </c>
    </row>
    <row r="465" spans="1:7">
      <c r="A465">
        <v>200201</v>
      </c>
      <c r="B465">
        <v>-1.44E-2</v>
      </c>
      <c r="C465">
        <v>1.26E-2</v>
      </c>
      <c r="D465">
        <v>3.44E-2</v>
      </c>
      <c r="E465">
        <v>4.6900000000000004E-2</v>
      </c>
      <c r="F465">
        <v>2.86E-2</v>
      </c>
      <c r="G465">
        <v>1.4000000000000002E-3</v>
      </c>
    </row>
    <row r="466" spans="1:7">
      <c r="A466">
        <v>200202</v>
      </c>
      <c r="B466">
        <v>-2.29E-2</v>
      </c>
      <c r="C466">
        <v>-3.5999999999999999E-3</v>
      </c>
      <c r="D466">
        <v>2.1600000000000001E-2</v>
      </c>
      <c r="E466">
        <v>8.0700000000000008E-2</v>
      </c>
      <c r="F466">
        <v>5.1100000000000007E-2</v>
      </c>
      <c r="G466">
        <v>1.3000000000000002E-3</v>
      </c>
    </row>
    <row r="467" spans="1:7">
      <c r="A467">
        <v>200203</v>
      </c>
      <c r="B467">
        <v>4.24E-2</v>
      </c>
      <c r="C467">
        <v>4.2500000000000003E-2</v>
      </c>
      <c r="D467">
        <v>1.06E-2</v>
      </c>
      <c r="E467">
        <v>-1.78E-2</v>
      </c>
      <c r="F467">
        <v>5.8999999999999999E-3</v>
      </c>
      <c r="G467">
        <v>1.3000000000000002E-3</v>
      </c>
    </row>
    <row r="468" spans="1:7">
      <c r="A468">
        <v>200204</v>
      </c>
      <c r="B468">
        <v>-5.2000000000000005E-2</v>
      </c>
      <c r="C468">
        <v>6.7199999999999996E-2</v>
      </c>
      <c r="D468">
        <v>3.8800000000000001E-2</v>
      </c>
      <c r="E468">
        <v>4.5599999999999995E-2</v>
      </c>
      <c r="F468">
        <v>5.3700000000000005E-2</v>
      </c>
      <c r="G468">
        <v>1.5E-3</v>
      </c>
    </row>
    <row r="469" spans="1:7">
      <c r="A469">
        <v>200205</v>
      </c>
      <c r="B469">
        <v>-1.38E-2</v>
      </c>
      <c r="C469">
        <v>-3.0099999999999998E-2</v>
      </c>
      <c r="D469">
        <v>1.5300000000000001E-2</v>
      </c>
      <c r="E469">
        <v>2.3599999999999999E-2</v>
      </c>
      <c r="F469">
        <v>2.4400000000000002E-2</v>
      </c>
      <c r="G469">
        <v>1.4000000000000002E-3</v>
      </c>
    </row>
    <row r="470" spans="1:7">
      <c r="A470">
        <v>200206</v>
      </c>
      <c r="B470">
        <v>-7.2099999999999997E-2</v>
      </c>
      <c r="C470">
        <v>3.8900000000000004E-2</v>
      </c>
      <c r="D470">
        <v>-5.0000000000000001E-4</v>
      </c>
      <c r="E470">
        <v>3.9300000000000002E-2</v>
      </c>
      <c r="F470">
        <v>2.52E-2</v>
      </c>
      <c r="G470">
        <v>1.3000000000000002E-3</v>
      </c>
    </row>
    <row r="471" spans="1:7">
      <c r="A471">
        <v>200207</v>
      </c>
      <c r="B471">
        <v>-8.1799999999999998E-2</v>
      </c>
      <c r="C471">
        <v>-6.4299999999999996E-2</v>
      </c>
      <c r="D471">
        <v>-3.85E-2</v>
      </c>
      <c r="E471">
        <v>3.7900000000000003E-2</v>
      </c>
      <c r="F471">
        <v>-9.9000000000000008E-3</v>
      </c>
      <c r="G471">
        <v>1.5E-3</v>
      </c>
    </row>
    <row r="472" spans="1:7">
      <c r="A472">
        <v>200208</v>
      </c>
      <c r="B472">
        <v>5.0000000000000001E-3</v>
      </c>
      <c r="C472">
        <v>-1.3100000000000001E-2</v>
      </c>
      <c r="D472">
        <v>3.2799999999999996E-2</v>
      </c>
      <c r="E472">
        <v>1.3600000000000001E-2</v>
      </c>
      <c r="F472">
        <v>-1.46E-2</v>
      </c>
      <c r="G472">
        <v>1.4000000000000002E-3</v>
      </c>
    </row>
    <row r="473" spans="1:7">
      <c r="A473">
        <v>200209</v>
      </c>
      <c r="B473">
        <v>-0.10349999999999999</v>
      </c>
      <c r="C473">
        <v>3.0800000000000001E-2</v>
      </c>
      <c r="D473">
        <v>1.4499999999999999E-2</v>
      </c>
      <c r="E473">
        <v>3.2799999999999996E-2</v>
      </c>
      <c r="F473">
        <v>-2.2000000000000002E-2</v>
      </c>
      <c r="G473">
        <v>1.4000000000000002E-3</v>
      </c>
    </row>
    <row r="474" spans="1:7">
      <c r="A474">
        <v>200210</v>
      </c>
      <c r="B474">
        <v>7.8399999999999997E-2</v>
      </c>
      <c r="C474">
        <v>-4.3099999999999999E-2</v>
      </c>
      <c r="D474">
        <v>-3.9399999999999998E-2</v>
      </c>
      <c r="E474">
        <v>-3.39E-2</v>
      </c>
      <c r="F474">
        <v>7.7000000000000002E-3</v>
      </c>
      <c r="G474">
        <v>1.4000000000000002E-3</v>
      </c>
    </row>
    <row r="475" spans="1:7">
      <c r="A475">
        <v>200211</v>
      </c>
      <c r="B475">
        <v>5.96E-2</v>
      </c>
      <c r="C475">
        <v>2.9300000000000003E-2</v>
      </c>
      <c r="D475">
        <v>-1.26E-2</v>
      </c>
      <c r="E475">
        <v>-9.2200000000000004E-2</v>
      </c>
      <c r="F475">
        <v>5.1200000000000002E-2</v>
      </c>
      <c r="G475">
        <v>1.1999999999999999E-3</v>
      </c>
    </row>
    <row r="476" spans="1:7">
      <c r="A476">
        <v>200212</v>
      </c>
      <c r="B476">
        <v>-5.7599999999999998E-2</v>
      </c>
      <c r="C476">
        <v>6.1000000000000004E-3</v>
      </c>
      <c r="D476">
        <v>2.1400000000000002E-2</v>
      </c>
      <c r="E476">
        <v>6.3E-2</v>
      </c>
      <c r="F476">
        <v>-1.6799999999999999E-2</v>
      </c>
      <c r="G476">
        <v>1.1000000000000001E-3</v>
      </c>
    </row>
    <row r="477" spans="1:7">
      <c r="A477">
        <v>200301</v>
      </c>
      <c r="B477">
        <v>-2.5700000000000001E-2</v>
      </c>
      <c r="C477">
        <v>6.8999999999999999E-3</v>
      </c>
      <c r="D477">
        <v>-8.1000000000000013E-3</v>
      </c>
      <c r="E477">
        <v>-9.7000000000000003E-3</v>
      </c>
      <c r="F477">
        <v>6.9999999999999993E-3</v>
      </c>
      <c r="G477">
        <v>1E-3</v>
      </c>
    </row>
    <row r="478" spans="1:7">
      <c r="A478">
        <v>200302</v>
      </c>
      <c r="B478">
        <v>-1.8800000000000001E-2</v>
      </c>
      <c r="C478">
        <v>-9.4000000000000004E-3</v>
      </c>
      <c r="D478">
        <v>-1.3700000000000002E-2</v>
      </c>
      <c r="E478">
        <v>8.3999999999999995E-3</v>
      </c>
      <c r="F478">
        <v>-6.1000000000000004E-3</v>
      </c>
      <c r="G478">
        <v>8.9999999999999998E-4</v>
      </c>
    </row>
    <row r="479" spans="1:7">
      <c r="A479">
        <v>200303</v>
      </c>
      <c r="B479">
        <v>1.0900000000000002E-2</v>
      </c>
      <c r="C479">
        <v>6.6000000000000008E-3</v>
      </c>
      <c r="D479">
        <v>-1.9400000000000001E-2</v>
      </c>
      <c r="E479">
        <v>1.8600000000000002E-2</v>
      </c>
      <c r="F479">
        <v>-7.8000000000000005E-3</v>
      </c>
      <c r="G479">
        <v>1E-3</v>
      </c>
    </row>
    <row r="480" spans="1:7">
      <c r="A480">
        <v>200304</v>
      </c>
      <c r="B480">
        <v>8.2200000000000009E-2</v>
      </c>
      <c r="C480">
        <v>1.01E-2</v>
      </c>
      <c r="D480">
        <v>1.15E-2</v>
      </c>
      <c r="E480">
        <v>-4.6699999999999998E-2</v>
      </c>
      <c r="F480">
        <v>1.0700000000000001E-2</v>
      </c>
      <c r="G480">
        <v>1E-3</v>
      </c>
    </row>
    <row r="481" spans="1:7">
      <c r="A481">
        <v>200305</v>
      </c>
      <c r="B481">
        <v>6.0499999999999998E-2</v>
      </c>
      <c r="C481">
        <v>4.8200000000000007E-2</v>
      </c>
      <c r="D481">
        <v>3.9000000000000003E-3</v>
      </c>
      <c r="E481">
        <v>-7.0099999999999996E-2</v>
      </c>
      <c r="F481">
        <v>2.8999999999999998E-2</v>
      </c>
      <c r="G481">
        <v>8.9999999999999998E-4</v>
      </c>
    </row>
    <row r="482" spans="1:7">
      <c r="A482">
        <v>200306</v>
      </c>
      <c r="B482">
        <v>1.4199999999999999E-2</v>
      </c>
      <c r="C482">
        <v>1.66E-2</v>
      </c>
      <c r="D482">
        <v>1.1000000000000001E-3</v>
      </c>
      <c r="E482">
        <v>5.0000000000000001E-3</v>
      </c>
      <c r="F482">
        <v>-3.9000000000000003E-3</v>
      </c>
      <c r="G482">
        <v>1E-3</v>
      </c>
    </row>
    <row r="483" spans="1:7">
      <c r="A483">
        <v>200307</v>
      </c>
      <c r="B483">
        <v>2.35E-2</v>
      </c>
      <c r="C483">
        <v>4.5400000000000003E-2</v>
      </c>
      <c r="D483">
        <v>-1.24E-2</v>
      </c>
      <c r="E483">
        <v>-4.1399999999999999E-2</v>
      </c>
      <c r="F483">
        <v>1.78E-2</v>
      </c>
      <c r="G483">
        <v>7.000000000000001E-4</v>
      </c>
    </row>
    <row r="484" spans="1:7">
      <c r="A484">
        <v>200308</v>
      </c>
      <c r="B484">
        <v>2.3400000000000001E-2</v>
      </c>
      <c r="C484">
        <v>2.4799999999999999E-2</v>
      </c>
      <c r="D484">
        <v>1.5300000000000001E-2</v>
      </c>
      <c r="E484">
        <v>-2.2499999999999999E-2</v>
      </c>
      <c r="F484">
        <v>2.1400000000000002E-2</v>
      </c>
      <c r="G484">
        <v>7.000000000000001E-4</v>
      </c>
    </row>
    <row r="485" spans="1:7">
      <c r="A485">
        <v>200309</v>
      </c>
      <c r="B485">
        <v>-1.24E-2</v>
      </c>
      <c r="C485">
        <v>5.4000000000000003E-3</v>
      </c>
      <c r="D485">
        <v>1.7000000000000001E-3</v>
      </c>
      <c r="E485">
        <v>1.01E-2</v>
      </c>
      <c r="F485">
        <v>3.4999999999999996E-3</v>
      </c>
      <c r="G485">
        <v>8.0000000000000004E-4</v>
      </c>
    </row>
    <row r="486" spans="1:7">
      <c r="A486">
        <v>200310</v>
      </c>
      <c r="B486">
        <v>6.08E-2</v>
      </c>
      <c r="C486">
        <v>2.7099999999999999E-2</v>
      </c>
      <c r="D486">
        <v>1.9699999999999999E-2</v>
      </c>
      <c r="E486">
        <v>-1.3500000000000002E-2</v>
      </c>
      <c r="F486">
        <v>1.5500000000000002E-2</v>
      </c>
      <c r="G486">
        <v>7.000000000000001E-4</v>
      </c>
    </row>
    <row r="487" spans="1:7">
      <c r="A487">
        <v>200311</v>
      </c>
      <c r="B487">
        <v>1.3500000000000002E-2</v>
      </c>
      <c r="C487">
        <v>2.3300000000000001E-2</v>
      </c>
      <c r="D487">
        <v>1.78E-2</v>
      </c>
      <c r="E487">
        <v>1.9E-3</v>
      </c>
      <c r="F487">
        <v>1.8100000000000002E-2</v>
      </c>
      <c r="G487">
        <v>7.000000000000001E-4</v>
      </c>
    </row>
    <row r="488" spans="1:7">
      <c r="A488">
        <v>200312</v>
      </c>
      <c r="B488">
        <v>4.2900000000000001E-2</v>
      </c>
      <c r="C488">
        <v>-2.4900000000000002E-2</v>
      </c>
      <c r="D488">
        <v>1.6E-2</v>
      </c>
      <c r="E488">
        <v>5.6000000000000008E-3</v>
      </c>
      <c r="F488">
        <v>9.4000000000000004E-3</v>
      </c>
      <c r="G488">
        <v>8.0000000000000004E-4</v>
      </c>
    </row>
    <row r="489" spans="1:7">
      <c r="A489">
        <v>200401</v>
      </c>
      <c r="B489">
        <v>2.1499999999999998E-2</v>
      </c>
      <c r="C489">
        <v>2.4500000000000001E-2</v>
      </c>
      <c r="D489">
        <v>2.4900000000000002E-2</v>
      </c>
      <c r="E489">
        <v>-3.6600000000000001E-2</v>
      </c>
      <c r="F489">
        <v>3.3799999999999997E-2</v>
      </c>
      <c r="G489">
        <v>7.000000000000001E-4</v>
      </c>
    </row>
    <row r="490" spans="1:7">
      <c r="A490">
        <v>200402</v>
      </c>
      <c r="B490">
        <v>1.3999999999999999E-2</v>
      </c>
      <c r="C490">
        <v>-9.1999999999999998E-3</v>
      </c>
      <c r="D490">
        <v>8.8000000000000005E-3</v>
      </c>
      <c r="E490">
        <v>2.1600000000000001E-2</v>
      </c>
      <c r="F490">
        <v>-1.23E-2</v>
      </c>
      <c r="G490">
        <v>5.9999999999999995E-4</v>
      </c>
    </row>
    <row r="491" spans="1:7">
      <c r="A491">
        <v>200403</v>
      </c>
      <c r="B491">
        <v>-1.3200000000000002E-2</v>
      </c>
      <c r="C491">
        <v>2.1000000000000001E-2</v>
      </c>
      <c r="D491">
        <v>2.7000000000000001E-3</v>
      </c>
      <c r="E491">
        <v>1.5600000000000001E-2</v>
      </c>
      <c r="F491">
        <v>-9.7999999999999997E-3</v>
      </c>
      <c r="G491">
        <v>8.9999999999999998E-4</v>
      </c>
    </row>
    <row r="492" spans="1:7">
      <c r="A492">
        <v>200404</v>
      </c>
      <c r="B492">
        <v>-1.83E-2</v>
      </c>
      <c r="C492">
        <v>-2.0199999999999999E-2</v>
      </c>
      <c r="D492">
        <v>-3.0699999999999998E-2</v>
      </c>
      <c r="E492">
        <v>3.4700000000000002E-2</v>
      </c>
      <c r="F492">
        <v>-2.81E-2</v>
      </c>
      <c r="G492">
        <v>8.0000000000000004E-4</v>
      </c>
    </row>
    <row r="493" spans="1:7">
      <c r="A493">
        <v>200405</v>
      </c>
      <c r="B493">
        <v>1.17E-2</v>
      </c>
      <c r="C493">
        <v>-3.8E-3</v>
      </c>
      <c r="D493">
        <v>-2.5000000000000001E-3</v>
      </c>
      <c r="E493">
        <v>-1.18E-2</v>
      </c>
      <c r="F493">
        <v>2.9999999999999997E-4</v>
      </c>
      <c r="G493">
        <v>5.9999999999999995E-4</v>
      </c>
    </row>
    <row r="494" spans="1:7">
      <c r="A494">
        <v>200406</v>
      </c>
      <c r="B494">
        <v>1.8600000000000002E-2</v>
      </c>
      <c r="C494">
        <v>2.5600000000000001E-2</v>
      </c>
      <c r="D494">
        <v>1.18E-2</v>
      </c>
      <c r="E494">
        <v>1.2E-2</v>
      </c>
      <c r="F494">
        <v>-3.9000000000000003E-3</v>
      </c>
      <c r="G494">
        <v>8.0000000000000004E-4</v>
      </c>
    </row>
    <row r="495" spans="1:7">
      <c r="A495">
        <v>200407</v>
      </c>
      <c r="B495">
        <v>-4.0599999999999997E-2</v>
      </c>
      <c r="C495">
        <v>-2.9600000000000001E-2</v>
      </c>
      <c r="D495">
        <v>3.2400000000000005E-2</v>
      </c>
      <c r="E495">
        <v>5.3200000000000004E-2</v>
      </c>
      <c r="F495">
        <v>-1.66E-2</v>
      </c>
      <c r="G495">
        <v>1E-3</v>
      </c>
    </row>
    <row r="496" spans="1:7">
      <c r="A496">
        <v>200408</v>
      </c>
      <c r="B496">
        <v>8.0000000000000004E-4</v>
      </c>
      <c r="C496">
        <v>-1.1399999999999999E-2</v>
      </c>
      <c r="D496">
        <v>9.7000000000000003E-3</v>
      </c>
      <c r="E496">
        <v>1.23E-2</v>
      </c>
      <c r="F496">
        <v>-1.47E-2</v>
      </c>
      <c r="G496">
        <v>1.1000000000000001E-3</v>
      </c>
    </row>
    <row r="497" spans="1:7">
      <c r="A497">
        <v>200409</v>
      </c>
      <c r="B497">
        <v>1.6E-2</v>
      </c>
      <c r="C497">
        <v>3.27E-2</v>
      </c>
      <c r="D497">
        <v>0</v>
      </c>
      <c r="E497">
        <v>-1.49E-2</v>
      </c>
      <c r="F497">
        <v>-1.8800000000000001E-2</v>
      </c>
      <c r="G497">
        <v>1.1000000000000001E-3</v>
      </c>
    </row>
    <row r="498" spans="1:7">
      <c r="A498">
        <v>200410</v>
      </c>
      <c r="B498">
        <v>1.43E-2</v>
      </c>
      <c r="C498">
        <v>1.9E-3</v>
      </c>
      <c r="D498">
        <v>-2.2000000000000001E-3</v>
      </c>
      <c r="E498">
        <v>-5.2000000000000006E-3</v>
      </c>
      <c r="F498">
        <v>4.8999999999999998E-3</v>
      </c>
      <c r="G498">
        <v>1.1000000000000001E-3</v>
      </c>
    </row>
    <row r="499" spans="1:7">
      <c r="A499">
        <v>200411</v>
      </c>
      <c r="B499">
        <v>4.5400000000000003E-2</v>
      </c>
      <c r="C499">
        <v>4.1100000000000005E-2</v>
      </c>
      <c r="D499">
        <v>1.41E-2</v>
      </c>
      <c r="E499">
        <v>-5.7999999999999996E-3</v>
      </c>
      <c r="F499">
        <v>-2.2000000000000001E-3</v>
      </c>
      <c r="G499">
        <v>1.5E-3</v>
      </c>
    </row>
    <row r="500" spans="1:7">
      <c r="A500">
        <v>200412</v>
      </c>
      <c r="B500">
        <v>3.4300000000000004E-2</v>
      </c>
      <c r="C500">
        <v>-5.0000000000000001E-4</v>
      </c>
      <c r="D500">
        <v>-2.2000000000000001E-3</v>
      </c>
      <c r="E500">
        <v>-1.1599999999999999E-2</v>
      </c>
      <c r="F500">
        <v>4.5999999999999999E-3</v>
      </c>
      <c r="G500">
        <v>1.6000000000000001E-3</v>
      </c>
    </row>
    <row r="501" spans="1:7">
      <c r="A501">
        <v>200501</v>
      </c>
      <c r="B501">
        <v>-2.76E-2</v>
      </c>
      <c r="C501">
        <v>-1.17E-2</v>
      </c>
      <c r="D501">
        <v>2.06E-2</v>
      </c>
      <c r="E501">
        <v>2.7400000000000004E-2</v>
      </c>
      <c r="F501">
        <v>-1.46E-2</v>
      </c>
      <c r="G501">
        <v>1.6000000000000001E-3</v>
      </c>
    </row>
    <row r="502" spans="1:7">
      <c r="A502">
        <v>200502</v>
      </c>
      <c r="B502">
        <v>1.89E-2</v>
      </c>
      <c r="C502">
        <v>-3.0999999999999999E-3</v>
      </c>
      <c r="D502">
        <v>1.54E-2</v>
      </c>
      <c r="E502">
        <v>1.43E-2</v>
      </c>
      <c r="F502">
        <v>-5.0000000000000001E-4</v>
      </c>
      <c r="G502">
        <v>1.6000000000000001E-3</v>
      </c>
    </row>
    <row r="503" spans="1:7">
      <c r="A503">
        <v>200503</v>
      </c>
      <c r="B503">
        <v>-1.9699999999999999E-2</v>
      </c>
      <c r="C503">
        <v>-1.4199999999999999E-2</v>
      </c>
      <c r="D503">
        <v>2.0400000000000001E-2</v>
      </c>
      <c r="E503">
        <v>4.5999999999999999E-3</v>
      </c>
      <c r="F503">
        <v>1.29E-2</v>
      </c>
      <c r="G503">
        <v>2.0999999999999999E-3</v>
      </c>
    </row>
    <row r="504" spans="1:7">
      <c r="A504">
        <v>200504</v>
      </c>
      <c r="B504">
        <v>-2.6099999999999998E-2</v>
      </c>
      <c r="C504">
        <v>-3.9800000000000002E-2</v>
      </c>
      <c r="D504">
        <v>7.000000000000001E-4</v>
      </c>
      <c r="E504">
        <v>9.7000000000000003E-3</v>
      </c>
      <c r="F504">
        <v>-9.4000000000000004E-3</v>
      </c>
      <c r="G504">
        <v>2.0999999999999999E-3</v>
      </c>
    </row>
    <row r="505" spans="1:7">
      <c r="A505">
        <v>200505</v>
      </c>
      <c r="B505">
        <v>3.6499999999999998E-2</v>
      </c>
      <c r="C505">
        <v>2.7799999999999998E-2</v>
      </c>
      <c r="D505">
        <v>-6.4000000000000003E-3</v>
      </c>
      <c r="E505">
        <v>-0.01</v>
      </c>
      <c r="F505">
        <v>3.0000000000000001E-3</v>
      </c>
      <c r="G505">
        <v>2.3999999999999998E-3</v>
      </c>
    </row>
    <row r="506" spans="1:7">
      <c r="A506">
        <v>200506</v>
      </c>
      <c r="B506">
        <v>5.6999999999999993E-3</v>
      </c>
      <c r="C506">
        <v>3.2799999999999996E-2</v>
      </c>
      <c r="D506">
        <v>2.8300000000000002E-2</v>
      </c>
      <c r="E506">
        <v>9.5999999999999992E-3</v>
      </c>
      <c r="F506">
        <v>-5.1000000000000004E-3</v>
      </c>
      <c r="G506">
        <v>2.3E-3</v>
      </c>
    </row>
    <row r="507" spans="1:7">
      <c r="A507">
        <v>200507</v>
      </c>
      <c r="B507">
        <v>3.9199999999999999E-2</v>
      </c>
      <c r="C507">
        <v>2.81E-2</v>
      </c>
      <c r="D507">
        <v>-7.9000000000000008E-3</v>
      </c>
      <c r="E507">
        <v>-1.18E-2</v>
      </c>
      <c r="F507">
        <v>-8.199999999999999E-3</v>
      </c>
      <c r="G507">
        <v>2.3999999999999998E-3</v>
      </c>
    </row>
    <row r="508" spans="1:7">
      <c r="A508">
        <v>200508</v>
      </c>
      <c r="B508">
        <v>-1.2200000000000001E-2</v>
      </c>
      <c r="C508">
        <v>-8.8999999999999999E-3</v>
      </c>
      <c r="D508">
        <v>1.3200000000000002E-2</v>
      </c>
      <c r="E508">
        <v>-2.0499999999999997E-2</v>
      </c>
      <c r="F508">
        <v>3.7000000000000002E-3</v>
      </c>
      <c r="G508">
        <v>3.0000000000000001E-3</v>
      </c>
    </row>
    <row r="509" spans="1:7">
      <c r="A509">
        <v>200509</v>
      </c>
      <c r="B509">
        <v>4.8999999999999998E-3</v>
      </c>
      <c r="C509">
        <v>-3.4000000000000002E-3</v>
      </c>
      <c r="D509">
        <v>7.0999999999999995E-3</v>
      </c>
      <c r="E509">
        <v>2.7000000000000001E-3</v>
      </c>
      <c r="F509">
        <v>-6.0000000000000001E-3</v>
      </c>
      <c r="G509">
        <v>2.8999999999999998E-3</v>
      </c>
    </row>
    <row r="510" spans="1:7">
      <c r="A510">
        <v>200510</v>
      </c>
      <c r="B510">
        <v>-2.0199999999999999E-2</v>
      </c>
      <c r="C510">
        <v>-1.4499999999999999E-2</v>
      </c>
      <c r="D510">
        <v>4.1999999999999997E-3</v>
      </c>
      <c r="E510">
        <v>-9.300000000000001E-3</v>
      </c>
      <c r="F510">
        <v>-1.29E-2</v>
      </c>
      <c r="G510">
        <v>2.7000000000000001E-3</v>
      </c>
    </row>
    <row r="511" spans="1:7">
      <c r="A511">
        <v>200511</v>
      </c>
      <c r="B511">
        <v>3.61E-2</v>
      </c>
      <c r="C511">
        <v>8.3999999999999995E-3</v>
      </c>
      <c r="D511">
        <v>-1.1599999999999999E-2</v>
      </c>
      <c r="E511">
        <v>-7.6E-3</v>
      </c>
      <c r="F511">
        <v>-1.1299999999999999E-2</v>
      </c>
      <c r="G511">
        <v>3.0999999999999999E-3</v>
      </c>
    </row>
    <row r="512" spans="1:7">
      <c r="A512">
        <v>200512</v>
      </c>
      <c r="B512">
        <v>-2.5000000000000001E-3</v>
      </c>
      <c r="C512">
        <v>-2E-3</v>
      </c>
      <c r="D512">
        <v>2E-3</v>
      </c>
      <c r="E512">
        <v>2.2000000000000001E-3</v>
      </c>
      <c r="F512">
        <v>2.3E-3</v>
      </c>
      <c r="G512">
        <v>3.2000000000000002E-3</v>
      </c>
    </row>
    <row r="513" spans="1:7">
      <c r="A513">
        <v>200601</v>
      </c>
      <c r="B513">
        <v>3.04E-2</v>
      </c>
      <c r="C513">
        <v>5.7500000000000002E-2</v>
      </c>
      <c r="D513">
        <v>1.0800000000000001E-2</v>
      </c>
      <c r="E513">
        <v>-6.5000000000000006E-3</v>
      </c>
      <c r="F513">
        <v>-4.5000000000000005E-3</v>
      </c>
      <c r="G513">
        <v>3.4999999999999996E-3</v>
      </c>
    </row>
    <row r="514" spans="1:7">
      <c r="A514">
        <v>200602</v>
      </c>
      <c r="B514">
        <v>-3.0000000000000001E-3</v>
      </c>
      <c r="C514">
        <v>-4.1999999999999997E-3</v>
      </c>
      <c r="D514">
        <v>-3.4000000000000002E-3</v>
      </c>
      <c r="E514">
        <v>-5.1000000000000004E-3</v>
      </c>
      <c r="F514">
        <v>1.9099999999999999E-2</v>
      </c>
      <c r="G514">
        <v>3.4000000000000002E-3</v>
      </c>
    </row>
    <row r="515" spans="1:7">
      <c r="A515">
        <v>200603</v>
      </c>
      <c r="B515">
        <v>1.46E-2</v>
      </c>
      <c r="C515">
        <v>3.39E-2</v>
      </c>
      <c r="D515">
        <v>6.0000000000000001E-3</v>
      </c>
      <c r="E515">
        <v>5.9999999999999995E-4</v>
      </c>
      <c r="F515">
        <v>-4.0000000000000001E-3</v>
      </c>
      <c r="G515">
        <v>3.7000000000000002E-3</v>
      </c>
    </row>
    <row r="516" spans="1:7">
      <c r="A516">
        <v>200604</v>
      </c>
      <c r="B516">
        <v>7.3000000000000001E-3</v>
      </c>
      <c r="C516">
        <v>-8.3999999999999995E-3</v>
      </c>
      <c r="D516">
        <v>2.3400000000000001E-2</v>
      </c>
      <c r="E516">
        <v>1.8000000000000002E-2</v>
      </c>
      <c r="F516">
        <v>1E-4</v>
      </c>
      <c r="G516">
        <v>3.5999999999999999E-3</v>
      </c>
    </row>
    <row r="517" spans="1:7">
      <c r="A517">
        <v>200605</v>
      </c>
      <c r="B517">
        <v>-3.5700000000000003E-2</v>
      </c>
      <c r="C517">
        <v>-2.8500000000000001E-2</v>
      </c>
      <c r="D517">
        <v>2.4100000000000003E-2</v>
      </c>
      <c r="E517">
        <v>1.15E-2</v>
      </c>
      <c r="F517">
        <v>1.46E-2</v>
      </c>
      <c r="G517">
        <v>4.3E-3</v>
      </c>
    </row>
    <row r="518" spans="1:7">
      <c r="A518">
        <v>200606</v>
      </c>
      <c r="B518">
        <v>-3.4999999999999996E-3</v>
      </c>
      <c r="C518">
        <v>-2.3999999999999998E-3</v>
      </c>
      <c r="D518">
        <v>8.5000000000000006E-3</v>
      </c>
      <c r="E518">
        <v>1.3200000000000002E-2</v>
      </c>
      <c r="F518">
        <v>-7.000000000000001E-4</v>
      </c>
      <c r="G518">
        <v>4.0000000000000001E-3</v>
      </c>
    </row>
    <row r="519" spans="1:7">
      <c r="A519">
        <v>200607</v>
      </c>
      <c r="B519">
        <v>-7.8000000000000005E-3</v>
      </c>
      <c r="C519">
        <v>-3.6299999999999999E-2</v>
      </c>
      <c r="D519">
        <v>2.6000000000000002E-2</v>
      </c>
      <c r="E519">
        <v>1.6299999999999999E-2</v>
      </c>
      <c r="F519">
        <v>9.0000000000000011E-3</v>
      </c>
      <c r="G519">
        <v>4.0000000000000001E-3</v>
      </c>
    </row>
    <row r="520" spans="1:7">
      <c r="A520">
        <v>200608</v>
      </c>
      <c r="B520">
        <v>2.0299999999999999E-2</v>
      </c>
      <c r="C520">
        <v>4.4000000000000003E-3</v>
      </c>
      <c r="D520">
        <v>-2.06E-2</v>
      </c>
      <c r="E520">
        <v>-1.8600000000000002E-2</v>
      </c>
      <c r="F520">
        <v>2.0899999999999998E-2</v>
      </c>
      <c r="G520">
        <v>4.1999999999999997E-3</v>
      </c>
    </row>
    <row r="521" spans="1:7">
      <c r="A521">
        <v>200609</v>
      </c>
      <c r="B521">
        <v>1.84E-2</v>
      </c>
      <c r="C521">
        <v>-1.46E-2</v>
      </c>
      <c r="D521">
        <v>8.0000000000000004E-4</v>
      </c>
      <c r="E521">
        <v>8.199999999999999E-3</v>
      </c>
      <c r="F521">
        <v>6.0000000000000001E-3</v>
      </c>
      <c r="G521">
        <v>4.0999999999999995E-3</v>
      </c>
    </row>
    <row r="522" spans="1:7">
      <c r="A522">
        <v>200610</v>
      </c>
      <c r="B522">
        <v>3.2300000000000002E-2</v>
      </c>
      <c r="C522">
        <v>1.9800000000000002E-2</v>
      </c>
      <c r="D522">
        <v>-3.0999999999999999E-3</v>
      </c>
      <c r="E522">
        <v>-1.1999999999999999E-3</v>
      </c>
      <c r="F522">
        <v>2.8000000000000004E-3</v>
      </c>
      <c r="G522">
        <v>4.0999999999999995E-3</v>
      </c>
    </row>
    <row r="523" spans="1:7">
      <c r="A523">
        <v>200611</v>
      </c>
      <c r="B523">
        <v>1.7100000000000001E-2</v>
      </c>
      <c r="C523">
        <v>7.0999999999999995E-3</v>
      </c>
      <c r="D523">
        <v>1.4000000000000002E-3</v>
      </c>
      <c r="E523">
        <v>1.5E-3</v>
      </c>
      <c r="F523">
        <v>-8.0000000000000002E-3</v>
      </c>
      <c r="G523">
        <v>4.1999999999999997E-3</v>
      </c>
    </row>
    <row r="524" spans="1:7">
      <c r="A524">
        <v>200612</v>
      </c>
      <c r="B524">
        <v>8.6999999999999994E-3</v>
      </c>
      <c r="C524">
        <v>-8.199999999999999E-3</v>
      </c>
      <c r="D524">
        <v>2.7300000000000001E-2</v>
      </c>
      <c r="E524">
        <v>-7.1999999999999998E-3</v>
      </c>
      <c r="F524">
        <v>2.06E-2</v>
      </c>
      <c r="G524">
        <v>4.0000000000000001E-3</v>
      </c>
    </row>
    <row r="525" spans="1:7">
      <c r="A525">
        <v>200701</v>
      </c>
      <c r="B525">
        <v>1.3999999999999999E-2</v>
      </c>
      <c r="C525">
        <v>7.000000000000001E-4</v>
      </c>
      <c r="D525">
        <v>-6.8000000000000005E-3</v>
      </c>
      <c r="E525">
        <v>2.6000000000000003E-3</v>
      </c>
      <c r="F525">
        <v>3.8E-3</v>
      </c>
      <c r="G525">
        <v>4.4000000000000003E-3</v>
      </c>
    </row>
    <row r="526" spans="1:7">
      <c r="A526">
        <v>200702</v>
      </c>
      <c r="B526">
        <v>-1.9599999999999999E-2</v>
      </c>
      <c r="C526">
        <v>1.29E-2</v>
      </c>
      <c r="D526">
        <v>-1.4000000000000002E-3</v>
      </c>
      <c r="E526">
        <v>-5.1000000000000004E-3</v>
      </c>
      <c r="F526">
        <v>-7.0999999999999995E-3</v>
      </c>
      <c r="G526">
        <v>3.8E-3</v>
      </c>
    </row>
    <row r="527" spans="1:7">
      <c r="A527">
        <v>200703</v>
      </c>
      <c r="B527">
        <v>6.8000000000000005E-3</v>
      </c>
      <c r="C527">
        <v>2E-3</v>
      </c>
      <c r="D527">
        <v>-9.7000000000000003E-3</v>
      </c>
      <c r="E527">
        <v>6.4000000000000003E-3</v>
      </c>
      <c r="F527">
        <v>-6.5000000000000006E-3</v>
      </c>
      <c r="G527">
        <v>4.3E-3</v>
      </c>
    </row>
    <row r="528" spans="1:7">
      <c r="A528">
        <v>200704</v>
      </c>
      <c r="B528">
        <v>3.49E-2</v>
      </c>
      <c r="C528">
        <v>-2.0400000000000001E-2</v>
      </c>
      <c r="D528">
        <v>-1.4499999999999999E-2</v>
      </c>
      <c r="E528">
        <v>1.15E-2</v>
      </c>
      <c r="F528">
        <v>1.03E-2</v>
      </c>
      <c r="G528">
        <v>4.4000000000000003E-3</v>
      </c>
    </row>
    <row r="529" spans="1:7">
      <c r="A529">
        <v>200705</v>
      </c>
      <c r="B529">
        <v>3.2400000000000005E-2</v>
      </c>
      <c r="C529">
        <v>4.0000000000000001E-3</v>
      </c>
      <c r="D529">
        <v>-6.5000000000000006E-3</v>
      </c>
      <c r="E529">
        <v>1.5800000000000002E-2</v>
      </c>
      <c r="F529">
        <v>-1.3700000000000002E-2</v>
      </c>
      <c r="G529">
        <v>4.0999999999999995E-3</v>
      </c>
    </row>
    <row r="530" spans="1:7">
      <c r="A530">
        <v>200706</v>
      </c>
      <c r="B530">
        <v>-1.9599999999999999E-2</v>
      </c>
      <c r="C530">
        <v>7.4000000000000003E-3</v>
      </c>
      <c r="D530">
        <v>-1.0500000000000001E-2</v>
      </c>
      <c r="E530">
        <v>5.3E-3</v>
      </c>
      <c r="F530">
        <v>8.0000000000000004E-4</v>
      </c>
      <c r="G530">
        <v>4.0000000000000001E-3</v>
      </c>
    </row>
    <row r="531" spans="1:7">
      <c r="A531">
        <v>200707</v>
      </c>
      <c r="B531">
        <v>-3.73E-2</v>
      </c>
      <c r="C531">
        <v>-2.9900000000000003E-2</v>
      </c>
      <c r="D531">
        <v>-3.7100000000000001E-2</v>
      </c>
      <c r="E531">
        <v>2E-3</v>
      </c>
      <c r="F531">
        <v>-1.1299999999999999E-2</v>
      </c>
      <c r="G531">
        <v>4.0000000000000001E-3</v>
      </c>
    </row>
    <row r="532" spans="1:7">
      <c r="A532">
        <v>200708</v>
      </c>
      <c r="B532">
        <v>9.1999999999999998E-3</v>
      </c>
      <c r="C532">
        <v>-3.8E-3</v>
      </c>
      <c r="D532">
        <v>-1.8600000000000002E-2</v>
      </c>
      <c r="E532">
        <v>-1.21E-2</v>
      </c>
      <c r="F532">
        <v>-5.4000000000000003E-3</v>
      </c>
      <c r="G532">
        <v>4.1999999999999997E-3</v>
      </c>
    </row>
    <row r="533" spans="1:7">
      <c r="A533">
        <v>200709</v>
      </c>
      <c r="B533">
        <v>3.2199999999999999E-2</v>
      </c>
      <c r="C533">
        <v>-2.4400000000000002E-2</v>
      </c>
      <c r="D533">
        <v>-2.2100000000000002E-2</v>
      </c>
      <c r="E533">
        <v>-5.2000000000000006E-3</v>
      </c>
      <c r="F533">
        <v>-3.0200000000000001E-2</v>
      </c>
      <c r="G533">
        <v>3.2000000000000002E-3</v>
      </c>
    </row>
    <row r="534" spans="1:7">
      <c r="A534">
        <v>200710</v>
      </c>
      <c r="B534">
        <v>1.8000000000000002E-2</v>
      </c>
      <c r="C534">
        <v>-8.0000000000000004E-4</v>
      </c>
      <c r="D534">
        <v>-2.98E-2</v>
      </c>
      <c r="E534">
        <v>-2.8999999999999998E-3</v>
      </c>
      <c r="F534">
        <v>-8.9999999999999998E-4</v>
      </c>
      <c r="G534">
        <v>3.2000000000000002E-3</v>
      </c>
    </row>
    <row r="535" spans="1:7">
      <c r="A535">
        <v>200711</v>
      </c>
      <c r="B535">
        <v>-4.8300000000000003E-2</v>
      </c>
      <c r="C535">
        <v>-3.0200000000000001E-2</v>
      </c>
      <c r="D535">
        <v>-9.4000000000000004E-3</v>
      </c>
      <c r="E535">
        <v>1.89E-2</v>
      </c>
      <c r="F535">
        <v>-2.8999999999999998E-3</v>
      </c>
      <c r="G535">
        <v>3.4000000000000002E-3</v>
      </c>
    </row>
    <row r="536" spans="1:7">
      <c r="A536">
        <v>200712</v>
      </c>
      <c r="B536">
        <v>-8.6999999999999994E-3</v>
      </c>
      <c r="C536">
        <v>1.5E-3</v>
      </c>
      <c r="D536">
        <v>-5.5000000000000005E-3</v>
      </c>
      <c r="E536">
        <v>8.6999999999999994E-3</v>
      </c>
      <c r="F536">
        <v>-1.0500000000000001E-2</v>
      </c>
      <c r="G536">
        <v>2.7000000000000001E-3</v>
      </c>
    </row>
    <row r="537" spans="1:7">
      <c r="A537">
        <v>200801</v>
      </c>
      <c r="B537">
        <v>-6.3600000000000004E-2</v>
      </c>
      <c r="C537">
        <v>-6.5000000000000006E-3</v>
      </c>
      <c r="D537">
        <v>3.9700000000000006E-2</v>
      </c>
      <c r="E537">
        <v>2.1499999999999998E-2</v>
      </c>
      <c r="F537">
        <v>2.1400000000000002E-2</v>
      </c>
      <c r="G537">
        <v>2.0999999999999999E-3</v>
      </c>
    </row>
    <row r="538" spans="1:7">
      <c r="A538">
        <v>200802</v>
      </c>
      <c r="B538">
        <v>-3.09E-2</v>
      </c>
      <c r="C538">
        <v>-6.6000000000000008E-3</v>
      </c>
      <c r="D538">
        <v>-8.3999999999999995E-3</v>
      </c>
      <c r="E538">
        <v>8.6999999999999994E-3</v>
      </c>
      <c r="F538">
        <v>-9.1999999999999998E-3</v>
      </c>
      <c r="G538">
        <v>1.3000000000000002E-3</v>
      </c>
    </row>
    <row r="539" spans="1:7">
      <c r="A539">
        <v>200803</v>
      </c>
      <c r="B539">
        <v>-9.300000000000001E-3</v>
      </c>
      <c r="C539">
        <v>5.6000000000000008E-3</v>
      </c>
      <c r="D539">
        <v>3.0000000000000001E-3</v>
      </c>
      <c r="E539">
        <v>7.9000000000000008E-3</v>
      </c>
      <c r="F539">
        <v>5.0000000000000001E-3</v>
      </c>
      <c r="G539">
        <v>1.7000000000000001E-3</v>
      </c>
    </row>
    <row r="540" spans="1:7">
      <c r="A540">
        <v>200804</v>
      </c>
      <c r="B540">
        <v>4.5999999999999999E-2</v>
      </c>
      <c r="C540">
        <v>-1.2E-2</v>
      </c>
      <c r="D540">
        <v>-9.4000000000000004E-3</v>
      </c>
      <c r="E540">
        <v>1.6299999999999999E-2</v>
      </c>
      <c r="F540">
        <v>-2.4700000000000003E-2</v>
      </c>
      <c r="G540">
        <v>1.8E-3</v>
      </c>
    </row>
    <row r="541" spans="1:7">
      <c r="A541">
        <v>200805</v>
      </c>
      <c r="B541">
        <v>1.8600000000000002E-2</v>
      </c>
      <c r="C541">
        <v>3.0200000000000001E-2</v>
      </c>
      <c r="D541">
        <v>-1.43E-2</v>
      </c>
      <c r="E541">
        <v>9.300000000000001E-3</v>
      </c>
      <c r="F541">
        <v>-5.9999999999999995E-4</v>
      </c>
      <c r="G541">
        <v>1.8E-3</v>
      </c>
    </row>
    <row r="542" spans="1:7">
      <c r="A542">
        <v>200806</v>
      </c>
      <c r="B542">
        <v>-8.4400000000000003E-2</v>
      </c>
      <c r="C542">
        <v>1.18E-2</v>
      </c>
      <c r="D542">
        <v>-2.7099999999999999E-2</v>
      </c>
      <c r="E542">
        <v>4.9599999999999998E-2</v>
      </c>
      <c r="F542">
        <v>-5.5000000000000005E-3</v>
      </c>
      <c r="G542">
        <v>1.7000000000000001E-3</v>
      </c>
    </row>
    <row r="543" spans="1:7">
      <c r="A543">
        <v>200807</v>
      </c>
      <c r="B543">
        <v>-7.7000000000000002E-3</v>
      </c>
      <c r="C543">
        <v>3.7200000000000004E-2</v>
      </c>
      <c r="D543">
        <v>5.4199999999999998E-2</v>
      </c>
      <c r="E543">
        <v>-1.3600000000000001E-2</v>
      </c>
      <c r="F543">
        <v>1.06E-2</v>
      </c>
      <c r="G543">
        <v>1.5E-3</v>
      </c>
    </row>
    <row r="544" spans="1:7">
      <c r="A544">
        <v>200808</v>
      </c>
      <c r="B544">
        <v>1.5300000000000001E-2</v>
      </c>
      <c r="C544">
        <v>3.4599999999999999E-2</v>
      </c>
      <c r="D544">
        <v>1.5900000000000001E-2</v>
      </c>
      <c r="E544">
        <v>1.8600000000000002E-2</v>
      </c>
      <c r="F544">
        <v>8.3999999999999995E-3</v>
      </c>
      <c r="G544">
        <v>1.3000000000000002E-3</v>
      </c>
    </row>
    <row r="545" spans="1:7">
      <c r="A545">
        <v>200809</v>
      </c>
      <c r="B545">
        <v>-9.240000000000001E-2</v>
      </c>
      <c r="C545">
        <v>2.5000000000000001E-3</v>
      </c>
      <c r="D545">
        <v>5.91E-2</v>
      </c>
      <c r="E545">
        <v>2.4199999999999999E-2</v>
      </c>
      <c r="F545">
        <v>1.78E-2</v>
      </c>
      <c r="G545">
        <v>1.5E-3</v>
      </c>
    </row>
    <row r="546" spans="1:7">
      <c r="A546">
        <v>200810</v>
      </c>
      <c r="B546">
        <v>-0.17230000000000001</v>
      </c>
      <c r="C546">
        <v>-3.3399999999999999E-2</v>
      </c>
      <c r="D546">
        <v>-2.3E-2</v>
      </c>
      <c r="E546">
        <v>3.04E-2</v>
      </c>
      <c r="F546">
        <v>2.0499999999999997E-2</v>
      </c>
      <c r="G546">
        <v>8.0000000000000004E-4</v>
      </c>
    </row>
    <row r="547" spans="1:7">
      <c r="A547">
        <v>200811</v>
      </c>
      <c r="B547">
        <v>-7.8600000000000003E-2</v>
      </c>
      <c r="C547">
        <v>-3.9E-2</v>
      </c>
      <c r="D547">
        <v>-6.3100000000000003E-2</v>
      </c>
      <c r="E547">
        <v>4.53E-2</v>
      </c>
      <c r="F547">
        <v>2.75E-2</v>
      </c>
      <c r="G547">
        <v>2.9999999999999997E-4</v>
      </c>
    </row>
    <row r="548" spans="1:7">
      <c r="A548">
        <v>200812</v>
      </c>
      <c r="B548">
        <v>1.7399999999999999E-2</v>
      </c>
      <c r="C548">
        <v>3.2899999999999999E-2</v>
      </c>
      <c r="D548">
        <v>1.4000000000000002E-3</v>
      </c>
      <c r="E548">
        <v>7.000000000000001E-4</v>
      </c>
      <c r="F548">
        <v>-1.4999999999999999E-2</v>
      </c>
      <c r="G548">
        <v>0</v>
      </c>
    </row>
    <row r="549" spans="1:7">
      <c r="A549">
        <v>200901</v>
      </c>
      <c r="B549">
        <v>-8.1199999999999994E-2</v>
      </c>
      <c r="C549">
        <v>-2.1400000000000002E-2</v>
      </c>
      <c r="D549">
        <v>-0.1129</v>
      </c>
      <c r="E549">
        <v>1.8E-3</v>
      </c>
      <c r="F549">
        <v>-1.1599999999999999E-2</v>
      </c>
      <c r="G549">
        <v>0</v>
      </c>
    </row>
    <row r="550" spans="1:7">
      <c r="A550">
        <v>200902</v>
      </c>
      <c r="B550">
        <v>-0.10099999999999999</v>
      </c>
      <c r="C550">
        <v>-1.3300000000000001E-2</v>
      </c>
      <c r="D550">
        <v>-6.9500000000000006E-2</v>
      </c>
      <c r="E550">
        <v>1.2E-2</v>
      </c>
      <c r="F550">
        <v>-1.0200000000000001E-2</v>
      </c>
      <c r="G550">
        <v>1E-4</v>
      </c>
    </row>
    <row r="551" spans="1:7">
      <c r="A551">
        <v>200903</v>
      </c>
      <c r="B551">
        <v>8.9499999999999996E-2</v>
      </c>
      <c r="C551">
        <v>6.7000000000000002E-3</v>
      </c>
      <c r="D551">
        <v>3.4700000000000002E-2</v>
      </c>
      <c r="E551">
        <v>-2.52E-2</v>
      </c>
      <c r="F551">
        <v>-2.2499999999999999E-2</v>
      </c>
      <c r="G551">
        <v>2.0000000000000001E-4</v>
      </c>
    </row>
    <row r="552" spans="1:7">
      <c r="A552">
        <v>200904</v>
      </c>
      <c r="B552">
        <v>0.1018</v>
      </c>
      <c r="C552">
        <v>7.1300000000000002E-2</v>
      </c>
      <c r="D552">
        <v>5.3600000000000002E-2</v>
      </c>
      <c r="E552">
        <v>1.3100000000000001E-2</v>
      </c>
      <c r="F552">
        <v>1.1999999999999999E-3</v>
      </c>
      <c r="G552">
        <v>1E-4</v>
      </c>
    </row>
    <row r="553" spans="1:7">
      <c r="A553">
        <v>200905</v>
      </c>
      <c r="B553">
        <v>5.21E-2</v>
      </c>
      <c r="C553">
        <v>-2.3199999999999998E-2</v>
      </c>
      <c r="D553">
        <v>2.8000000000000004E-3</v>
      </c>
      <c r="E553">
        <v>-7.8000000000000005E-3</v>
      </c>
      <c r="F553">
        <v>-2.1600000000000001E-2</v>
      </c>
      <c r="G553">
        <v>0</v>
      </c>
    </row>
    <row r="554" spans="1:7">
      <c r="A554">
        <v>200906</v>
      </c>
      <c r="B554">
        <v>4.3E-3</v>
      </c>
      <c r="C554">
        <v>2.29E-2</v>
      </c>
      <c r="D554">
        <v>-2.7300000000000001E-2</v>
      </c>
      <c r="E554">
        <v>-1.41E-2</v>
      </c>
      <c r="F554">
        <v>-3.3000000000000004E-3</v>
      </c>
      <c r="G554">
        <v>1E-4</v>
      </c>
    </row>
    <row r="555" spans="1:7">
      <c r="A555">
        <v>200907</v>
      </c>
      <c r="B555">
        <v>7.7200000000000005E-2</v>
      </c>
      <c r="C555">
        <v>2.3900000000000001E-2</v>
      </c>
      <c r="D555">
        <v>4.8300000000000003E-2</v>
      </c>
      <c r="E555">
        <v>-4.5999999999999999E-3</v>
      </c>
      <c r="F555">
        <v>3.1300000000000001E-2</v>
      </c>
      <c r="G555">
        <v>1E-4</v>
      </c>
    </row>
    <row r="556" spans="1:7">
      <c r="A556">
        <v>200908</v>
      </c>
      <c r="B556">
        <v>3.3300000000000003E-2</v>
      </c>
      <c r="C556">
        <v>-8.9999999999999998E-4</v>
      </c>
      <c r="D556">
        <v>7.6300000000000007E-2</v>
      </c>
      <c r="E556">
        <v>-3.0299999999999997E-2</v>
      </c>
      <c r="F556">
        <v>3.3399999999999999E-2</v>
      </c>
      <c r="G556">
        <v>1E-4</v>
      </c>
    </row>
    <row r="557" spans="1:7">
      <c r="A557">
        <v>200909</v>
      </c>
      <c r="B557">
        <v>4.0800000000000003E-2</v>
      </c>
      <c r="C557">
        <v>2.7300000000000001E-2</v>
      </c>
      <c r="D557">
        <v>1.0400000000000001E-2</v>
      </c>
      <c r="E557">
        <v>1.3100000000000001E-2</v>
      </c>
      <c r="F557">
        <v>3.5999999999999999E-3</v>
      </c>
      <c r="G557">
        <v>1E-4</v>
      </c>
    </row>
    <row r="558" spans="1:7">
      <c r="A558">
        <v>200910</v>
      </c>
      <c r="B558">
        <v>-2.5899999999999999E-2</v>
      </c>
      <c r="C558">
        <v>-4.9400000000000006E-2</v>
      </c>
      <c r="D558">
        <v>-4.2099999999999999E-2</v>
      </c>
      <c r="E558">
        <v>4.1700000000000001E-2</v>
      </c>
      <c r="F558">
        <v>-1.4999999999999999E-2</v>
      </c>
      <c r="G558">
        <v>0</v>
      </c>
    </row>
    <row r="559" spans="1:7">
      <c r="A559">
        <v>200911</v>
      </c>
      <c r="B559">
        <v>5.5599999999999997E-2</v>
      </c>
      <c r="C559">
        <v>-2.6800000000000001E-2</v>
      </c>
      <c r="D559">
        <v>-3.4000000000000002E-3</v>
      </c>
      <c r="E559">
        <v>0.01</v>
      </c>
      <c r="F559">
        <v>1.3000000000000002E-3</v>
      </c>
      <c r="G559">
        <v>0</v>
      </c>
    </row>
    <row r="560" spans="1:7">
      <c r="A560">
        <v>200912</v>
      </c>
      <c r="B560">
        <v>2.75E-2</v>
      </c>
      <c r="C560">
        <v>6.2400000000000004E-2</v>
      </c>
      <c r="D560">
        <v>-1.6000000000000001E-3</v>
      </c>
      <c r="E560">
        <v>1.0200000000000001E-2</v>
      </c>
      <c r="F560">
        <v>-8.9999999999999998E-4</v>
      </c>
      <c r="G560">
        <v>1E-4</v>
      </c>
    </row>
    <row r="561" spans="1:7">
      <c r="A561">
        <v>201001</v>
      </c>
      <c r="B561">
        <v>-3.3599999999999998E-2</v>
      </c>
      <c r="C561">
        <v>3.4000000000000002E-3</v>
      </c>
      <c r="D561">
        <v>4.3E-3</v>
      </c>
      <c r="E561">
        <v>-1.2700000000000001E-2</v>
      </c>
      <c r="F561">
        <v>4.5999999999999999E-3</v>
      </c>
      <c r="G561">
        <v>0</v>
      </c>
    </row>
    <row r="562" spans="1:7">
      <c r="A562">
        <v>201002</v>
      </c>
      <c r="B562">
        <v>3.4000000000000002E-2</v>
      </c>
      <c r="C562">
        <v>1.5100000000000001E-2</v>
      </c>
      <c r="D562">
        <v>3.2199999999999999E-2</v>
      </c>
      <c r="E562">
        <v>-2.7000000000000001E-3</v>
      </c>
      <c r="F562">
        <v>1.4199999999999999E-2</v>
      </c>
      <c r="G562">
        <v>0</v>
      </c>
    </row>
    <row r="563" spans="1:7">
      <c r="A563">
        <v>201003</v>
      </c>
      <c r="B563">
        <v>6.3100000000000003E-2</v>
      </c>
      <c r="C563">
        <v>1.8500000000000003E-2</v>
      </c>
      <c r="D563">
        <v>2.2100000000000002E-2</v>
      </c>
      <c r="E563">
        <v>-6.5000000000000006E-3</v>
      </c>
      <c r="F563">
        <v>1.6899999999999998E-2</v>
      </c>
      <c r="G563">
        <v>1E-4</v>
      </c>
    </row>
    <row r="564" spans="1:7">
      <c r="A564">
        <v>201004</v>
      </c>
      <c r="B564">
        <v>0.02</v>
      </c>
      <c r="C564">
        <v>4.9800000000000004E-2</v>
      </c>
      <c r="D564">
        <v>2.8900000000000002E-2</v>
      </c>
      <c r="E564">
        <v>6.8999999999999999E-3</v>
      </c>
      <c r="F564">
        <v>1.72E-2</v>
      </c>
      <c r="G564">
        <v>1E-4</v>
      </c>
    </row>
    <row r="565" spans="1:7">
      <c r="A565">
        <v>201005</v>
      </c>
      <c r="B565">
        <v>-7.8899999999999998E-2</v>
      </c>
      <c r="C565">
        <v>5.0000000000000001E-4</v>
      </c>
      <c r="D565">
        <v>-2.4400000000000002E-2</v>
      </c>
      <c r="E565">
        <v>1.3000000000000001E-2</v>
      </c>
      <c r="F565">
        <v>-2.2000000000000001E-3</v>
      </c>
      <c r="G565">
        <v>1E-4</v>
      </c>
    </row>
    <row r="566" spans="1:7">
      <c r="A566">
        <v>201006</v>
      </c>
      <c r="B566">
        <v>-5.5700000000000006E-2</v>
      </c>
      <c r="C566">
        <v>-2.4700000000000003E-2</v>
      </c>
      <c r="D566">
        <v>-4.7E-2</v>
      </c>
      <c r="E566">
        <v>-1.6000000000000001E-3</v>
      </c>
      <c r="F566">
        <v>-1.5500000000000002E-2</v>
      </c>
      <c r="G566">
        <v>1E-4</v>
      </c>
    </row>
    <row r="567" spans="1:7">
      <c r="A567">
        <v>201007</v>
      </c>
      <c r="B567">
        <v>6.93E-2</v>
      </c>
      <c r="C567">
        <v>1.1999999999999999E-3</v>
      </c>
      <c r="D567">
        <v>-3.0999999999999999E-3</v>
      </c>
      <c r="E567">
        <v>2.3999999999999998E-3</v>
      </c>
      <c r="F567">
        <v>0.02</v>
      </c>
      <c r="G567">
        <v>1E-4</v>
      </c>
    </row>
    <row r="568" spans="1:7">
      <c r="A568">
        <v>201008</v>
      </c>
      <c r="B568">
        <v>-4.7699999999999999E-2</v>
      </c>
      <c r="C568">
        <v>-3.15E-2</v>
      </c>
      <c r="D568">
        <v>-1.9E-2</v>
      </c>
      <c r="E568">
        <v>5.3E-3</v>
      </c>
      <c r="F568">
        <v>-1.5900000000000001E-2</v>
      </c>
      <c r="G568">
        <v>1E-4</v>
      </c>
    </row>
    <row r="569" spans="1:7">
      <c r="A569">
        <v>201009</v>
      </c>
      <c r="B569">
        <v>9.5399999999999999E-2</v>
      </c>
      <c r="C569">
        <v>3.7499999999999999E-2</v>
      </c>
      <c r="D569">
        <v>-3.1600000000000003E-2</v>
      </c>
      <c r="E569">
        <v>-2.0999999999999999E-3</v>
      </c>
      <c r="F569">
        <v>3.8E-3</v>
      </c>
      <c r="G569">
        <v>1E-4</v>
      </c>
    </row>
    <row r="570" spans="1:7">
      <c r="A570">
        <v>201010</v>
      </c>
      <c r="B570">
        <v>3.8800000000000001E-2</v>
      </c>
      <c r="C570">
        <v>8.0000000000000002E-3</v>
      </c>
      <c r="D570">
        <v>-2.4199999999999999E-2</v>
      </c>
      <c r="E570">
        <v>1.1899999999999999E-2</v>
      </c>
      <c r="F570">
        <v>-2.7000000000000001E-3</v>
      </c>
      <c r="G570">
        <v>1E-4</v>
      </c>
    </row>
    <row r="571" spans="1:7">
      <c r="A571">
        <v>201011</v>
      </c>
      <c r="B571">
        <v>6.0000000000000001E-3</v>
      </c>
      <c r="C571">
        <v>3.6700000000000003E-2</v>
      </c>
      <c r="D571">
        <v>-9.5999999999999992E-3</v>
      </c>
      <c r="E571">
        <v>4.5999999999999999E-3</v>
      </c>
      <c r="F571">
        <v>1.5900000000000001E-2</v>
      </c>
      <c r="G571">
        <v>1E-4</v>
      </c>
    </row>
    <row r="572" spans="1:7">
      <c r="A572">
        <v>201012</v>
      </c>
      <c r="B572">
        <v>6.8200000000000011E-2</v>
      </c>
      <c r="C572">
        <v>1.0400000000000001E-2</v>
      </c>
      <c r="D572">
        <v>3.6900000000000002E-2</v>
      </c>
      <c r="E572">
        <v>-3.44E-2</v>
      </c>
      <c r="F572">
        <v>3.1699999999999999E-2</v>
      </c>
      <c r="G572">
        <v>1E-4</v>
      </c>
    </row>
    <row r="573" spans="1:7">
      <c r="A573">
        <v>201101</v>
      </c>
      <c r="B573">
        <v>1.9900000000000001E-2</v>
      </c>
      <c r="C573">
        <v>-2.4300000000000002E-2</v>
      </c>
      <c r="D573">
        <v>8.199999999999999E-3</v>
      </c>
      <c r="E573">
        <v>-7.6E-3</v>
      </c>
      <c r="F573">
        <v>8.3000000000000001E-3</v>
      </c>
      <c r="G573">
        <v>1E-4</v>
      </c>
    </row>
    <row r="574" spans="1:7">
      <c r="A574">
        <v>201102</v>
      </c>
      <c r="B574">
        <v>3.49E-2</v>
      </c>
      <c r="C574">
        <v>1.6500000000000001E-2</v>
      </c>
      <c r="D574">
        <v>1.2700000000000001E-2</v>
      </c>
      <c r="E574">
        <v>-1.9400000000000001E-2</v>
      </c>
      <c r="F574">
        <v>8.8000000000000005E-3</v>
      </c>
      <c r="G574">
        <v>1E-4</v>
      </c>
    </row>
    <row r="575" spans="1:7">
      <c r="A575">
        <v>201103</v>
      </c>
      <c r="B575">
        <v>4.5999999999999999E-3</v>
      </c>
      <c r="C575">
        <v>2.6200000000000001E-2</v>
      </c>
      <c r="D575">
        <v>-1.83E-2</v>
      </c>
      <c r="E575">
        <v>1.7600000000000001E-2</v>
      </c>
      <c r="F575">
        <v>-2.9999999999999997E-4</v>
      </c>
      <c r="G575">
        <v>1E-4</v>
      </c>
    </row>
    <row r="576" spans="1:7">
      <c r="A576">
        <v>201104</v>
      </c>
      <c r="B576">
        <v>2.8999999999999998E-2</v>
      </c>
      <c r="C576">
        <v>-5.5000000000000005E-3</v>
      </c>
      <c r="D576">
        <v>-2.4300000000000002E-2</v>
      </c>
      <c r="E576">
        <v>1.01E-2</v>
      </c>
      <c r="F576">
        <v>-8.0000000000000002E-3</v>
      </c>
      <c r="G576">
        <v>0</v>
      </c>
    </row>
    <row r="577" spans="1:7">
      <c r="A577">
        <v>201105</v>
      </c>
      <c r="B577">
        <v>-1.2700000000000001E-2</v>
      </c>
      <c r="C577">
        <v>-6.1999999999999998E-3</v>
      </c>
      <c r="D577">
        <v>-2.12E-2</v>
      </c>
      <c r="E577">
        <v>2.0800000000000003E-2</v>
      </c>
      <c r="F577">
        <v>-1.5800000000000002E-2</v>
      </c>
      <c r="G577">
        <v>0</v>
      </c>
    </row>
    <row r="578" spans="1:7">
      <c r="A578">
        <v>201106</v>
      </c>
      <c r="B578">
        <v>-1.7500000000000002E-2</v>
      </c>
      <c r="C578">
        <v>1.6000000000000001E-3</v>
      </c>
      <c r="D578">
        <v>-4.1999999999999997E-3</v>
      </c>
      <c r="E578">
        <v>2.4900000000000002E-2</v>
      </c>
      <c r="F578">
        <v>-1.5300000000000001E-2</v>
      </c>
      <c r="G578">
        <v>0</v>
      </c>
    </row>
    <row r="579" spans="1:7">
      <c r="A579">
        <v>201107</v>
      </c>
      <c r="B579">
        <v>-2.35E-2</v>
      </c>
      <c r="C579">
        <v>-1.2E-2</v>
      </c>
      <c r="D579">
        <v>-8.8999999999999999E-3</v>
      </c>
      <c r="E579">
        <v>2.6800000000000001E-2</v>
      </c>
      <c r="F579">
        <v>-1.8100000000000002E-2</v>
      </c>
      <c r="G579">
        <v>0</v>
      </c>
    </row>
    <row r="580" spans="1:7">
      <c r="A580">
        <v>201108</v>
      </c>
      <c r="B580">
        <v>-5.9900000000000002E-2</v>
      </c>
      <c r="C580">
        <v>-3.2000000000000001E-2</v>
      </c>
      <c r="D580">
        <v>-2.3599999999999999E-2</v>
      </c>
      <c r="E580">
        <v>3.3000000000000002E-2</v>
      </c>
      <c r="F580">
        <v>-3.8E-3</v>
      </c>
      <c r="G580">
        <v>1E-4</v>
      </c>
    </row>
    <row r="581" spans="1:7">
      <c r="A581">
        <v>201109</v>
      </c>
      <c r="B581">
        <v>-7.5899999999999995E-2</v>
      </c>
      <c r="C581">
        <v>-3.6600000000000001E-2</v>
      </c>
      <c r="D581">
        <v>-1.7299999999999999E-2</v>
      </c>
      <c r="E581">
        <v>2.0400000000000001E-2</v>
      </c>
      <c r="F581">
        <v>2.5000000000000001E-3</v>
      </c>
      <c r="G581">
        <v>0</v>
      </c>
    </row>
    <row r="582" spans="1:7">
      <c r="A582">
        <v>201110</v>
      </c>
      <c r="B582">
        <v>0.1135</v>
      </c>
      <c r="C582">
        <v>3.4599999999999999E-2</v>
      </c>
      <c r="D582">
        <v>1.1000000000000001E-3</v>
      </c>
      <c r="E582">
        <v>-2.1600000000000001E-2</v>
      </c>
      <c r="F582">
        <v>-8.6E-3</v>
      </c>
      <c r="G582">
        <v>0</v>
      </c>
    </row>
    <row r="583" spans="1:7">
      <c r="A583">
        <v>201111</v>
      </c>
      <c r="B583">
        <v>-2.8000000000000004E-3</v>
      </c>
      <c r="C583">
        <v>-2.8000000000000004E-3</v>
      </c>
      <c r="D583">
        <v>-4.5000000000000005E-3</v>
      </c>
      <c r="E583">
        <v>1.8600000000000002E-2</v>
      </c>
      <c r="F583">
        <v>1.49E-2</v>
      </c>
      <c r="G583">
        <v>0</v>
      </c>
    </row>
    <row r="584" spans="1:7">
      <c r="A584">
        <v>201112</v>
      </c>
      <c r="B584">
        <v>7.4000000000000003E-3</v>
      </c>
      <c r="C584">
        <v>-3.3000000000000004E-3</v>
      </c>
      <c r="D584">
        <v>1.6299999999999999E-2</v>
      </c>
      <c r="E584">
        <v>9.7999999999999997E-3</v>
      </c>
      <c r="F584">
        <v>2.52E-2</v>
      </c>
      <c r="G584">
        <v>0</v>
      </c>
    </row>
    <row r="585" spans="1:7">
      <c r="A585">
        <v>201201</v>
      </c>
      <c r="B585">
        <v>5.0499999999999996E-2</v>
      </c>
      <c r="C585">
        <v>2.06E-2</v>
      </c>
      <c r="D585">
        <v>-9.7000000000000003E-3</v>
      </c>
      <c r="E585">
        <v>-2.01E-2</v>
      </c>
      <c r="F585">
        <v>-1.44E-2</v>
      </c>
      <c r="G585">
        <v>0</v>
      </c>
    </row>
    <row r="586" spans="1:7">
      <c r="A586">
        <v>201202</v>
      </c>
      <c r="B586">
        <v>4.4200000000000003E-2</v>
      </c>
      <c r="C586">
        <v>-1.7100000000000001E-2</v>
      </c>
      <c r="D586">
        <v>4.3E-3</v>
      </c>
      <c r="E586">
        <v>-4.7999999999999996E-3</v>
      </c>
      <c r="F586">
        <v>-1E-4</v>
      </c>
      <c r="G586">
        <v>0</v>
      </c>
    </row>
    <row r="587" spans="1:7">
      <c r="A587">
        <v>201203</v>
      </c>
      <c r="B587">
        <v>3.1099999999999999E-2</v>
      </c>
      <c r="C587">
        <v>-4.7000000000000002E-3</v>
      </c>
      <c r="D587">
        <v>1.1399999999999999E-2</v>
      </c>
      <c r="E587">
        <v>-5.4000000000000003E-3</v>
      </c>
      <c r="F587">
        <v>7.4000000000000003E-3</v>
      </c>
      <c r="G587">
        <v>0</v>
      </c>
    </row>
    <row r="588" spans="1:7">
      <c r="A588">
        <v>201204</v>
      </c>
      <c r="B588">
        <v>-8.5000000000000006E-3</v>
      </c>
      <c r="C588">
        <v>-5.5000000000000005E-3</v>
      </c>
      <c r="D588">
        <v>-7.8000000000000005E-3</v>
      </c>
      <c r="E588">
        <v>1.3000000000000001E-2</v>
      </c>
      <c r="F588">
        <v>6.5000000000000006E-3</v>
      </c>
      <c r="G588">
        <v>0</v>
      </c>
    </row>
    <row r="589" spans="1:7">
      <c r="A589">
        <v>201205</v>
      </c>
      <c r="B589">
        <v>-6.1900000000000004E-2</v>
      </c>
      <c r="C589">
        <v>-1.1999999999999999E-3</v>
      </c>
      <c r="D589">
        <v>-1.0700000000000001E-2</v>
      </c>
      <c r="E589">
        <v>2.0800000000000003E-2</v>
      </c>
      <c r="F589">
        <v>2.3100000000000002E-2</v>
      </c>
      <c r="G589">
        <v>1E-4</v>
      </c>
    </row>
    <row r="590" spans="1:7">
      <c r="A590">
        <v>201206</v>
      </c>
      <c r="B590">
        <v>3.8900000000000004E-2</v>
      </c>
      <c r="C590">
        <v>8.3999999999999995E-3</v>
      </c>
      <c r="D590">
        <v>6.1999999999999998E-3</v>
      </c>
      <c r="E590">
        <v>-1.1000000000000001E-2</v>
      </c>
      <c r="F590">
        <v>4.5999999999999999E-3</v>
      </c>
      <c r="G590">
        <v>0</v>
      </c>
    </row>
    <row r="591" spans="1:7">
      <c r="A591">
        <v>201207</v>
      </c>
      <c r="B591">
        <v>7.9000000000000008E-3</v>
      </c>
      <c r="C591">
        <v>-2.7799999999999998E-2</v>
      </c>
      <c r="D591">
        <v>-2.0000000000000001E-4</v>
      </c>
      <c r="E591">
        <v>1.1000000000000001E-2</v>
      </c>
      <c r="F591">
        <v>5.0000000000000001E-4</v>
      </c>
      <c r="G591">
        <v>0</v>
      </c>
    </row>
    <row r="592" spans="1:7">
      <c r="A592">
        <v>201208</v>
      </c>
      <c r="B592">
        <v>2.5499999999999998E-2</v>
      </c>
      <c r="C592">
        <v>4.4000000000000003E-3</v>
      </c>
      <c r="D592">
        <v>1.3000000000000001E-2</v>
      </c>
      <c r="E592">
        <v>-1.3300000000000001E-2</v>
      </c>
      <c r="F592">
        <v>-8.3999999999999995E-3</v>
      </c>
      <c r="G592">
        <v>1E-4</v>
      </c>
    </row>
    <row r="593" spans="1:7">
      <c r="A593">
        <v>201209</v>
      </c>
      <c r="B593">
        <v>2.7300000000000001E-2</v>
      </c>
      <c r="C593">
        <v>6.1000000000000004E-3</v>
      </c>
      <c r="D593">
        <v>1.6E-2</v>
      </c>
      <c r="E593">
        <v>-1.49E-2</v>
      </c>
      <c r="F593">
        <v>1.54E-2</v>
      </c>
      <c r="G593">
        <v>1E-4</v>
      </c>
    </row>
    <row r="594" spans="1:7">
      <c r="A594">
        <v>201210</v>
      </c>
      <c r="B594">
        <v>-1.7600000000000001E-2</v>
      </c>
      <c r="C594">
        <v>-8.8999999999999999E-3</v>
      </c>
      <c r="D594">
        <v>3.5900000000000001E-2</v>
      </c>
      <c r="E594">
        <v>-1.34E-2</v>
      </c>
      <c r="F594">
        <v>2.5000000000000001E-2</v>
      </c>
      <c r="G594">
        <v>1E-4</v>
      </c>
    </row>
    <row r="595" spans="1:7">
      <c r="A595">
        <v>201211</v>
      </c>
      <c r="B595">
        <v>7.8000000000000005E-3</v>
      </c>
      <c r="C595">
        <v>4.5999999999999999E-3</v>
      </c>
      <c r="D595">
        <v>-8.3999999999999995E-3</v>
      </c>
      <c r="E595">
        <v>6.1000000000000004E-3</v>
      </c>
      <c r="F595">
        <v>8.5000000000000006E-3</v>
      </c>
      <c r="G595">
        <v>1E-4</v>
      </c>
    </row>
    <row r="596" spans="1:7">
      <c r="A596">
        <v>201212</v>
      </c>
      <c r="B596">
        <v>1.18E-2</v>
      </c>
      <c r="C596">
        <v>1.89E-2</v>
      </c>
      <c r="D596">
        <v>3.5099999999999999E-2</v>
      </c>
      <c r="E596">
        <v>-1.8500000000000003E-2</v>
      </c>
      <c r="F596">
        <v>9.1000000000000004E-3</v>
      </c>
      <c r="G596">
        <v>1E-4</v>
      </c>
    </row>
    <row r="597" spans="1:7">
      <c r="A597">
        <v>201301</v>
      </c>
      <c r="B597">
        <v>5.5700000000000006E-2</v>
      </c>
      <c r="C597">
        <v>4.7999999999999996E-3</v>
      </c>
      <c r="D597">
        <v>9.5999999999999992E-3</v>
      </c>
      <c r="E597">
        <v>-1.9300000000000001E-2</v>
      </c>
      <c r="F597">
        <v>1.41E-2</v>
      </c>
      <c r="G597">
        <v>0</v>
      </c>
    </row>
    <row r="598" spans="1:7">
      <c r="A598">
        <v>201302</v>
      </c>
      <c r="B598">
        <v>1.29E-2</v>
      </c>
      <c r="C598">
        <v>-2.5000000000000001E-3</v>
      </c>
      <c r="D598">
        <v>1.1000000000000001E-3</v>
      </c>
      <c r="E598">
        <v>-6.7000000000000002E-3</v>
      </c>
      <c r="F598">
        <v>5.2000000000000006E-3</v>
      </c>
      <c r="G598">
        <v>0</v>
      </c>
    </row>
    <row r="599" spans="1:7">
      <c r="A599">
        <v>201303</v>
      </c>
      <c r="B599">
        <v>4.0300000000000002E-2</v>
      </c>
      <c r="C599">
        <v>8.5000000000000006E-3</v>
      </c>
      <c r="D599">
        <v>-1.9E-3</v>
      </c>
      <c r="E599">
        <v>1.3000000000000002E-3</v>
      </c>
      <c r="F599">
        <v>1.38E-2</v>
      </c>
      <c r="G599">
        <v>0</v>
      </c>
    </row>
    <row r="600" spans="1:7">
      <c r="A600">
        <v>201304</v>
      </c>
      <c r="B600">
        <v>1.5500000000000002E-2</v>
      </c>
      <c r="C600">
        <v>-2.2499999999999999E-2</v>
      </c>
      <c r="D600">
        <v>4.5000000000000005E-3</v>
      </c>
      <c r="E600">
        <v>2.7000000000000001E-3</v>
      </c>
      <c r="F600">
        <v>3.8E-3</v>
      </c>
      <c r="G600">
        <v>0</v>
      </c>
    </row>
    <row r="601" spans="1:7">
      <c r="A601">
        <v>201305</v>
      </c>
      <c r="B601">
        <v>2.7999999999999997E-2</v>
      </c>
      <c r="C601">
        <v>2.06E-2</v>
      </c>
      <c r="D601">
        <v>2.63E-2</v>
      </c>
      <c r="E601">
        <v>-1.9699999999999999E-2</v>
      </c>
      <c r="F601">
        <v>-8.6999999999999994E-3</v>
      </c>
      <c r="G601">
        <v>0</v>
      </c>
    </row>
    <row r="602" spans="1:7">
      <c r="A602">
        <v>201306</v>
      </c>
      <c r="B602">
        <v>-1.2E-2</v>
      </c>
      <c r="C602">
        <v>1.5600000000000001E-2</v>
      </c>
      <c r="D602">
        <v>2.9999999999999997E-4</v>
      </c>
      <c r="E602">
        <v>-3.7000000000000002E-3</v>
      </c>
      <c r="F602">
        <v>0</v>
      </c>
      <c r="G602">
        <v>0</v>
      </c>
    </row>
    <row r="603" spans="1:7">
      <c r="A603">
        <v>201307</v>
      </c>
      <c r="B603">
        <v>5.6500000000000002E-2</v>
      </c>
      <c r="C603">
        <v>1.8100000000000002E-2</v>
      </c>
      <c r="D603">
        <v>5.6999999999999993E-3</v>
      </c>
      <c r="E603">
        <v>-1.3500000000000002E-2</v>
      </c>
      <c r="F603">
        <v>5.0000000000000001E-3</v>
      </c>
      <c r="G603">
        <v>0</v>
      </c>
    </row>
    <row r="604" spans="1:7">
      <c r="A604">
        <v>201308</v>
      </c>
      <c r="B604">
        <v>-2.7099999999999999E-2</v>
      </c>
      <c r="C604">
        <v>-5.9999999999999995E-4</v>
      </c>
      <c r="D604">
        <v>-2.69E-2</v>
      </c>
      <c r="E604">
        <v>6.6000000000000008E-3</v>
      </c>
      <c r="F604">
        <v>-2.1600000000000001E-2</v>
      </c>
      <c r="G604">
        <v>0</v>
      </c>
    </row>
    <row r="605" spans="1:7">
      <c r="A605">
        <v>201309</v>
      </c>
      <c r="B605">
        <v>3.7700000000000004E-2</v>
      </c>
      <c r="C605">
        <v>2.63E-2</v>
      </c>
      <c r="D605">
        <v>-1.2200000000000001E-2</v>
      </c>
      <c r="E605">
        <v>-5.6999999999999993E-3</v>
      </c>
      <c r="F605">
        <v>-1.3500000000000002E-2</v>
      </c>
      <c r="G605">
        <v>0</v>
      </c>
    </row>
    <row r="606" spans="1:7">
      <c r="A606">
        <v>201310</v>
      </c>
      <c r="B606">
        <v>4.1799999999999997E-2</v>
      </c>
      <c r="C606">
        <v>-1.4800000000000001E-2</v>
      </c>
      <c r="D606">
        <v>1.2500000000000001E-2</v>
      </c>
      <c r="E606">
        <v>2.7700000000000002E-2</v>
      </c>
      <c r="F606">
        <v>8.6999999999999994E-3</v>
      </c>
      <c r="G606">
        <v>0</v>
      </c>
    </row>
    <row r="607" spans="1:7">
      <c r="A607">
        <v>201311</v>
      </c>
      <c r="B607">
        <v>3.1300000000000001E-2</v>
      </c>
      <c r="C607">
        <v>1.41E-2</v>
      </c>
      <c r="D607">
        <v>3.2000000000000002E-3</v>
      </c>
      <c r="E607">
        <v>1.4000000000000002E-3</v>
      </c>
      <c r="F607">
        <v>4.0000000000000002E-4</v>
      </c>
      <c r="G607">
        <v>0</v>
      </c>
    </row>
    <row r="608" spans="1:7">
      <c r="A608">
        <v>201312</v>
      </c>
      <c r="B608">
        <v>2.81E-2</v>
      </c>
      <c r="C608">
        <v>-4.5000000000000005E-3</v>
      </c>
      <c r="D608">
        <v>-2.0000000000000001E-4</v>
      </c>
      <c r="E608">
        <v>-4.5000000000000005E-3</v>
      </c>
      <c r="F608">
        <v>1E-3</v>
      </c>
      <c r="G608">
        <v>0</v>
      </c>
    </row>
    <row r="609" spans="1:7">
      <c r="A609">
        <v>201401</v>
      </c>
      <c r="B609">
        <v>-3.32E-2</v>
      </c>
      <c r="C609">
        <v>5.7999999999999996E-3</v>
      </c>
      <c r="D609">
        <v>-2.07E-2</v>
      </c>
      <c r="E609">
        <v>-3.8700000000000005E-2</v>
      </c>
      <c r="F609">
        <v>-1.43E-2</v>
      </c>
      <c r="G609">
        <v>0</v>
      </c>
    </row>
    <row r="610" spans="1:7">
      <c r="A610">
        <v>201402</v>
      </c>
      <c r="B610">
        <v>4.6500000000000007E-2</v>
      </c>
      <c r="C610">
        <v>1.3000000000000002E-3</v>
      </c>
      <c r="D610">
        <v>-3.0999999999999999E-3</v>
      </c>
      <c r="E610">
        <v>-2.0999999999999999E-3</v>
      </c>
      <c r="F610">
        <v>-4.4000000000000003E-3</v>
      </c>
      <c r="G610">
        <v>0</v>
      </c>
    </row>
    <row r="611" spans="1:7">
      <c r="A611">
        <v>201403</v>
      </c>
      <c r="B611">
        <v>4.3E-3</v>
      </c>
      <c r="C611">
        <v>-1.0800000000000001E-2</v>
      </c>
      <c r="D611">
        <v>4.9299999999999997E-2</v>
      </c>
      <c r="E611">
        <v>2.1299999999999999E-2</v>
      </c>
      <c r="F611">
        <v>1.9199999999999998E-2</v>
      </c>
      <c r="G611">
        <v>0</v>
      </c>
    </row>
    <row r="612" spans="1:7">
      <c r="A612">
        <v>201404</v>
      </c>
      <c r="B612">
        <v>-1.9E-3</v>
      </c>
      <c r="C612">
        <v>-4.1100000000000005E-2</v>
      </c>
      <c r="D612">
        <v>1.17E-2</v>
      </c>
      <c r="E612">
        <v>3.4700000000000002E-2</v>
      </c>
      <c r="F612">
        <v>0.01</v>
      </c>
      <c r="G612">
        <v>0</v>
      </c>
    </row>
    <row r="613" spans="1:7">
      <c r="A613">
        <v>201405</v>
      </c>
      <c r="B613">
        <v>2.06E-2</v>
      </c>
      <c r="C613">
        <v>-1.89E-2</v>
      </c>
      <c r="D613">
        <v>-1.3000000000000002E-3</v>
      </c>
      <c r="E613">
        <v>5.9999999999999995E-4</v>
      </c>
      <c r="F613">
        <v>-0.01</v>
      </c>
      <c r="G613">
        <v>0</v>
      </c>
    </row>
    <row r="614" spans="1:7">
      <c r="A614">
        <v>201406</v>
      </c>
      <c r="B614">
        <v>2.6099999999999998E-2</v>
      </c>
      <c r="C614">
        <v>3.1000000000000003E-2</v>
      </c>
      <c r="D614">
        <v>-6.9999999999999993E-3</v>
      </c>
      <c r="E614">
        <v>-1.8800000000000001E-2</v>
      </c>
      <c r="F614">
        <v>-0.02</v>
      </c>
      <c r="G614">
        <v>0</v>
      </c>
    </row>
    <row r="615" spans="1:7">
      <c r="A615">
        <v>201407</v>
      </c>
      <c r="B615">
        <v>-2.0400000000000001E-2</v>
      </c>
      <c r="C615">
        <v>-4.2999999999999997E-2</v>
      </c>
      <c r="D615">
        <v>4.0000000000000002E-4</v>
      </c>
      <c r="E615">
        <v>9.0000000000000011E-3</v>
      </c>
      <c r="F615">
        <v>5.3E-3</v>
      </c>
      <c r="G615">
        <v>0</v>
      </c>
    </row>
    <row r="616" spans="1:7">
      <c r="A616">
        <v>201408</v>
      </c>
      <c r="B616">
        <v>4.24E-2</v>
      </c>
      <c r="C616">
        <v>3.0999999999999999E-3</v>
      </c>
      <c r="D616">
        <v>-4.5000000000000005E-3</v>
      </c>
      <c r="E616">
        <v>-6.4000000000000003E-3</v>
      </c>
      <c r="F616">
        <v>-6.8999999999999999E-3</v>
      </c>
      <c r="G616">
        <v>0</v>
      </c>
    </row>
    <row r="617" spans="1:7">
      <c r="A617">
        <v>201409</v>
      </c>
      <c r="B617">
        <v>-1.9699999999999999E-2</v>
      </c>
      <c r="C617">
        <v>-3.7100000000000001E-2</v>
      </c>
      <c r="D617">
        <v>-1.3500000000000002E-2</v>
      </c>
      <c r="E617">
        <v>1.29E-2</v>
      </c>
      <c r="F617">
        <v>-5.2000000000000006E-3</v>
      </c>
      <c r="G617">
        <v>0</v>
      </c>
    </row>
    <row r="618" spans="1:7">
      <c r="A618">
        <v>201410</v>
      </c>
      <c r="B618">
        <v>2.52E-2</v>
      </c>
      <c r="C618">
        <v>3.73E-2</v>
      </c>
      <c r="D618">
        <v>-1.8000000000000002E-2</v>
      </c>
      <c r="E618">
        <v>-5.6000000000000008E-3</v>
      </c>
      <c r="F618">
        <v>-1E-3</v>
      </c>
      <c r="G618">
        <v>0</v>
      </c>
    </row>
    <row r="619" spans="1:7">
      <c r="A619">
        <v>201411</v>
      </c>
      <c r="B619">
        <v>2.5499999999999998E-2</v>
      </c>
      <c r="C619">
        <v>-2.2799999999999997E-2</v>
      </c>
      <c r="D619">
        <v>-3.1000000000000003E-2</v>
      </c>
      <c r="E619">
        <v>1.4999999999999999E-2</v>
      </c>
      <c r="F619">
        <v>2.6000000000000003E-3</v>
      </c>
      <c r="G619">
        <v>0</v>
      </c>
    </row>
    <row r="620" spans="1:7">
      <c r="A620">
        <v>201412</v>
      </c>
      <c r="B620">
        <v>-5.9999999999999995E-4</v>
      </c>
      <c r="C620">
        <v>2.86E-2</v>
      </c>
      <c r="D620">
        <v>2.2700000000000001E-2</v>
      </c>
      <c r="E620">
        <v>-1.2200000000000001E-2</v>
      </c>
      <c r="F620">
        <v>9.5999999999999992E-3</v>
      </c>
      <c r="G620">
        <v>0</v>
      </c>
    </row>
    <row r="621" spans="1:7">
      <c r="A621">
        <v>201501</v>
      </c>
      <c r="B621">
        <v>-3.1099999999999999E-2</v>
      </c>
      <c r="C621">
        <v>-9.1999999999999998E-3</v>
      </c>
      <c r="D621">
        <v>-3.5900000000000001E-2</v>
      </c>
      <c r="E621">
        <v>1.61E-2</v>
      </c>
      <c r="F621">
        <v>-1.6500000000000001E-2</v>
      </c>
      <c r="G621">
        <v>0</v>
      </c>
    </row>
    <row r="622" spans="1:7">
      <c r="A622">
        <v>201502</v>
      </c>
      <c r="B622">
        <v>6.13E-2</v>
      </c>
      <c r="C622">
        <v>3.2000000000000002E-3</v>
      </c>
      <c r="D622">
        <v>-1.8600000000000002E-2</v>
      </c>
      <c r="E622">
        <v>-1.1200000000000002E-2</v>
      </c>
      <c r="F622">
        <v>-1.8200000000000001E-2</v>
      </c>
      <c r="G622">
        <v>0</v>
      </c>
    </row>
    <row r="623" spans="1:7">
      <c r="A623">
        <v>201503</v>
      </c>
      <c r="B623">
        <v>-1.1200000000000002E-2</v>
      </c>
      <c r="C623">
        <v>3.0699999999999998E-2</v>
      </c>
      <c r="D623">
        <v>-3.8E-3</v>
      </c>
      <c r="E623">
        <v>8.9999999999999998E-4</v>
      </c>
      <c r="F623">
        <v>-5.2000000000000006E-3</v>
      </c>
      <c r="G623">
        <v>0</v>
      </c>
    </row>
    <row r="624" spans="1:7">
      <c r="A624">
        <v>201504</v>
      </c>
      <c r="B624">
        <v>5.8999999999999999E-3</v>
      </c>
      <c r="C624">
        <v>-3.09E-2</v>
      </c>
      <c r="D624">
        <v>1.8200000000000001E-2</v>
      </c>
      <c r="E624">
        <v>5.9999999999999995E-4</v>
      </c>
      <c r="F624">
        <v>-6.1000000000000004E-3</v>
      </c>
      <c r="G624">
        <v>0</v>
      </c>
    </row>
    <row r="625" spans="1:7">
      <c r="A625">
        <v>201505</v>
      </c>
      <c r="B625">
        <v>1.3600000000000001E-2</v>
      </c>
      <c r="C625">
        <v>8.3999999999999995E-3</v>
      </c>
      <c r="D625">
        <v>-1.15E-2</v>
      </c>
      <c r="E625">
        <v>-1.8000000000000002E-2</v>
      </c>
      <c r="F625">
        <v>-7.4999999999999997E-3</v>
      </c>
      <c r="G625">
        <v>0</v>
      </c>
    </row>
    <row r="626" spans="1:7">
      <c r="A626">
        <v>201506</v>
      </c>
      <c r="B626">
        <v>-1.5300000000000001E-2</v>
      </c>
      <c r="C626">
        <v>2.8999999999999998E-2</v>
      </c>
      <c r="D626">
        <v>-7.9000000000000008E-3</v>
      </c>
      <c r="E626">
        <v>4.4000000000000003E-3</v>
      </c>
      <c r="F626">
        <v>-1.5800000000000002E-2</v>
      </c>
      <c r="G626">
        <v>0</v>
      </c>
    </row>
    <row r="627" spans="1:7">
      <c r="A627">
        <v>201507</v>
      </c>
      <c r="B627">
        <v>1.54E-2</v>
      </c>
      <c r="C627">
        <v>-4.5499999999999999E-2</v>
      </c>
      <c r="D627">
        <v>-4.1299999999999996E-2</v>
      </c>
      <c r="E627">
        <v>3.0000000000000001E-3</v>
      </c>
      <c r="F627">
        <v>-2.4199999999999999E-2</v>
      </c>
      <c r="G627">
        <v>0</v>
      </c>
    </row>
    <row r="628" spans="1:7">
      <c r="A628">
        <v>201508</v>
      </c>
      <c r="B628">
        <v>-6.0400000000000002E-2</v>
      </c>
      <c r="C628">
        <v>2.5000000000000001E-3</v>
      </c>
      <c r="D628">
        <v>2.7700000000000002E-2</v>
      </c>
      <c r="E628">
        <v>6.8000000000000005E-3</v>
      </c>
      <c r="F628">
        <v>1.1899999999999999E-2</v>
      </c>
      <c r="G628">
        <v>0</v>
      </c>
    </row>
    <row r="629" spans="1:7">
      <c r="A629">
        <v>201509</v>
      </c>
      <c r="B629">
        <v>-3.0699999999999998E-2</v>
      </c>
      <c r="C629">
        <v>-2.7900000000000001E-2</v>
      </c>
      <c r="D629">
        <v>5.6000000000000008E-3</v>
      </c>
      <c r="E629">
        <v>1.77E-2</v>
      </c>
      <c r="F629">
        <v>-5.7999999999999996E-3</v>
      </c>
      <c r="G629">
        <v>0</v>
      </c>
    </row>
    <row r="630" spans="1:7">
      <c r="A630">
        <v>201510</v>
      </c>
      <c r="B630">
        <v>7.7499999999999999E-2</v>
      </c>
      <c r="C630">
        <v>-2.0800000000000003E-2</v>
      </c>
      <c r="D630">
        <v>-4.5999999999999999E-3</v>
      </c>
      <c r="E630">
        <v>9.0000000000000011E-3</v>
      </c>
      <c r="F630">
        <v>5.3E-3</v>
      </c>
      <c r="G630">
        <v>0</v>
      </c>
    </row>
    <row r="631" spans="1:7">
      <c r="A631">
        <v>201511</v>
      </c>
      <c r="B631">
        <v>5.6999999999999993E-3</v>
      </c>
      <c r="C631">
        <v>3.3000000000000002E-2</v>
      </c>
      <c r="D631">
        <v>-4.1999999999999997E-3</v>
      </c>
      <c r="E631">
        <v>-2.7400000000000004E-2</v>
      </c>
      <c r="F631">
        <v>-0.01</v>
      </c>
      <c r="G631">
        <v>0</v>
      </c>
    </row>
    <row r="632" spans="1:7">
      <c r="A632">
        <v>201512</v>
      </c>
      <c r="B632">
        <v>-2.1700000000000001E-2</v>
      </c>
      <c r="C632">
        <v>-0.03</v>
      </c>
      <c r="D632">
        <v>-2.6099999999999998E-2</v>
      </c>
      <c r="E632">
        <v>5.0000000000000001E-3</v>
      </c>
      <c r="F632">
        <v>-1E-4</v>
      </c>
      <c r="G632">
        <v>1E-4</v>
      </c>
    </row>
    <row r="633" spans="1:7">
      <c r="A633">
        <v>201601</v>
      </c>
      <c r="B633">
        <v>-5.7699999999999994E-2</v>
      </c>
      <c r="C633">
        <v>-3.4700000000000002E-2</v>
      </c>
      <c r="D633">
        <v>2.0899999999999998E-2</v>
      </c>
      <c r="E633">
        <v>2.81E-2</v>
      </c>
      <c r="F633">
        <v>3.0699999999999998E-2</v>
      </c>
      <c r="G633">
        <v>1E-4</v>
      </c>
    </row>
    <row r="634" spans="1:7">
      <c r="A634">
        <v>201602</v>
      </c>
      <c r="B634">
        <v>-7.000000000000001E-4</v>
      </c>
      <c r="C634">
        <v>8.8000000000000005E-3</v>
      </c>
      <c r="D634">
        <v>-5.6999999999999993E-3</v>
      </c>
      <c r="E634">
        <v>3.2500000000000001E-2</v>
      </c>
      <c r="F634">
        <v>2.0199999999999999E-2</v>
      </c>
      <c r="G634">
        <v>2.0000000000000001E-4</v>
      </c>
    </row>
    <row r="635" spans="1:7">
      <c r="A635">
        <v>201603</v>
      </c>
      <c r="B635">
        <v>6.9599999999999995E-2</v>
      </c>
      <c r="C635">
        <v>1.0700000000000001E-2</v>
      </c>
      <c r="D635">
        <v>1.1899999999999999E-2</v>
      </c>
      <c r="E635">
        <v>7.7000000000000002E-3</v>
      </c>
      <c r="F635">
        <v>-8.0000000000000004E-4</v>
      </c>
      <c r="G635">
        <v>2.0000000000000001E-4</v>
      </c>
    </row>
    <row r="636" spans="1:7">
      <c r="A636">
        <v>201604</v>
      </c>
      <c r="B636">
        <v>9.1000000000000004E-3</v>
      </c>
      <c r="C636">
        <v>1.23E-2</v>
      </c>
      <c r="D636">
        <v>3.2799999999999996E-2</v>
      </c>
      <c r="E636">
        <v>-2.9700000000000004E-2</v>
      </c>
      <c r="F636">
        <v>1.9E-2</v>
      </c>
      <c r="G636">
        <v>1E-4</v>
      </c>
    </row>
    <row r="637" spans="1:7">
      <c r="A637">
        <v>201605</v>
      </c>
      <c r="B637">
        <v>1.78E-2</v>
      </c>
      <c r="C637">
        <v>-6.1000000000000004E-3</v>
      </c>
      <c r="D637">
        <v>-1.66E-2</v>
      </c>
      <c r="E637">
        <v>-1.0900000000000002E-2</v>
      </c>
      <c r="F637">
        <v>-2.4900000000000002E-2</v>
      </c>
      <c r="G637">
        <v>1E-4</v>
      </c>
    </row>
    <row r="638" spans="1:7">
      <c r="A638">
        <v>201606</v>
      </c>
      <c r="B638">
        <v>-5.0000000000000001E-4</v>
      </c>
      <c r="C638">
        <v>4.5000000000000005E-3</v>
      </c>
      <c r="D638">
        <v>-1.4800000000000001E-2</v>
      </c>
      <c r="E638">
        <v>1.41E-2</v>
      </c>
      <c r="F638">
        <v>1.9400000000000001E-2</v>
      </c>
      <c r="G638">
        <v>2.0000000000000001E-4</v>
      </c>
    </row>
    <row r="639" spans="1:7">
      <c r="A639">
        <v>201607</v>
      </c>
      <c r="B639">
        <v>3.95E-2</v>
      </c>
      <c r="C639">
        <v>2.4799999999999999E-2</v>
      </c>
      <c r="D639">
        <v>-1.3200000000000002E-2</v>
      </c>
      <c r="E639">
        <v>1.2500000000000001E-2</v>
      </c>
      <c r="F639">
        <v>-1.18E-2</v>
      </c>
      <c r="G639">
        <v>2.0000000000000001E-4</v>
      </c>
    </row>
    <row r="640" spans="1:7">
      <c r="A640">
        <v>201608</v>
      </c>
      <c r="B640">
        <v>4.8999999999999998E-3</v>
      </c>
      <c r="C640">
        <v>1.6899999999999998E-2</v>
      </c>
      <c r="D640">
        <v>3.1800000000000002E-2</v>
      </c>
      <c r="E640">
        <v>-1.8500000000000003E-2</v>
      </c>
      <c r="F640">
        <v>-3.4000000000000002E-3</v>
      </c>
      <c r="G640">
        <v>2.0000000000000001E-4</v>
      </c>
    </row>
    <row r="641" spans="1:7">
      <c r="A641">
        <v>201609</v>
      </c>
      <c r="B641">
        <v>2.5000000000000001E-3</v>
      </c>
      <c r="C641">
        <v>1.8600000000000002E-2</v>
      </c>
      <c r="D641">
        <v>-1.24E-2</v>
      </c>
      <c r="E641">
        <v>-2.2100000000000002E-2</v>
      </c>
      <c r="F641">
        <v>2.0000000000000001E-4</v>
      </c>
      <c r="G641">
        <v>2.0000000000000001E-4</v>
      </c>
    </row>
    <row r="642" spans="1:7">
      <c r="A642">
        <v>201610</v>
      </c>
      <c r="B642">
        <v>-2.0199999999999999E-2</v>
      </c>
      <c r="C642">
        <v>-4.0300000000000002E-2</v>
      </c>
      <c r="D642">
        <v>4.0899999999999999E-2</v>
      </c>
      <c r="E642">
        <v>9.300000000000001E-3</v>
      </c>
      <c r="F642">
        <v>2.7000000000000001E-3</v>
      </c>
      <c r="G642">
        <v>2.0000000000000001E-4</v>
      </c>
    </row>
    <row r="643" spans="1:7">
      <c r="A643">
        <v>201611</v>
      </c>
      <c r="B643">
        <v>4.8600000000000004E-2</v>
      </c>
      <c r="C643">
        <v>7.0699999999999999E-2</v>
      </c>
      <c r="D643">
        <v>8.2100000000000006E-2</v>
      </c>
      <c r="E643">
        <v>-1.8E-3</v>
      </c>
      <c r="F643">
        <v>3.6900000000000002E-2</v>
      </c>
      <c r="G643">
        <v>1E-4</v>
      </c>
    </row>
    <row r="644" spans="1:7">
      <c r="A644">
        <v>201612</v>
      </c>
      <c r="B644">
        <v>1.8200000000000001E-2</v>
      </c>
      <c r="C644">
        <v>4.0999999999999995E-3</v>
      </c>
      <c r="D644">
        <v>3.5299999999999998E-2</v>
      </c>
      <c r="E644">
        <v>1.2200000000000001E-2</v>
      </c>
      <c r="F644">
        <v>-2.3999999999999998E-3</v>
      </c>
      <c r="G644">
        <v>2.9999999999999997E-4</v>
      </c>
    </row>
    <row r="645" spans="1:7">
      <c r="A645">
        <v>201701</v>
      </c>
      <c r="B645">
        <v>1.9400000000000001E-2</v>
      </c>
      <c r="C645">
        <v>-1.4499999999999999E-2</v>
      </c>
      <c r="D645">
        <v>-2.75E-2</v>
      </c>
      <c r="E645">
        <v>-5.0000000000000001E-3</v>
      </c>
      <c r="F645">
        <v>-9.9000000000000008E-3</v>
      </c>
      <c r="G645">
        <v>4.0000000000000002E-4</v>
      </c>
    </row>
    <row r="646" spans="1:7">
      <c r="A646">
        <v>201702</v>
      </c>
      <c r="B646">
        <v>3.5700000000000003E-2</v>
      </c>
      <c r="C646">
        <v>-2.2200000000000001E-2</v>
      </c>
      <c r="D646">
        <v>-1.67E-2</v>
      </c>
      <c r="E646">
        <v>4.7000000000000002E-3</v>
      </c>
      <c r="F646">
        <v>-1.83E-2</v>
      </c>
      <c r="G646">
        <v>4.0000000000000002E-4</v>
      </c>
    </row>
    <row r="647" spans="1:7">
      <c r="A647">
        <v>201703</v>
      </c>
      <c r="B647">
        <v>1.7000000000000001E-3</v>
      </c>
      <c r="C647">
        <v>7.4000000000000003E-3</v>
      </c>
      <c r="D647">
        <v>-3.3500000000000002E-2</v>
      </c>
      <c r="E647">
        <v>6.1000000000000004E-3</v>
      </c>
      <c r="F647">
        <v>-9.4999999999999998E-3</v>
      </c>
      <c r="G647">
        <v>2.9999999999999997E-4</v>
      </c>
    </row>
    <row r="648" spans="1:7">
      <c r="A648">
        <v>201704</v>
      </c>
      <c r="B648">
        <v>1.0900000000000002E-2</v>
      </c>
      <c r="C648">
        <v>4.7999999999999996E-3</v>
      </c>
      <c r="D648">
        <v>-2.1299999999999999E-2</v>
      </c>
      <c r="E648">
        <v>1.9E-2</v>
      </c>
      <c r="F648">
        <v>-1.6E-2</v>
      </c>
      <c r="G648">
        <v>5.0000000000000001E-4</v>
      </c>
    </row>
    <row r="649" spans="1:7">
      <c r="A649">
        <v>201705</v>
      </c>
      <c r="B649">
        <v>1.06E-2</v>
      </c>
      <c r="C649">
        <v>-3.0600000000000002E-2</v>
      </c>
      <c r="D649">
        <v>-3.78E-2</v>
      </c>
      <c r="E649">
        <v>9.4999999999999998E-3</v>
      </c>
      <c r="F649">
        <v>-1.7899999999999999E-2</v>
      </c>
      <c r="G649">
        <v>5.9999999999999995E-4</v>
      </c>
    </row>
    <row r="650" spans="1:7">
      <c r="A650">
        <v>201706</v>
      </c>
      <c r="B650">
        <v>7.8000000000000005E-3</v>
      </c>
      <c r="C650">
        <v>2.58E-2</v>
      </c>
      <c r="D650">
        <v>1.4800000000000001E-2</v>
      </c>
      <c r="E650">
        <v>-2.2200000000000001E-2</v>
      </c>
      <c r="F650">
        <v>0</v>
      </c>
      <c r="G650">
        <v>5.9999999999999995E-4</v>
      </c>
    </row>
    <row r="651" spans="1:7">
      <c r="A651">
        <v>201707</v>
      </c>
      <c r="B651">
        <v>1.8700000000000001E-2</v>
      </c>
      <c r="C651">
        <v>-1.6899999999999998E-2</v>
      </c>
      <c r="D651">
        <v>-3.0999999999999999E-3</v>
      </c>
      <c r="E651">
        <v>-6.7000000000000002E-3</v>
      </c>
      <c r="F651">
        <v>-2E-3</v>
      </c>
      <c r="G651">
        <v>7.000000000000001E-4</v>
      </c>
    </row>
    <row r="652" spans="1:7">
      <c r="A652">
        <v>201708</v>
      </c>
      <c r="B652">
        <v>1.6000000000000001E-3</v>
      </c>
      <c r="C652">
        <v>-1.83E-2</v>
      </c>
      <c r="D652">
        <v>-2.1000000000000001E-2</v>
      </c>
      <c r="E652">
        <v>1.5E-3</v>
      </c>
      <c r="F652">
        <v>-2.3799999999999998E-2</v>
      </c>
      <c r="G652">
        <v>8.9999999999999998E-4</v>
      </c>
    </row>
    <row r="653" spans="1:7">
      <c r="A653">
        <v>201709</v>
      </c>
      <c r="B653">
        <v>2.5099999999999997E-2</v>
      </c>
      <c r="C653">
        <v>4.7699999999999999E-2</v>
      </c>
      <c r="D653">
        <v>3.1200000000000002E-2</v>
      </c>
      <c r="E653">
        <v>-1.4999999999999999E-2</v>
      </c>
      <c r="F653">
        <v>1.7100000000000001E-2</v>
      </c>
      <c r="G653">
        <v>8.9999999999999998E-4</v>
      </c>
    </row>
    <row r="654" spans="1:7">
      <c r="A654">
        <v>201710</v>
      </c>
      <c r="B654">
        <v>2.2499999999999999E-2</v>
      </c>
      <c r="C654">
        <v>-1.9400000000000001E-2</v>
      </c>
      <c r="D654">
        <v>1.9E-3</v>
      </c>
      <c r="E654">
        <v>9.1000000000000004E-3</v>
      </c>
      <c r="F654">
        <v>-3.2599999999999997E-2</v>
      </c>
      <c r="G654">
        <v>8.9999999999999998E-4</v>
      </c>
    </row>
    <row r="655" spans="1:7">
      <c r="A655">
        <v>201711</v>
      </c>
      <c r="B655">
        <v>3.1200000000000002E-2</v>
      </c>
      <c r="C655">
        <v>-3.2000000000000002E-3</v>
      </c>
      <c r="D655">
        <v>-2.9999999999999997E-4</v>
      </c>
      <c r="E655">
        <v>3.1899999999999998E-2</v>
      </c>
      <c r="F655">
        <v>-5.9999999999999995E-4</v>
      </c>
      <c r="G655">
        <v>8.0000000000000004E-4</v>
      </c>
    </row>
    <row r="656" spans="1:7">
      <c r="A656">
        <v>201712</v>
      </c>
      <c r="B656">
        <v>1.06E-2</v>
      </c>
      <c r="C656">
        <v>-1.06E-2</v>
      </c>
      <c r="D656">
        <v>5.9999999999999995E-4</v>
      </c>
      <c r="E656">
        <v>7.4999999999999997E-3</v>
      </c>
      <c r="F656">
        <v>1.7000000000000001E-2</v>
      </c>
      <c r="G656">
        <v>8.9999999999999998E-4</v>
      </c>
    </row>
    <row r="657" spans="1:7">
      <c r="A657">
        <v>201801</v>
      </c>
      <c r="B657">
        <v>5.5700000000000006E-2</v>
      </c>
      <c r="C657">
        <v>-3.1699999999999999E-2</v>
      </c>
      <c r="D657">
        <v>-1.2800000000000001E-2</v>
      </c>
      <c r="E657">
        <v>-7.4999999999999997E-3</v>
      </c>
      <c r="F657">
        <v>-9.1000000000000004E-3</v>
      </c>
      <c r="G657">
        <v>1.1999999999999999E-3</v>
      </c>
    </row>
    <row r="658" spans="1:7">
      <c r="A658">
        <v>201802</v>
      </c>
      <c r="B658">
        <v>-3.6499999999999998E-2</v>
      </c>
      <c r="C658">
        <v>3.2000000000000002E-3</v>
      </c>
      <c r="D658">
        <v>-1.0400000000000001E-2</v>
      </c>
      <c r="E658">
        <v>4.7999999999999996E-3</v>
      </c>
      <c r="F658">
        <v>-2.2799999999999997E-2</v>
      </c>
      <c r="G658">
        <v>1.1000000000000001E-3</v>
      </c>
    </row>
    <row r="659" spans="1:7">
      <c r="A659">
        <v>201803</v>
      </c>
      <c r="B659">
        <v>-2.35E-2</v>
      </c>
      <c r="C659">
        <v>3.6000000000000004E-2</v>
      </c>
      <c r="D659">
        <v>-2E-3</v>
      </c>
      <c r="E659">
        <v>-4.1999999999999997E-3</v>
      </c>
      <c r="F659">
        <v>-2.0000000000000001E-4</v>
      </c>
      <c r="G659">
        <v>1.1000000000000001E-3</v>
      </c>
    </row>
    <row r="660" spans="1:7">
      <c r="A660">
        <v>201804</v>
      </c>
      <c r="B660">
        <v>2.8999999999999998E-3</v>
      </c>
      <c r="C660">
        <v>9.300000000000001E-3</v>
      </c>
      <c r="D660">
        <v>5.4000000000000003E-3</v>
      </c>
      <c r="E660">
        <v>-2.4400000000000002E-2</v>
      </c>
      <c r="F660">
        <v>1.2800000000000001E-2</v>
      </c>
      <c r="G660">
        <v>1.4000000000000002E-3</v>
      </c>
    </row>
    <row r="661" spans="1:7">
      <c r="A661">
        <v>201805</v>
      </c>
      <c r="B661">
        <v>2.6499999999999999E-2</v>
      </c>
      <c r="C661">
        <v>4.7500000000000001E-2</v>
      </c>
      <c r="D661">
        <v>-3.2199999999999999E-2</v>
      </c>
      <c r="E661">
        <v>-2.0499999999999997E-2</v>
      </c>
      <c r="F661">
        <v>-1.5300000000000001E-2</v>
      </c>
      <c r="G661">
        <v>1.4000000000000002E-3</v>
      </c>
    </row>
    <row r="662" spans="1:7">
      <c r="A662">
        <v>201806</v>
      </c>
      <c r="B662">
        <v>4.7999999999999996E-3</v>
      </c>
      <c r="C662">
        <v>8.0000000000000002E-3</v>
      </c>
      <c r="D662">
        <v>-2.3300000000000001E-2</v>
      </c>
      <c r="E662">
        <v>8.0000000000000002E-3</v>
      </c>
      <c r="F662">
        <v>2E-3</v>
      </c>
      <c r="G662">
        <v>1.4000000000000002E-3</v>
      </c>
    </row>
    <row r="663" spans="1:7">
      <c r="A663">
        <v>201807</v>
      </c>
      <c r="B663">
        <v>3.1899999999999998E-2</v>
      </c>
      <c r="C663">
        <v>-1.9300000000000001E-2</v>
      </c>
      <c r="D663">
        <v>4.5000000000000005E-3</v>
      </c>
      <c r="E663">
        <v>1.5500000000000002E-2</v>
      </c>
      <c r="F663">
        <v>3.4999999999999996E-3</v>
      </c>
      <c r="G663">
        <v>1.6000000000000001E-3</v>
      </c>
    </row>
    <row r="664" spans="1:7">
      <c r="A664">
        <v>201808</v>
      </c>
      <c r="B664">
        <v>3.44E-2</v>
      </c>
      <c r="C664">
        <v>6.5000000000000006E-3</v>
      </c>
      <c r="D664">
        <v>-0.04</v>
      </c>
      <c r="E664">
        <v>-3.0999999999999999E-3</v>
      </c>
      <c r="F664">
        <v>-2.7000000000000003E-2</v>
      </c>
      <c r="G664">
        <v>1.6000000000000001E-3</v>
      </c>
    </row>
    <row r="665" spans="1:7">
      <c r="A665">
        <v>201809</v>
      </c>
      <c r="B665">
        <v>5.9999999999999995E-4</v>
      </c>
      <c r="C665">
        <v>-2.4900000000000002E-2</v>
      </c>
      <c r="D665">
        <v>-1.7100000000000001E-2</v>
      </c>
      <c r="E665">
        <v>6.3E-3</v>
      </c>
      <c r="F665">
        <v>1.29E-2</v>
      </c>
      <c r="G665">
        <v>1.5E-3</v>
      </c>
    </row>
    <row r="666" spans="1:7">
      <c r="A666">
        <v>201810</v>
      </c>
      <c r="B666">
        <v>-7.6799999999999993E-2</v>
      </c>
      <c r="C666">
        <v>-4.4500000000000005E-2</v>
      </c>
      <c r="D666">
        <v>3.4000000000000002E-2</v>
      </c>
      <c r="E666">
        <v>9.4999999999999998E-3</v>
      </c>
      <c r="F666">
        <v>3.5799999999999998E-2</v>
      </c>
      <c r="G666">
        <v>1.9E-3</v>
      </c>
    </row>
    <row r="667" spans="1:7">
      <c r="A667">
        <v>201811</v>
      </c>
      <c r="B667">
        <v>1.6899999999999998E-2</v>
      </c>
      <c r="C667">
        <v>-7.7000000000000002E-3</v>
      </c>
      <c r="D667">
        <v>2.8000000000000004E-3</v>
      </c>
      <c r="E667">
        <v>-5.5000000000000005E-3</v>
      </c>
      <c r="F667">
        <v>3.9000000000000003E-3</v>
      </c>
      <c r="G667">
        <v>1.8E-3</v>
      </c>
    </row>
    <row r="668" spans="1:7">
      <c r="A668">
        <v>201812</v>
      </c>
      <c r="B668">
        <v>-9.5700000000000007E-2</v>
      </c>
      <c r="C668">
        <v>-2.8799999999999999E-2</v>
      </c>
      <c r="D668">
        <v>-1.8800000000000001E-2</v>
      </c>
      <c r="E668">
        <v>-2.9999999999999997E-4</v>
      </c>
      <c r="F668">
        <v>2.0999999999999999E-3</v>
      </c>
      <c r="G668">
        <v>2E-3</v>
      </c>
    </row>
    <row r="669" spans="1:7">
      <c r="A669">
        <v>201901</v>
      </c>
      <c r="B669">
        <v>8.4000000000000005E-2</v>
      </c>
      <c r="C669">
        <v>3.0099999999999998E-2</v>
      </c>
      <c r="D669">
        <v>-4.5000000000000005E-3</v>
      </c>
      <c r="E669">
        <v>-7.8000000000000005E-3</v>
      </c>
      <c r="F669">
        <v>-1.52E-2</v>
      </c>
      <c r="G669">
        <v>2.0999999999999999E-3</v>
      </c>
    </row>
    <row r="670" spans="1:7">
      <c r="A670">
        <v>201902</v>
      </c>
      <c r="B670">
        <v>3.4000000000000002E-2</v>
      </c>
      <c r="C670">
        <v>1.7500000000000002E-2</v>
      </c>
      <c r="D670">
        <v>-2.7099999999999999E-2</v>
      </c>
      <c r="E670">
        <v>1.1999999999999999E-3</v>
      </c>
      <c r="F670">
        <v>-1.6E-2</v>
      </c>
      <c r="G670">
        <v>1.8E-3</v>
      </c>
    </row>
    <row r="671" spans="1:7">
      <c r="A671">
        <v>201903</v>
      </c>
      <c r="B671">
        <v>1.1000000000000001E-2</v>
      </c>
      <c r="C671">
        <v>-3.5099999999999999E-2</v>
      </c>
      <c r="D671">
        <v>-4.1200000000000001E-2</v>
      </c>
      <c r="E671">
        <v>9.1000000000000004E-3</v>
      </c>
      <c r="F671">
        <v>-9.4000000000000004E-3</v>
      </c>
      <c r="G671">
        <v>1.9E-3</v>
      </c>
    </row>
    <row r="672" spans="1:7">
      <c r="A672">
        <v>201904</v>
      </c>
      <c r="B672">
        <v>3.9700000000000006E-2</v>
      </c>
      <c r="C672">
        <v>-1.15E-2</v>
      </c>
      <c r="D672">
        <v>2.1600000000000001E-2</v>
      </c>
      <c r="E672">
        <v>1.5900000000000001E-2</v>
      </c>
      <c r="F672">
        <v>-2.2200000000000001E-2</v>
      </c>
      <c r="G672">
        <v>2.0999999999999999E-3</v>
      </c>
    </row>
    <row r="673" spans="1:7">
      <c r="A673">
        <v>201905</v>
      </c>
      <c r="B673">
        <v>-6.9400000000000003E-2</v>
      </c>
      <c r="C673">
        <v>-1.5900000000000001E-2</v>
      </c>
      <c r="D673">
        <v>-2.3700000000000002E-2</v>
      </c>
      <c r="E673">
        <v>-4.5999999999999999E-3</v>
      </c>
      <c r="F673">
        <v>1.77E-2</v>
      </c>
      <c r="G673">
        <v>2.0999999999999999E-3</v>
      </c>
    </row>
    <row r="674" spans="1:7">
      <c r="A674">
        <v>201906</v>
      </c>
      <c r="B674">
        <v>6.93E-2</v>
      </c>
      <c r="C674">
        <v>3.7000000000000002E-3</v>
      </c>
      <c r="D674">
        <v>-6.9999999999999993E-3</v>
      </c>
      <c r="E674">
        <v>9.0000000000000011E-3</v>
      </c>
      <c r="F674">
        <v>-4.4000000000000003E-3</v>
      </c>
      <c r="G674">
        <v>1.8E-3</v>
      </c>
    </row>
    <row r="675" spans="1:7">
      <c r="A675">
        <v>201907</v>
      </c>
      <c r="B675">
        <v>1.1899999999999999E-2</v>
      </c>
      <c r="C675">
        <v>-1.78E-2</v>
      </c>
      <c r="D675">
        <v>4.7000000000000002E-3</v>
      </c>
      <c r="E675">
        <v>-7.000000000000001E-4</v>
      </c>
      <c r="F675">
        <v>3.4000000000000002E-3</v>
      </c>
      <c r="G675">
        <v>1.9E-3</v>
      </c>
    </row>
    <row r="676" spans="1:7">
      <c r="A676">
        <v>201908</v>
      </c>
      <c r="B676">
        <v>-2.58E-2</v>
      </c>
      <c r="C676">
        <v>-3.2400000000000005E-2</v>
      </c>
      <c r="D676">
        <v>-4.7899999999999998E-2</v>
      </c>
      <c r="E676">
        <v>5.6000000000000008E-3</v>
      </c>
      <c r="F676">
        <v>-6.8000000000000005E-3</v>
      </c>
      <c r="G676">
        <v>1.6000000000000001E-3</v>
      </c>
    </row>
    <row r="677" spans="1:7">
      <c r="A677">
        <v>201909</v>
      </c>
      <c r="B677">
        <v>1.43E-2</v>
      </c>
      <c r="C677">
        <v>2.6000000000000003E-3</v>
      </c>
      <c r="D677">
        <v>6.7699999999999996E-2</v>
      </c>
      <c r="E677">
        <v>1.84E-2</v>
      </c>
      <c r="F677">
        <v>3.39E-2</v>
      </c>
      <c r="G677">
        <v>1.8E-3</v>
      </c>
    </row>
    <row r="678" spans="1:7">
      <c r="A678">
        <v>201910</v>
      </c>
      <c r="B678">
        <v>2.06E-2</v>
      </c>
      <c r="C678">
        <v>2.7000000000000001E-3</v>
      </c>
      <c r="D678">
        <v>-1.9E-2</v>
      </c>
      <c r="E678">
        <v>4.3E-3</v>
      </c>
      <c r="F678">
        <v>-9.4999999999999998E-3</v>
      </c>
      <c r="G678">
        <v>1.6000000000000001E-3</v>
      </c>
    </row>
    <row r="679" spans="1:7">
      <c r="A679">
        <v>201911</v>
      </c>
      <c r="B679">
        <v>3.8800000000000001E-2</v>
      </c>
      <c r="C679">
        <v>4.5000000000000005E-3</v>
      </c>
      <c r="D679">
        <v>-1.9900000000000001E-2</v>
      </c>
      <c r="E679">
        <v>-1.6299999999999999E-2</v>
      </c>
      <c r="F679">
        <v>-1.2500000000000001E-2</v>
      </c>
      <c r="G679">
        <v>1.1999999999999999E-3</v>
      </c>
    </row>
    <row r="680" spans="1:7">
      <c r="A680">
        <v>201912</v>
      </c>
      <c r="B680">
        <v>2.7700000000000002E-2</v>
      </c>
      <c r="C680">
        <v>9.7000000000000003E-3</v>
      </c>
      <c r="D680">
        <v>1.78E-2</v>
      </c>
      <c r="E680">
        <v>-2.0000000000000001E-4</v>
      </c>
      <c r="F680">
        <v>1.23E-2</v>
      </c>
      <c r="G680">
        <v>1.4000000000000002E-3</v>
      </c>
    </row>
    <row r="681" spans="1:7">
      <c r="A681">
        <v>202001</v>
      </c>
      <c r="B681">
        <v>-1.1000000000000001E-3</v>
      </c>
      <c r="C681">
        <v>-4.4000000000000004E-2</v>
      </c>
      <c r="D681">
        <v>-6.25E-2</v>
      </c>
      <c r="E681">
        <v>-1.2E-2</v>
      </c>
      <c r="F681">
        <v>-2.3E-2</v>
      </c>
      <c r="G681">
        <v>1.3000000000000002E-3</v>
      </c>
    </row>
    <row r="682" spans="1:7">
      <c r="A682">
        <v>202002</v>
      </c>
      <c r="B682">
        <v>-8.1300000000000011E-2</v>
      </c>
      <c r="C682">
        <v>4.0000000000000002E-4</v>
      </c>
      <c r="D682">
        <v>-3.7999999999999999E-2</v>
      </c>
      <c r="E682">
        <v>-1.49E-2</v>
      </c>
      <c r="F682">
        <v>-2.52E-2</v>
      </c>
      <c r="G682">
        <v>1.1999999999999999E-3</v>
      </c>
    </row>
    <row r="683" spans="1:7">
      <c r="A683">
        <v>202003</v>
      </c>
      <c r="B683">
        <v>-0.13390000000000002</v>
      </c>
      <c r="C683">
        <v>-8.2400000000000001E-2</v>
      </c>
      <c r="D683">
        <v>-0.13880000000000001</v>
      </c>
      <c r="E683">
        <v>-1.5600000000000001E-2</v>
      </c>
      <c r="F683">
        <v>1.26E-2</v>
      </c>
      <c r="G683">
        <v>1.3000000000000002E-3</v>
      </c>
    </row>
    <row r="684" spans="1:7">
      <c r="A684">
        <v>202004</v>
      </c>
      <c r="B684">
        <v>0.13650000000000001</v>
      </c>
      <c r="C684">
        <v>2.5600000000000001E-2</v>
      </c>
      <c r="D684">
        <v>-1.34E-2</v>
      </c>
      <c r="E684">
        <v>2.7300000000000001E-2</v>
      </c>
      <c r="F684">
        <v>-1.03E-2</v>
      </c>
      <c r="G684">
        <v>0</v>
      </c>
    </row>
    <row r="685" spans="1:7">
      <c r="A685">
        <v>202005</v>
      </c>
      <c r="B685">
        <v>5.5800000000000002E-2</v>
      </c>
      <c r="C685">
        <v>1.9900000000000001E-2</v>
      </c>
      <c r="D685">
        <v>-4.8499999999999995E-2</v>
      </c>
      <c r="E685">
        <v>9.300000000000001E-3</v>
      </c>
      <c r="F685">
        <v>-3.2400000000000005E-2</v>
      </c>
      <c r="G685">
        <v>1E-4</v>
      </c>
    </row>
    <row r="686" spans="1:7">
      <c r="A686">
        <v>202006</v>
      </c>
      <c r="B686">
        <v>2.46E-2</v>
      </c>
      <c r="C686">
        <v>1.9699999999999999E-2</v>
      </c>
      <c r="D686">
        <v>-2.23E-2</v>
      </c>
      <c r="E686">
        <v>1.3000000000000002E-3</v>
      </c>
      <c r="F686">
        <v>5.3E-3</v>
      </c>
      <c r="G686">
        <v>1E-4</v>
      </c>
    </row>
    <row r="687" spans="1:7">
      <c r="A687">
        <v>202007</v>
      </c>
      <c r="B687">
        <v>5.7699999999999994E-2</v>
      </c>
      <c r="C687">
        <v>-3.1800000000000002E-2</v>
      </c>
      <c r="D687">
        <v>-1.44E-2</v>
      </c>
      <c r="E687">
        <v>4.0000000000000001E-3</v>
      </c>
      <c r="F687">
        <v>1.03E-2</v>
      </c>
      <c r="G687">
        <v>1E-4</v>
      </c>
    </row>
    <row r="688" spans="1:7">
      <c r="A688">
        <v>202008</v>
      </c>
      <c r="B688">
        <v>7.6300000000000007E-2</v>
      </c>
      <c r="C688">
        <v>-9.4999999999999998E-3</v>
      </c>
      <c r="D688">
        <v>-2.8799999999999999E-2</v>
      </c>
      <c r="E688">
        <v>4.3299999999999998E-2</v>
      </c>
      <c r="F688">
        <v>-1.26E-2</v>
      </c>
      <c r="G688">
        <v>1E-4</v>
      </c>
    </row>
    <row r="689" spans="1:7">
      <c r="A689">
        <v>202009</v>
      </c>
      <c r="B689">
        <v>-3.6299999999999999E-2</v>
      </c>
      <c r="C689">
        <v>-5.0000000000000001E-4</v>
      </c>
      <c r="D689">
        <v>-2.6499999999999999E-2</v>
      </c>
      <c r="E689">
        <v>-1.2800000000000001E-2</v>
      </c>
      <c r="F689">
        <v>-1.9599999999999999E-2</v>
      </c>
      <c r="G689">
        <v>1E-4</v>
      </c>
    </row>
    <row r="690" spans="1:7">
      <c r="A690">
        <v>202010</v>
      </c>
      <c r="B690">
        <v>-2.1000000000000001E-2</v>
      </c>
      <c r="C690">
        <v>4.5400000000000003E-2</v>
      </c>
      <c r="D690">
        <v>4.3099999999999999E-2</v>
      </c>
      <c r="E690">
        <v>-7.6E-3</v>
      </c>
      <c r="F690">
        <v>-8.8000000000000005E-3</v>
      </c>
      <c r="G690">
        <v>1E-4</v>
      </c>
    </row>
    <row r="691" spans="1:7">
      <c r="A691">
        <v>202011</v>
      </c>
      <c r="B691">
        <v>0.12470000000000001</v>
      </c>
      <c r="C691">
        <v>7.0499999999999993E-2</v>
      </c>
      <c r="D691">
        <v>2.1499999999999998E-2</v>
      </c>
      <c r="E691">
        <v>-2.2200000000000001E-2</v>
      </c>
      <c r="F691">
        <v>1.2800000000000001E-2</v>
      </c>
      <c r="G691">
        <v>1E-4</v>
      </c>
    </row>
    <row r="692" spans="1:7">
      <c r="A692">
        <v>202012</v>
      </c>
      <c r="B692">
        <v>4.6300000000000001E-2</v>
      </c>
      <c r="C692">
        <v>4.7E-2</v>
      </c>
      <c r="D692">
        <v>-1.34E-2</v>
      </c>
      <c r="E692">
        <v>-1.8800000000000001E-2</v>
      </c>
      <c r="F692">
        <v>-2.6000000000000003E-3</v>
      </c>
      <c r="G692">
        <v>1E-4</v>
      </c>
    </row>
    <row r="693" spans="1:7">
      <c r="A693">
        <v>202101</v>
      </c>
      <c r="B693">
        <v>-2.9999999999999997E-4</v>
      </c>
      <c r="C693">
        <v>7.0800000000000002E-2</v>
      </c>
      <c r="D693">
        <v>2.8500000000000001E-2</v>
      </c>
      <c r="E693">
        <v>-3.9199999999999999E-2</v>
      </c>
      <c r="F693">
        <v>5.1799999999999999E-2</v>
      </c>
      <c r="G693">
        <v>1E-4</v>
      </c>
    </row>
    <row r="694" spans="1:7">
      <c r="A694">
        <v>202102</v>
      </c>
      <c r="B694">
        <v>2.7799999999999998E-2</v>
      </c>
      <c r="C694">
        <v>4.5599999999999995E-2</v>
      </c>
      <c r="D694">
        <v>7.0999999999999994E-2</v>
      </c>
      <c r="E694">
        <v>3.9000000000000003E-3</v>
      </c>
      <c r="F694">
        <v>-1.95E-2</v>
      </c>
      <c r="G694">
        <v>0</v>
      </c>
    </row>
    <row r="695" spans="1:7">
      <c r="A695">
        <v>202103</v>
      </c>
      <c r="B695">
        <v>3.0800000000000001E-2</v>
      </c>
      <c r="C695">
        <v>-7.8000000000000005E-3</v>
      </c>
      <c r="D695">
        <v>7.2700000000000001E-2</v>
      </c>
      <c r="E695">
        <v>6.3399999999999998E-2</v>
      </c>
      <c r="F695">
        <v>3.5700000000000003E-2</v>
      </c>
      <c r="G695">
        <v>0</v>
      </c>
    </row>
    <row r="696" spans="1:7">
      <c r="A696">
        <v>202104</v>
      </c>
      <c r="B696">
        <v>4.9299999999999997E-2</v>
      </c>
      <c r="C696">
        <v>-3.1600000000000003E-2</v>
      </c>
      <c r="D696">
        <v>-9.4999999999999998E-3</v>
      </c>
      <c r="E696">
        <v>2.4700000000000003E-2</v>
      </c>
      <c r="F696">
        <v>-2.7099999999999999E-2</v>
      </c>
      <c r="G696">
        <v>0</v>
      </c>
    </row>
    <row r="697" spans="1:7">
      <c r="A697">
        <v>202105</v>
      </c>
      <c r="B697">
        <v>2.8999999999999998E-3</v>
      </c>
      <c r="C697">
        <v>1.2E-2</v>
      </c>
      <c r="D697">
        <v>7.1300000000000002E-2</v>
      </c>
      <c r="E697">
        <v>2.4E-2</v>
      </c>
      <c r="F697">
        <v>3.0200000000000001E-2</v>
      </c>
      <c r="G697">
        <v>0</v>
      </c>
    </row>
    <row r="698" spans="1:7">
      <c r="A698">
        <v>202106</v>
      </c>
      <c r="B698">
        <v>2.75E-2</v>
      </c>
      <c r="C698">
        <v>-4.0999999999999995E-3</v>
      </c>
      <c r="D698">
        <v>-7.7499999999999999E-2</v>
      </c>
      <c r="E698">
        <v>-2.0400000000000001E-2</v>
      </c>
      <c r="F698">
        <v>-1.0200000000000001E-2</v>
      </c>
      <c r="G698">
        <v>0</v>
      </c>
    </row>
    <row r="699" spans="1:7">
      <c r="A699">
        <v>202107</v>
      </c>
      <c r="B699">
        <v>1.2700000000000001E-2</v>
      </c>
      <c r="C699">
        <v>-4.5899999999999996E-2</v>
      </c>
      <c r="D699">
        <v>-1.8100000000000002E-2</v>
      </c>
      <c r="E699">
        <v>5.4800000000000008E-2</v>
      </c>
      <c r="F699">
        <v>-5.2000000000000006E-3</v>
      </c>
      <c r="G699">
        <v>0</v>
      </c>
    </row>
    <row r="700" spans="1:7">
      <c r="A700">
        <v>202108</v>
      </c>
      <c r="B700">
        <v>2.9100000000000001E-2</v>
      </c>
      <c r="C700">
        <v>-7.0999999999999995E-3</v>
      </c>
      <c r="D700">
        <v>-1E-3</v>
      </c>
      <c r="E700">
        <v>-2.2000000000000001E-3</v>
      </c>
      <c r="F700">
        <v>-1.8200000000000001E-2</v>
      </c>
      <c r="G700">
        <v>0</v>
      </c>
    </row>
    <row r="701" spans="1:7">
      <c r="A701">
        <v>202109</v>
      </c>
      <c r="B701">
        <v>-4.3700000000000003E-2</v>
      </c>
      <c r="C701">
        <v>1.0900000000000002E-2</v>
      </c>
      <c r="D701">
        <v>5.0999999999999997E-2</v>
      </c>
      <c r="E701">
        <v>-1.95E-2</v>
      </c>
      <c r="F701">
        <v>2.0899999999999998E-2</v>
      </c>
      <c r="G701">
        <v>0</v>
      </c>
    </row>
    <row r="702" spans="1:7">
      <c r="A702">
        <v>202110</v>
      </c>
      <c r="B702">
        <v>6.6500000000000004E-2</v>
      </c>
      <c r="C702">
        <v>-2.7200000000000002E-2</v>
      </c>
      <c r="D702">
        <v>-4.5000000000000005E-3</v>
      </c>
      <c r="E702">
        <v>1.72E-2</v>
      </c>
      <c r="F702">
        <v>-1.44E-2</v>
      </c>
      <c r="G702">
        <v>0</v>
      </c>
    </row>
    <row r="703" spans="1:7">
      <c r="A703">
        <v>202111</v>
      </c>
      <c r="B703">
        <v>-1.5500000000000002E-2</v>
      </c>
      <c r="C703">
        <v>-1.77E-2</v>
      </c>
      <c r="D703">
        <v>-4.0999999999999995E-3</v>
      </c>
      <c r="E703">
        <v>7.2700000000000001E-2</v>
      </c>
      <c r="F703">
        <v>1.7399999999999999E-2</v>
      </c>
      <c r="G703">
        <v>0</v>
      </c>
    </row>
    <row r="704" spans="1:7">
      <c r="A704">
        <v>202112</v>
      </c>
      <c r="B704">
        <v>3.1000000000000003E-2</v>
      </c>
      <c r="C704">
        <v>-7.9000000000000008E-3</v>
      </c>
      <c r="D704">
        <v>3.2199999999999999E-2</v>
      </c>
      <c r="E704">
        <v>4.8300000000000003E-2</v>
      </c>
      <c r="F704">
        <v>4.3200000000000002E-2</v>
      </c>
      <c r="G704">
        <v>1E-4</v>
      </c>
    </row>
    <row r="705" spans="1:7">
      <c r="A705">
        <v>202201</v>
      </c>
      <c r="B705">
        <v>-6.25E-2</v>
      </c>
      <c r="C705">
        <v>-4.0899999999999999E-2</v>
      </c>
      <c r="D705">
        <v>0.128</v>
      </c>
      <c r="E705">
        <v>8.3999999999999995E-3</v>
      </c>
      <c r="F705">
        <v>7.740000000000001E-2</v>
      </c>
      <c r="G705">
        <v>0</v>
      </c>
    </row>
    <row r="706" spans="1:7">
      <c r="A706">
        <v>202202</v>
      </c>
      <c r="B706">
        <v>-2.29E-2</v>
      </c>
      <c r="C706">
        <v>2.92E-2</v>
      </c>
      <c r="D706">
        <v>3.1000000000000003E-2</v>
      </c>
      <c r="E706">
        <v>-2.1000000000000001E-2</v>
      </c>
      <c r="F706">
        <v>3.1600000000000003E-2</v>
      </c>
      <c r="G706">
        <v>0</v>
      </c>
    </row>
    <row r="707" spans="1:7">
      <c r="A707">
        <v>202203</v>
      </c>
      <c r="B707">
        <v>3.0600000000000002E-2</v>
      </c>
      <c r="C707">
        <v>-2.2000000000000002E-2</v>
      </c>
      <c r="D707">
        <v>-1.7600000000000001E-2</v>
      </c>
      <c r="E707">
        <v>-1.4999999999999999E-2</v>
      </c>
      <c r="F707">
        <v>3.1800000000000002E-2</v>
      </c>
      <c r="G707">
        <v>1E-4</v>
      </c>
    </row>
    <row r="708" spans="1:7">
      <c r="A708">
        <v>202204</v>
      </c>
      <c r="B708">
        <v>-9.4600000000000017E-2</v>
      </c>
      <c r="C708">
        <v>-4.0000000000000001E-3</v>
      </c>
      <c r="D708">
        <v>6.1699999999999998E-2</v>
      </c>
      <c r="E708">
        <v>3.4700000000000002E-2</v>
      </c>
      <c r="F708">
        <v>5.8700000000000002E-2</v>
      </c>
      <c r="G708">
        <v>1E-4</v>
      </c>
    </row>
    <row r="709" spans="1:7">
      <c r="A709">
        <v>202205</v>
      </c>
      <c r="B709">
        <v>-3.4000000000000002E-3</v>
      </c>
      <c r="C709">
        <v>-1.6000000000000001E-3</v>
      </c>
      <c r="D709">
        <v>8.5900000000000004E-2</v>
      </c>
      <c r="E709">
        <v>1.7000000000000001E-2</v>
      </c>
      <c r="F709">
        <v>3.9900000000000005E-2</v>
      </c>
      <c r="G709">
        <v>2.9999999999999997E-4</v>
      </c>
    </row>
    <row r="710" spans="1:7">
      <c r="A710">
        <v>202206</v>
      </c>
      <c r="B710">
        <v>-8.4400000000000003E-2</v>
      </c>
      <c r="C710">
        <v>1.3600000000000001E-2</v>
      </c>
      <c r="D710">
        <v>-6.0999999999999999E-2</v>
      </c>
      <c r="E710">
        <v>1.7399999999999999E-2</v>
      </c>
      <c r="F710">
        <v>-4.7199999999999999E-2</v>
      </c>
      <c r="G710">
        <v>5.9999999999999995E-4</v>
      </c>
    </row>
    <row r="711" spans="1:7">
      <c r="A711">
        <v>202207</v>
      </c>
      <c r="B711">
        <v>9.5700000000000007E-2</v>
      </c>
      <c r="C711">
        <v>1.83E-2</v>
      </c>
      <c r="D711">
        <v>-4.0300000000000002E-2</v>
      </c>
      <c r="E711">
        <v>8.5000000000000006E-3</v>
      </c>
      <c r="F711">
        <v>-6.8200000000000011E-2</v>
      </c>
      <c r="G711">
        <v>8.0000000000000004E-4</v>
      </c>
    </row>
    <row r="712" spans="1:7">
      <c r="A712">
        <v>202208</v>
      </c>
      <c r="B712">
        <v>-3.7700000000000004E-2</v>
      </c>
      <c r="C712">
        <v>1.52E-2</v>
      </c>
      <c r="D712">
        <v>2.8999999999999998E-3</v>
      </c>
      <c r="E712">
        <v>-4.7899999999999998E-2</v>
      </c>
      <c r="F712">
        <v>1.3300000000000001E-2</v>
      </c>
      <c r="G712">
        <v>1.9E-3</v>
      </c>
    </row>
    <row r="713" spans="1:7">
      <c r="A713">
        <v>202209</v>
      </c>
      <c r="B713">
        <v>-9.35E-2</v>
      </c>
      <c r="C713">
        <v>-1.0400000000000001E-2</v>
      </c>
      <c r="D713">
        <v>2.0000000000000001E-4</v>
      </c>
      <c r="E713">
        <v>-1.46E-2</v>
      </c>
      <c r="F713">
        <v>-7.9000000000000008E-3</v>
      </c>
      <c r="G713">
        <v>1.9E-3</v>
      </c>
    </row>
    <row r="714" spans="1:7">
      <c r="A714">
        <v>202210</v>
      </c>
      <c r="B714">
        <v>7.8300000000000008E-2</v>
      </c>
      <c r="C714">
        <v>1.8800000000000001E-2</v>
      </c>
      <c r="D714">
        <v>8.0600000000000005E-2</v>
      </c>
      <c r="E714">
        <v>3.3100000000000004E-2</v>
      </c>
      <c r="F714">
        <v>6.6200000000000009E-2</v>
      </c>
      <c r="G714">
        <v>2.3E-3</v>
      </c>
    </row>
    <row r="715" spans="1:7">
      <c r="A715">
        <v>202211</v>
      </c>
      <c r="B715">
        <v>4.6100000000000002E-2</v>
      </c>
      <c r="C715">
        <v>-2.75E-2</v>
      </c>
      <c r="D715">
        <v>1.41E-2</v>
      </c>
      <c r="E715">
        <v>6.3200000000000006E-2</v>
      </c>
      <c r="F715">
        <v>3.2000000000000001E-2</v>
      </c>
      <c r="G715">
        <v>2.8999999999999998E-3</v>
      </c>
    </row>
    <row r="716" spans="1:7">
      <c r="A716">
        <v>202212</v>
      </c>
      <c r="B716">
        <v>-6.4100000000000004E-2</v>
      </c>
      <c r="C716">
        <v>-1.4000000000000002E-3</v>
      </c>
      <c r="D716">
        <v>1.34E-2</v>
      </c>
      <c r="E716">
        <v>2.7000000000000001E-3</v>
      </c>
      <c r="F716">
        <v>4.2099999999999999E-2</v>
      </c>
      <c r="G716">
        <v>3.3000000000000004E-3</v>
      </c>
    </row>
    <row r="717" spans="1:7">
      <c r="A717">
        <v>202301</v>
      </c>
      <c r="B717">
        <v>6.6400000000000001E-2</v>
      </c>
      <c r="C717">
        <v>4.4200000000000003E-2</v>
      </c>
      <c r="D717">
        <v>-0.04</v>
      </c>
      <c r="E717">
        <v>-2.4199999999999999E-2</v>
      </c>
      <c r="F717">
        <v>-4.4400000000000002E-2</v>
      </c>
      <c r="G717">
        <v>3.4999999999999996E-3</v>
      </c>
    </row>
    <row r="718" spans="1:7">
      <c r="A718">
        <v>202302</v>
      </c>
      <c r="B718">
        <v>-2.5899999999999999E-2</v>
      </c>
      <c r="C718">
        <v>6.6000000000000008E-3</v>
      </c>
      <c r="D718">
        <v>-8.3000000000000001E-3</v>
      </c>
      <c r="E718">
        <v>1.03E-2</v>
      </c>
      <c r="F718">
        <v>-1.3200000000000002E-2</v>
      </c>
      <c r="G718">
        <v>3.4000000000000002E-3</v>
      </c>
    </row>
    <row r="719" spans="1:7">
      <c r="A719">
        <v>202303</v>
      </c>
      <c r="B719">
        <v>2.5099999999999997E-2</v>
      </c>
      <c r="C719">
        <v>-6.93E-2</v>
      </c>
      <c r="D719">
        <v>-8.8699999999999987E-2</v>
      </c>
      <c r="E719">
        <v>2.3300000000000001E-2</v>
      </c>
      <c r="F719">
        <v>-2.3900000000000001E-2</v>
      </c>
      <c r="G719">
        <v>3.5999999999999999E-3</v>
      </c>
    </row>
    <row r="720" spans="1:7">
      <c r="A720">
        <v>202304</v>
      </c>
      <c r="B720">
        <v>6.1000000000000004E-3</v>
      </c>
      <c r="C720">
        <v>-2.5700000000000001E-2</v>
      </c>
      <c r="D720">
        <v>-5.0000000000000001E-4</v>
      </c>
      <c r="E720">
        <v>2.4199999999999999E-2</v>
      </c>
      <c r="F720">
        <v>2.8500000000000001E-2</v>
      </c>
      <c r="G720">
        <v>3.4999999999999996E-3</v>
      </c>
    </row>
    <row r="721" spans="1:7">
      <c r="A721">
        <v>202305</v>
      </c>
      <c r="B721">
        <v>3.4999999999999996E-3</v>
      </c>
      <c r="C721">
        <v>-3.8E-3</v>
      </c>
      <c r="D721">
        <v>-7.740000000000001E-2</v>
      </c>
      <c r="E721">
        <v>-1.8200000000000001E-2</v>
      </c>
      <c r="F721">
        <v>-7.2000000000000008E-2</v>
      </c>
      <c r="G721">
        <v>3.5999999999999999E-3</v>
      </c>
    </row>
    <row r="722" spans="1:7">
      <c r="A722">
        <v>202306</v>
      </c>
      <c r="B722">
        <v>6.4699999999999994E-2</v>
      </c>
      <c r="C722">
        <v>1.3600000000000001E-2</v>
      </c>
      <c r="D722">
        <v>-2E-3</v>
      </c>
      <c r="E722">
        <v>2.2700000000000001E-2</v>
      </c>
      <c r="F722">
        <v>-1.6200000000000003E-2</v>
      </c>
      <c r="G722">
        <v>4.0000000000000001E-3</v>
      </c>
    </row>
    <row r="723" spans="1:7">
      <c r="A723">
        <v>202307</v>
      </c>
      <c r="B723">
        <v>3.2100000000000004E-2</v>
      </c>
      <c r="C723">
        <v>2.8399999999999998E-2</v>
      </c>
      <c r="D723">
        <v>4.1100000000000005E-2</v>
      </c>
      <c r="E723">
        <v>-5.6999999999999993E-3</v>
      </c>
      <c r="F723">
        <v>6.1999999999999998E-3</v>
      </c>
      <c r="G723">
        <v>4.5000000000000005E-3</v>
      </c>
    </row>
    <row r="724" spans="1:7">
      <c r="A724">
        <v>202308</v>
      </c>
      <c r="B724">
        <v>-2.3900000000000001E-2</v>
      </c>
      <c r="C724">
        <v>-3.6799999999999999E-2</v>
      </c>
      <c r="D724">
        <v>-1.0800000000000001E-2</v>
      </c>
      <c r="E724">
        <v>3.4200000000000001E-2</v>
      </c>
      <c r="F724">
        <v>-2.3700000000000002E-2</v>
      </c>
      <c r="G724">
        <v>4.5000000000000005E-3</v>
      </c>
    </row>
    <row r="725" spans="1:7">
      <c r="A725">
        <v>202309</v>
      </c>
      <c r="B725">
        <v>-5.2400000000000002E-2</v>
      </c>
      <c r="C725">
        <v>-1.7899999999999999E-2</v>
      </c>
      <c r="D725">
        <v>1.4499999999999999E-2</v>
      </c>
      <c r="E725">
        <v>1.8500000000000003E-2</v>
      </c>
      <c r="F725">
        <v>-8.3999999999999995E-3</v>
      </c>
      <c r="G725">
        <v>4.3E-3</v>
      </c>
    </row>
    <row r="726" spans="1:7">
      <c r="A726">
        <v>202310</v>
      </c>
      <c r="B726">
        <v>-3.1800000000000002E-2</v>
      </c>
      <c r="C726">
        <v>-4.0500000000000001E-2</v>
      </c>
      <c r="D726">
        <v>1.9E-3</v>
      </c>
      <c r="E726">
        <v>2.4700000000000003E-2</v>
      </c>
      <c r="F726">
        <v>-6.7000000000000002E-3</v>
      </c>
      <c r="G726">
        <v>4.7000000000000002E-3</v>
      </c>
    </row>
    <row r="727" spans="1:7">
      <c r="A727">
        <v>202311</v>
      </c>
      <c r="B727">
        <v>8.8300000000000003E-2</v>
      </c>
      <c r="C727">
        <v>-1.1000000000000001E-3</v>
      </c>
      <c r="D727">
        <v>1.66E-2</v>
      </c>
      <c r="E727">
        <v>-3.8100000000000002E-2</v>
      </c>
      <c r="F727">
        <v>-9.9000000000000008E-3</v>
      </c>
      <c r="G727">
        <v>4.4000000000000003E-3</v>
      </c>
    </row>
    <row r="728" spans="1:7">
      <c r="A728">
        <v>202312</v>
      </c>
      <c r="B728">
        <v>4.87E-2</v>
      </c>
      <c r="C728">
        <v>7.3300000000000004E-2</v>
      </c>
      <c r="D728">
        <v>4.9200000000000001E-2</v>
      </c>
      <c r="E728">
        <v>-3.04E-2</v>
      </c>
      <c r="F728">
        <v>1.3000000000000001E-2</v>
      </c>
      <c r="G728">
        <v>4.3E-3</v>
      </c>
    </row>
    <row r="729" spans="1:7">
      <c r="A729">
        <v>202401</v>
      </c>
      <c r="B729">
        <v>6.9999999999999993E-3</v>
      </c>
      <c r="C729">
        <v>-5.6799999999999996E-2</v>
      </c>
      <c r="D729">
        <v>-2.4700000000000003E-2</v>
      </c>
      <c r="E729">
        <v>6.6000000000000008E-3</v>
      </c>
      <c r="F729">
        <v>-1.0200000000000001E-2</v>
      </c>
      <c r="G729">
        <v>4.7000000000000002E-3</v>
      </c>
    </row>
    <row r="730" spans="1:7">
      <c r="A730">
        <v>202402</v>
      </c>
      <c r="B730">
        <v>5.0700000000000002E-2</v>
      </c>
      <c r="C730">
        <v>-7.6E-3</v>
      </c>
      <c r="D730">
        <v>-3.5200000000000002E-2</v>
      </c>
      <c r="E730">
        <v>-1.9800000000000002E-2</v>
      </c>
      <c r="F730">
        <v>-2.1600000000000001E-2</v>
      </c>
      <c r="G730">
        <v>4.1999999999999997E-3</v>
      </c>
    </row>
    <row r="731" spans="1:7">
      <c r="A731">
        <v>202403</v>
      </c>
      <c r="B731">
        <v>2.8300000000000002E-2</v>
      </c>
      <c r="C731">
        <v>-1.18E-2</v>
      </c>
      <c r="D731">
        <v>4.2200000000000001E-2</v>
      </c>
      <c r="E731">
        <v>1.47E-2</v>
      </c>
      <c r="F731">
        <v>1.1899999999999999E-2</v>
      </c>
      <c r="G731">
        <v>4.3E-3</v>
      </c>
    </row>
    <row r="732" spans="1:7">
      <c r="A732">
        <v>202404</v>
      </c>
      <c r="B732">
        <v>-4.6699999999999998E-2</v>
      </c>
      <c r="C732">
        <v>-2.5499999999999998E-2</v>
      </c>
      <c r="D732">
        <v>-5.2000000000000006E-3</v>
      </c>
      <c r="E732">
        <v>1.4800000000000001E-2</v>
      </c>
      <c r="F732">
        <v>-3.0000000000000001E-3</v>
      </c>
      <c r="G732">
        <v>4.7000000000000002E-3</v>
      </c>
    </row>
    <row r="733" spans="1:7">
      <c r="A733">
        <v>202405</v>
      </c>
      <c r="B733">
        <v>4.3400000000000001E-2</v>
      </c>
      <c r="C733">
        <v>7.7000000000000002E-3</v>
      </c>
      <c r="D733">
        <v>-1.67E-2</v>
      </c>
      <c r="E733">
        <v>2.9700000000000004E-2</v>
      </c>
      <c r="F733">
        <v>-3.0699999999999998E-2</v>
      </c>
      <c r="G733">
        <v>4.4000000000000003E-3</v>
      </c>
    </row>
    <row r="734" spans="1:7">
      <c r="A734">
        <v>202406</v>
      </c>
      <c r="B734">
        <v>2.7700000000000002E-2</v>
      </c>
      <c r="C734">
        <v>-4.3700000000000003E-2</v>
      </c>
      <c r="D734">
        <v>-3.3100000000000004E-2</v>
      </c>
      <c r="E734">
        <v>5.1000000000000004E-3</v>
      </c>
      <c r="F734">
        <v>-1.78E-2</v>
      </c>
      <c r="G734">
        <v>4.0999999999999995E-3</v>
      </c>
    </row>
    <row r="735" spans="1:7">
      <c r="A735">
        <v>202407</v>
      </c>
      <c r="B735">
        <v>1.24E-2</v>
      </c>
      <c r="C735">
        <v>8.2799999999999999E-2</v>
      </c>
      <c r="D735">
        <v>5.7400000000000007E-2</v>
      </c>
      <c r="E735">
        <v>2.2000000000000001E-3</v>
      </c>
      <c r="F735">
        <v>4.3E-3</v>
      </c>
      <c r="G735">
        <v>4.5000000000000005E-3</v>
      </c>
    </row>
    <row r="736" spans="1:7">
      <c r="A736">
        <v>202408</v>
      </c>
      <c r="B736">
        <v>1.61E-2</v>
      </c>
      <c r="C736">
        <v>-3.6499999999999998E-2</v>
      </c>
      <c r="D736">
        <v>-1.1299999999999999E-2</v>
      </c>
      <c r="E736">
        <v>8.5000000000000006E-3</v>
      </c>
      <c r="F736">
        <v>8.6E-3</v>
      </c>
      <c r="G736">
        <v>4.7999999999999996E-3</v>
      </c>
    </row>
    <row r="737" spans="1:7">
      <c r="A737">
        <v>202409</v>
      </c>
      <c r="B737">
        <v>1.7399999999999999E-2</v>
      </c>
      <c r="C737">
        <v>-1.0200000000000001E-2</v>
      </c>
      <c r="D737">
        <v>-2.5899999999999999E-2</v>
      </c>
      <c r="E737">
        <v>4.0000000000000002E-4</v>
      </c>
      <c r="F737">
        <v>-2.6000000000000003E-3</v>
      </c>
      <c r="G737">
        <v>4.0000000000000001E-3</v>
      </c>
    </row>
    <row r="738" spans="1:7">
      <c r="A738">
        <v>202410</v>
      </c>
      <c r="B738">
        <v>-9.7000000000000003E-3</v>
      </c>
      <c r="C738">
        <v>-8.8000000000000005E-3</v>
      </c>
      <c r="D738">
        <v>8.8999999999999999E-3</v>
      </c>
      <c r="E738">
        <v>-1.38E-2</v>
      </c>
      <c r="F738">
        <v>1.03E-2</v>
      </c>
      <c r="G738">
        <v>3.9000000000000003E-3</v>
      </c>
    </row>
    <row r="739" spans="1:7">
      <c r="A739">
        <v>202411</v>
      </c>
      <c r="B739">
        <v>6.5100000000000005E-2</v>
      </c>
      <c r="C739">
        <v>4.7800000000000002E-2</v>
      </c>
      <c r="D739">
        <v>-5.0000000000000001E-4</v>
      </c>
      <c r="E739">
        <v>-2.6200000000000001E-2</v>
      </c>
      <c r="F739">
        <v>-2.1700000000000001E-2</v>
      </c>
      <c r="G739">
        <v>4.0000000000000001E-3</v>
      </c>
    </row>
    <row r="740" spans="1:7">
      <c r="A740">
        <v>202412</v>
      </c>
      <c r="B740">
        <v>-3.1699999999999999E-2</v>
      </c>
      <c r="C740">
        <v>-3.8700000000000005E-2</v>
      </c>
      <c r="D740">
        <v>-2.9500000000000002E-2</v>
      </c>
      <c r="E740">
        <v>1.8200000000000001E-2</v>
      </c>
      <c r="F740">
        <v>-1.1000000000000001E-2</v>
      </c>
      <c r="G740">
        <v>3.7000000000000002E-3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44A8F-230C-43A2-AFDB-4B46C86A50F8}">
  <dimension ref="A1:B1177"/>
  <sheetViews>
    <sheetView workbookViewId="0">
      <selection activeCell="I25" sqref="I25"/>
    </sheetView>
  </sheetViews>
  <sheetFormatPr defaultRowHeight="14.5"/>
  <sheetData>
    <row r="1" spans="1:2">
      <c r="A1" t="s">
        <v>533</v>
      </c>
      <c r="B1" t="s">
        <v>532</v>
      </c>
    </row>
    <row r="2" spans="1:2">
      <c r="A2">
        <v>192701</v>
      </c>
      <c r="B2">
        <v>-3.32E-2</v>
      </c>
    </row>
    <row r="3" spans="1:2">
      <c r="A3">
        <v>192702</v>
      </c>
      <c r="B3">
        <v>7.5300000000000006E-2</v>
      </c>
    </row>
    <row r="4" spans="1:2">
      <c r="A4">
        <v>192703</v>
      </c>
      <c r="B4">
        <v>-3.2300000000000002E-2</v>
      </c>
    </row>
    <row r="5" spans="1:2">
      <c r="A5">
        <v>192704</v>
      </c>
      <c r="B5">
        <v>2.0400000000000001E-2</v>
      </c>
    </row>
    <row r="6" spans="1:2">
      <c r="A6">
        <v>192705</v>
      </c>
      <c r="B6">
        <v>2.7200000000000002E-2</v>
      </c>
    </row>
    <row r="7" spans="1:2">
      <c r="A7">
        <v>192706</v>
      </c>
      <c r="B7">
        <v>-3.4799999999999998E-2</v>
      </c>
    </row>
    <row r="8" spans="1:2">
      <c r="A8">
        <v>192707</v>
      </c>
      <c r="B8">
        <v>4.0500000000000001E-2</v>
      </c>
    </row>
    <row r="9" spans="1:2">
      <c r="A9">
        <v>192708</v>
      </c>
      <c r="B9">
        <v>-4.0999999999999995E-3</v>
      </c>
    </row>
    <row r="10" spans="1:2">
      <c r="A10">
        <v>192709</v>
      </c>
      <c r="B10">
        <v>-3.9000000000000003E-3</v>
      </c>
    </row>
    <row r="11" spans="1:2">
      <c r="A11">
        <v>192710</v>
      </c>
      <c r="B11">
        <v>-6.0300000000000006E-2</v>
      </c>
    </row>
    <row r="12" spans="1:2">
      <c r="A12">
        <v>192711</v>
      </c>
      <c r="B12">
        <v>0.13519999999999999</v>
      </c>
    </row>
    <row r="13" spans="1:2">
      <c r="A13">
        <v>192712</v>
      </c>
      <c r="B13">
        <v>4.9500000000000002E-2</v>
      </c>
    </row>
    <row r="14" spans="1:2">
      <c r="A14">
        <v>192801</v>
      </c>
      <c r="B14">
        <v>-3.5999999999999999E-3</v>
      </c>
    </row>
    <row r="15" spans="1:2">
      <c r="A15">
        <v>192802</v>
      </c>
      <c r="B15">
        <v>-9.4000000000000004E-3</v>
      </c>
    </row>
    <row r="16" spans="1:2">
      <c r="A16">
        <v>192803</v>
      </c>
      <c r="B16">
        <v>7.0300000000000001E-2</v>
      </c>
    </row>
    <row r="17" spans="1:2">
      <c r="A17">
        <v>192804</v>
      </c>
      <c r="B17">
        <v>7.8399999999999997E-2</v>
      </c>
    </row>
    <row r="18" spans="1:2">
      <c r="A18">
        <v>192805</v>
      </c>
      <c r="B18">
        <v>3.8300000000000001E-2</v>
      </c>
    </row>
    <row r="19" spans="1:2">
      <c r="A19">
        <v>192806</v>
      </c>
      <c r="B19">
        <v>-7.9899999999999999E-2</v>
      </c>
    </row>
    <row r="20" spans="1:2">
      <c r="A20">
        <v>192807</v>
      </c>
      <c r="B20">
        <v>-3.1699999999999999E-2</v>
      </c>
    </row>
    <row r="21" spans="1:2">
      <c r="A21">
        <v>192808</v>
      </c>
      <c r="B21">
        <v>7.0900000000000005E-2</v>
      </c>
    </row>
    <row r="22" spans="1:2">
      <c r="A22">
        <v>192809</v>
      </c>
      <c r="B22">
        <v>1.3999999999999999E-2</v>
      </c>
    </row>
    <row r="23" spans="1:2">
      <c r="A23">
        <v>192810</v>
      </c>
      <c r="B23">
        <v>-3.7100000000000001E-2</v>
      </c>
    </row>
    <row r="24" spans="1:2">
      <c r="A24">
        <v>192811</v>
      </c>
      <c r="B24">
        <v>7.6200000000000004E-2</v>
      </c>
    </row>
    <row r="25" spans="1:2">
      <c r="A25">
        <v>192812</v>
      </c>
      <c r="B25">
        <v>-3.1400000000000004E-2</v>
      </c>
    </row>
    <row r="26" spans="1:2">
      <c r="A26">
        <v>192901</v>
      </c>
      <c r="B26">
        <v>5.16E-2</v>
      </c>
    </row>
    <row r="27" spans="1:2">
      <c r="A27">
        <v>192902</v>
      </c>
      <c r="B27">
        <v>-3.9E-2</v>
      </c>
    </row>
    <row r="28" spans="1:2">
      <c r="A28">
        <v>192903</v>
      </c>
      <c r="B28">
        <v>-6.4000000000000003E-3</v>
      </c>
    </row>
    <row r="29" spans="1:2">
      <c r="A29">
        <v>192904</v>
      </c>
      <c r="B29">
        <v>-8.3599999999999994E-2</v>
      </c>
    </row>
    <row r="30" spans="1:2">
      <c r="A30">
        <v>192905</v>
      </c>
      <c r="B30">
        <v>-0.10099999999999999</v>
      </c>
    </row>
    <row r="31" spans="1:2">
      <c r="A31">
        <v>192906</v>
      </c>
      <c r="B31">
        <v>-2.1800000000000003E-2</v>
      </c>
    </row>
    <row r="32" spans="1:2">
      <c r="A32">
        <v>192907</v>
      </c>
      <c r="B32">
        <v>1.6399999999999998E-2</v>
      </c>
    </row>
    <row r="33" spans="1:2">
      <c r="A33">
        <v>192908</v>
      </c>
      <c r="B33">
        <v>-4.7000000000000002E-3</v>
      </c>
    </row>
    <row r="34" spans="1:2">
      <c r="A34">
        <v>192909</v>
      </c>
      <c r="B34">
        <v>-9.3600000000000003E-2</v>
      </c>
    </row>
    <row r="35" spans="1:2">
      <c r="A35">
        <v>192910</v>
      </c>
      <c r="B35">
        <v>-0.32990000000000003</v>
      </c>
    </row>
    <row r="36" spans="1:2">
      <c r="A36">
        <v>192911</v>
      </c>
      <c r="B36">
        <v>-0.15770000000000001</v>
      </c>
    </row>
    <row r="37" spans="1:2">
      <c r="A37">
        <v>192912</v>
      </c>
      <c r="B37">
        <v>-3.1400000000000004E-2</v>
      </c>
    </row>
    <row r="38" spans="1:2">
      <c r="A38">
        <v>193001</v>
      </c>
      <c r="B38">
        <v>0.1404</v>
      </c>
    </row>
    <row r="39" spans="1:2">
      <c r="A39">
        <v>193002</v>
      </c>
      <c r="B39">
        <v>2.3E-2</v>
      </c>
    </row>
    <row r="40" spans="1:2">
      <c r="A40">
        <v>193003</v>
      </c>
      <c r="B40">
        <v>0.13269999999999998</v>
      </c>
    </row>
    <row r="41" spans="1:2">
      <c r="A41">
        <v>193004</v>
      </c>
      <c r="B41">
        <v>-1.77E-2</v>
      </c>
    </row>
    <row r="42" spans="1:2">
      <c r="A42">
        <v>193005</v>
      </c>
      <c r="B42">
        <v>-4.3E-3</v>
      </c>
    </row>
    <row r="43" spans="1:2">
      <c r="A43">
        <v>193006</v>
      </c>
      <c r="B43">
        <v>-0.26350000000000001</v>
      </c>
    </row>
    <row r="44" spans="1:2">
      <c r="A44">
        <v>193007</v>
      </c>
      <c r="B44">
        <v>4.8000000000000001E-2</v>
      </c>
    </row>
    <row r="45" spans="1:2">
      <c r="A45">
        <v>193008</v>
      </c>
      <c r="B45">
        <v>-5.5199999999999999E-2</v>
      </c>
    </row>
    <row r="46" spans="1:2">
      <c r="A46">
        <v>193009</v>
      </c>
      <c r="B46">
        <v>-0.21640000000000001</v>
      </c>
    </row>
    <row r="47" spans="1:2">
      <c r="A47">
        <v>193010</v>
      </c>
      <c r="B47">
        <v>-0.1812</v>
      </c>
    </row>
    <row r="48" spans="1:2">
      <c r="A48">
        <v>193011</v>
      </c>
      <c r="B48">
        <v>1.43E-2</v>
      </c>
    </row>
    <row r="49" spans="1:2">
      <c r="A49">
        <v>193012</v>
      </c>
      <c r="B49">
        <v>-0.27280000000000004</v>
      </c>
    </row>
    <row r="50" spans="1:2">
      <c r="A50">
        <v>193101</v>
      </c>
      <c r="B50">
        <v>0.22969999999999999</v>
      </c>
    </row>
    <row r="51" spans="1:2">
      <c r="A51">
        <v>193102</v>
      </c>
      <c r="B51">
        <v>0.24510000000000001</v>
      </c>
    </row>
    <row r="52" spans="1:2">
      <c r="A52">
        <v>193103</v>
      </c>
      <c r="B52">
        <v>-0.15660000000000002</v>
      </c>
    </row>
    <row r="53" spans="1:2">
      <c r="A53">
        <v>193104</v>
      </c>
      <c r="B53">
        <v>-0.2601</v>
      </c>
    </row>
    <row r="54" spans="1:2">
      <c r="A54">
        <v>193105</v>
      </c>
      <c r="B54">
        <v>-0.19399999999999998</v>
      </c>
    </row>
    <row r="55" spans="1:2">
      <c r="A55">
        <v>193106</v>
      </c>
      <c r="B55">
        <v>0.37259999999999999</v>
      </c>
    </row>
    <row r="56" spans="1:2">
      <c r="A56">
        <v>193107</v>
      </c>
      <c r="B56">
        <v>-0.14990000000000001</v>
      </c>
    </row>
    <row r="57" spans="1:2">
      <c r="A57">
        <v>193108</v>
      </c>
      <c r="B57">
        <v>8.6899999999999991E-2</v>
      </c>
    </row>
    <row r="58" spans="1:2">
      <c r="A58">
        <v>193109</v>
      </c>
      <c r="B58">
        <v>-0.40700000000000003</v>
      </c>
    </row>
    <row r="59" spans="1:2">
      <c r="A59">
        <v>193110</v>
      </c>
      <c r="B59">
        <v>1.5100000000000001E-2</v>
      </c>
    </row>
    <row r="60" spans="1:2">
      <c r="A60">
        <v>193111</v>
      </c>
      <c r="B60">
        <v>-0.15789999999999998</v>
      </c>
    </row>
    <row r="61" spans="1:2">
      <c r="A61">
        <v>193112</v>
      </c>
      <c r="B61">
        <v>-0.30570000000000003</v>
      </c>
    </row>
    <row r="62" spans="1:2">
      <c r="A62">
        <v>193201</v>
      </c>
      <c r="B62">
        <v>0.17190000000000003</v>
      </c>
    </row>
    <row r="63" spans="1:2">
      <c r="A63">
        <v>193202</v>
      </c>
      <c r="B63">
        <v>-2.5000000000000001E-2</v>
      </c>
    </row>
    <row r="64" spans="1:2">
      <c r="A64">
        <v>193203</v>
      </c>
      <c r="B64">
        <v>-0.20420000000000002</v>
      </c>
    </row>
    <row r="65" spans="1:2">
      <c r="A65">
        <v>193204</v>
      </c>
      <c r="B65">
        <v>-0.25509999999999999</v>
      </c>
    </row>
    <row r="66" spans="1:2">
      <c r="A66">
        <v>193205</v>
      </c>
      <c r="B66">
        <v>-0.36100000000000004</v>
      </c>
    </row>
    <row r="67" spans="1:2">
      <c r="A67">
        <v>193206</v>
      </c>
      <c r="B67">
        <v>5.9000000000000004E-2</v>
      </c>
    </row>
    <row r="68" spans="1:2">
      <c r="A68">
        <v>193207</v>
      </c>
      <c r="B68">
        <v>0.74549999999999994</v>
      </c>
    </row>
    <row r="69" spans="1:2">
      <c r="A69">
        <v>193208</v>
      </c>
      <c r="B69">
        <v>0.9355</v>
      </c>
    </row>
    <row r="70" spans="1:2">
      <c r="A70">
        <v>193209</v>
      </c>
      <c r="B70">
        <v>-5.2499999999999998E-2</v>
      </c>
    </row>
    <row r="71" spans="1:2">
      <c r="A71">
        <v>193210</v>
      </c>
      <c r="B71">
        <v>-0.23300000000000001</v>
      </c>
    </row>
    <row r="72" spans="1:2">
      <c r="A72">
        <v>193211</v>
      </c>
      <c r="B72">
        <v>-0.13339999999999999</v>
      </c>
    </row>
    <row r="73" spans="1:2">
      <c r="A73">
        <v>193212</v>
      </c>
      <c r="B73">
        <v>-7.2999999999999995E-2</v>
      </c>
    </row>
    <row r="74" spans="1:2">
      <c r="A74">
        <v>193301</v>
      </c>
      <c r="B74">
        <v>-1.9199999999999998E-2</v>
      </c>
    </row>
    <row r="75" spans="1:2">
      <c r="A75">
        <v>193302</v>
      </c>
      <c r="B75">
        <v>-0.2452</v>
      </c>
    </row>
    <row r="76" spans="1:2">
      <c r="A76">
        <v>193303</v>
      </c>
      <c r="B76">
        <v>-5.0499999999999996E-2</v>
      </c>
    </row>
    <row r="77" spans="1:2">
      <c r="A77">
        <v>193304</v>
      </c>
      <c r="B77">
        <v>0.70799999999999996</v>
      </c>
    </row>
    <row r="78" spans="1:2">
      <c r="A78">
        <v>193305</v>
      </c>
      <c r="B78">
        <v>0.46299999999999997</v>
      </c>
    </row>
    <row r="79" spans="1:2">
      <c r="A79">
        <v>193306</v>
      </c>
      <c r="B79">
        <v>0.2422</v>
      </c>
    </row>
    <row r="80" spans="1:2">
      <c r="A80">
        <v>193307</v>
      </c>
      <c r="B80">
        <v>-7.3200000000000001E-2</v>
      </c>
    </row>
    <row r="81" spans="1:2">
      <c r="A81">
        <v>193308</v>
      </c>
      <c r="B81">
        <v>5.79E-2</v>
      </c>
    </row>
    <row r="82" spans="1:2">
      <c r="A82">
        <v>193309</v>
      </c>
      <c r="B82">
        <v>-0.2165</v>
      </c>
    </row>
    <row r="83" spans="1:2">
      <c r="A83">
        <v>193310</v>
      </c>
      <c r="B83">
        <v>-8.7300000000000003E-2</v>
      </c>
    </row>
    <row r="84" spans="1:2">
      <c r="A84">
        <v>193311</v>
      </c>
      <c r="B84">
        <v>-1.3500000000000002E-2</v>
      </c>
    </row>
    <row r="85" spans="1:2">
      <c r="A85">
        <v>193312</v>
      </c>
      <c r="B85">
        <v>7.4000000000000003E-3</v>
      </c>
    </row>
    <row r="86" spans="1:2">
      <c r="A86">
        <v>193401</v>
      </c>
      <c r="B86">
        <v>0.22239999999999999</v>
      </c>
    </row>
    <row r="87" spans="1:2">
      <c r="A87">
        <v>193402</v>
      </c>
      <c r="B87">
        <v>-1.9599999999999999E-2</v>
      </c>
    </row>
    <row r="88" spans="1:2">
      <c r="A88">
        <v>193403</v>
      </c>
      <c r="B88">
        <v>-3.3000000000000004E-3</v>
      </c>
    </row>
    <row r="89" spans="1:2">
      <c r="A89">
        <v>193404</v>
      </c>
      <c r="B89">
        <v>-2.0000000000000001E-4</v>
      </c>
    </row>
    <row r="90" spans="1:2">
      <c r="A90">
        <v>193405</v>
      </c>
      <c r="B90">
        <v>-5.8300000000000005E-2</v>
      </c>
    </row>
    <row r="91" spans="1:2">
      <c r="A91">
        <v>193406</v>
      </c>
      <c r="B91">
        <v>1.7399999999999999E-2</v>
      </c>
    </row>
    <row r="92" spans="1:2">
      <c r="A92">
        <v>193407</v>
      </c>
      <c r="B92">
        <v>-0.26860000000000001</v>
      </c>
    </row>
    <row r="93" spans="1:2">
      <c r="A93">
        <v>193408</v>
      </c>
      <c r="B93">
        <v>3.1800000000000002E-2</v>
      </c>
    </row>
    <row r="94" spans="1:2">
      <c r="A94">
        <v>193409</v>
      </c>
      <c r="B94">
        <v>1.4800000000000001E-2</v>
      </c>
    </row>
    <row r="95" spans="1:2">
      <c r="A95">
        <v>193410</v>
      </c>
      <c r="B95">
        <v>-6.5100000000000005E-2</v>
      </c>
    </row>
    <row r="96" spans="1:2">
      <c r="A96">
        <v>193411</v>
      </c>
      <c r="B96">
        <v>0.12909999999999999</v>
      </c>
    </row>
    <row r="97" spans="1:2">
      <c r="A97">
        <v>193412</v>
      </c>
      <c r="B97">
        <v>-3.3000000000000004E-3</v>
      </c>
    </row>
    <row r="98" spans="1:2">
      <c r="A98">
        <v>193501</v>
      </c>
      <c r="B98">
        <v>-6.8600000000000008E-2</v>
      </c>
    </row>
    <row r="99" spans="1:2">
      <c r="A99">
        <v>193502</v>
      </c>
      <c r="B99">
        <v>-0.218</v>
      </c>
    </row>
    <row r="100" spans="1:2">
      <c r="A100">
        <v>193503</v>
      </c>
      <c r="B100">
        <v>0.01</v>
      </c>
    </row>
    <row r="101" spans="1:2">
      <c r="A101">
        <v>193504</v>
      </c>
      <c r="B101">
        <v>9.2100000000000015E-2</v>
      </c>
    </row>
    <row r="102" spans="1:2">
      <c r="A102">
        <v>193505</v>
      </c>
      <c r="B102">
        <v>4.9200000000000001E-2</v>
      </c>
    </row>
    <row r="103" spans="1:2">
      <c r="A103">
        <v>193506</v>
      </c>
      <c r="B103">
        <v>-1.41E-2</v>
      </c>
    </row>
    <row r="104" spans="1:2">
      <c r="A104">
        <v>193507</v>
      </c>
      <c r="B104">
        <v>0.12</v>
      </c>
    </row>
    <row r="105" spans="1:2">
      <c r="A105">
        <v>193508</v>
      </c>
      <c r="B105">
        <v>0.21309999999999998</v>
      </c>
    </row>
    <row r="106" spans="1:2">
      <c r="A106">
        <v>193509</v>
      </c>
      <c r="B106">
        <v>-0.1381</v>
      </c>
    </row>
    <row r="107" spans="1:2">
      <c r="A107">
        <v>193510</v>
      </c>
      <c r="B107">
        <v>7.85E-2</v>
      </c>
    </row>
    <row r="108" spans="1:2">
      <c r="A108">
        <v>193511</v>
      </c>
      <c r="B108">
        <v>0.20300000000000001</v>
      </c>
    </row>
    <row r="109" spans="1:2">
      <c r="A109">
        <v>193512</v>
      </c>
      <c r="B109">
        <v>-3.7000000000000002E-3</v>
      </c>
    </row>
    <row r="110" spans="1:2">
      <c r="A110">
        <v>193601</v>
      </c>
      <c r="B110">
        <v>0.1158</v>
      </c>
    </row>
    <row r="111" spans="1:2">
      <c r="A111">
        <v>193602</v>
      </c>
      <c r="B111">
        <v>2.2400000000000003E-2</v>
      </c>
    </row>
    <row r="112" spans="1:2">
      <c r="A112">
        <v>193603</v>
      </c>
      <c r="B112">
        <v>-1.47E-2</v>
      </c>
    </row>
    <row r="113" spans="1:2">
      <c r="A113">
        <v>193604</v>
      </c>
      <c r="B113">
        <v>-2.8199999999999999E-2</v>
      </c>
    </row>
    <row r="114" spans="1:2">
      <c r="A114">
        <v>193605</v>
      </c>
      <c r="B114">
        <v>4.7400000000000005E-2</v>
      </c>
    </row>
    <row r="115" spans="1:2">
      <c r="A115">
        <v>193606</v>
      </c>
      <c r="B115">
        <v>3.1300000000000001E-2</v>
      </c>
    </row>
    <row r="116" spans="1:2">
      <c r="A116">
        <v>193607</v>
      </c>
      <c r="B116">
        <v>9.7000000000000003E-3</v>
      </c>
    </row>
    <row r="117" spans="1:2">
      <c r="A117">
        <v>193608</v>
      </c>
      <c r="B117">
        <v>1.1299999999999999E-2</v>
      </c>
    </row>
    <row r="118" spans="1:2">
      <c r="A118">
        <v>193609</v>
      </c>
      <c r="B118">
        <v>0.01</v>
      </c>
    </row>
    <row r="119" spans="1:2">
      <c r="A119">
        <v>193610</v>
      </c>
      <c r="B119">
        <v>7.6300000000000007E-2</v>
      </c>
    </row>
    <row r="120" spans="1:2">
      <c r="A120">
        <v>193611</v>
      </c>
      <c r="B120">
        <v>1.8800000000000001E-2</v>
      </c>
    </row>
    <row r="121" spans="1:2">
      <c r="A121">
        <v>193612</v>
      </c>
      <c r="B121">
        <v>-1.1399999999999999E-2</v>
      </c>
    </row>
    <row r="122" spans="1:2">
      <c r="A122">
        <v>193701</v>
      </c>
      <c r="B122">
        <v>1.7399999999999999E-2</v>
      </c>
    </row>
    <row r="123" spans="1:2">
      <c r="A123">
        <v>193702</v>
      </c>
      <c r="B123">
        <v>-8.3999999999999995E-3</v>
      </c>
    </row>
    <row r="124" spans="1:2">
      <c r="A124">
        <v>193703</v>
      </c>
      <c r="B124">
        <v>-0.02</v>
      </c>
    </row>
    <row r="125" spans="1:2">
      <c r="A125">
        <v>193704</v>
      </c>
      <c r="B125">
        <v>-0.1076</v>
      </c>
    </row>
    <row r="126" spans="1:2">
      <c r="A126">
        <v>193705</v>
      </c>
      <c r="B126">
        <v>-2.2100000000000002E-2</v>
      </c>
    </row>
    <row r="127" spans="1:2">
      <c r="A127">
        <v>193706</v>
      </c>
      <c r="B127">
        <v>-5.0800000000000005E-2</v>
      </c>
    </row>
    <row r="128" spans="1:2">
      <c r="A128">
        <v>193707</v>
      </c>
      <c r="B128">
        <v>0.13200000000000001</v>
      </c>
    </row>
    <row r="129" spans="1:2">
      <c r="A129">
        <v>193708</v>
      </c>
      <c r="B129">
        <v>-8.4700000000000011E-2</v>
      </c>
    </row>
    <row r="130" spans="1:2">
      <c r="A130">
        <v>193709</v>
      </c>
      <c r="B130">
        <v>-0.17050000000000001</v>
      </c>
    </row>
    <row r="131" spans="1:2">
      <c r="A131">
        <v>193710</v>
      </c>
      <c r="B131">
        <v>-6.5799999999999997E-2</v>
      </c>
    </row>
    <row r="132" spans="1:2">
      <c r="A132">
        <v>193711</v>
      </c>
      <c r="B132">
        <v>-2.5400000000000002E-2</v>
      </c>
    </row>
    <row r="133" spans="1:2">
      <c r="A133">
        <v>193712</v>
      </c>
      <c r="B133">
        <v>-0.16550000000000001</v>
      </c>
    </row>
    <row r="134" spans="1:2">
      <c r="A134">
        <v>193801</v>
      </c>
      <c r="B134">
        <v>7.2099999999999997E-2</v>
      </c>
    </row>
    <row r="135" spans="1:2">
      <c r="A135">
        <v>193802</v>
      </c>
      <c r="B135">
        <v>9.1199999999999989E-2</v>
      </c>
    </row>
    <row r="136" spans="1:2">
      <c r="A136">
        <v>193803</v>
      </c>
      <c r="B136">
        <v>-0.42259999999999998</v>
      </c>
    </row>
    <row r="137" spans="1:2">
      <c r="A137">
        <v>193804</v>
      </c>
      <c r="B137">
        <v>0.24760000000000001</v>
      </c>
    </row>
    <row r="138" spans="1:2">
      <c r="A138">
        <v>193805</v>
      </c>
      <c r="B138">
        <v>-8.0600000000000005E-2</v>
      </c>
    </row>
    <row r="139" spans="1:2">
      <c r="A139">
        <v>193806</v>
      </c>
      <c r="B139">
        <v>0.43579999999999997</v>
      </c>
    </row>
    <row r="140" spans="1:2">
      <c r="A140">
        <v>193807</v>
      </c>
      <c r="B140">
        <v>0.2233</v>
      </c>
    </row>
    <row r="141" spans="1:2">
      <c r="A141">
        <v>193808</v>
      </c>
      <c r="B141">
        <v>-7.8300000000000008E-2</v>
      </c>
    </row>
    <row r="142" spans="1:2">
      <c r="A142">
        <v>193809</v>
      </c>
      <c r="B142">
        <v>-4.2000000000000003E-2</v>
      </c>
    </row>
    <row r="143" spans="1:2">
      <c r="A143">
        <v>193810</v>
      </c>
      <c r="B143">
        <v>0.21780000000000002</v>
      </c>
    </row>
    <row r="144" spans="1:2">
      <c r="A144">
        <v>193811</v>
      </c>
      <c r="B144">
        <v>-0.10869999999999999</v>
      </c>
    </row>
    <row r="145" spans="1:2">
      <c r="A145">
        <v>193812</v>
      </c>
      <c r="B145">
        <v>9.4000000000000004E-3</v>
      </c>
    </row>
    <row r="146" spans="1:2">
      <c r="A146">
        <v>193901</v>
      </c>
      <c r="B146">
        <v>-4.3400000000000001E-2</v>
      </c>
    </row>
    <row r="147" spans="1:2">
      <c r="A147">
        <v>193902</v>
      </c>
      <c r="B147">
        <v>-5.4000000000000003E-3</v>
      </c>
    </row>
    <row r="148" spans="1:2">
      <c r="A148">
        <v>193903</v>
      </c>
      <c r="B148">
        <v>-0.16800000000000001</v>
      </c>
    </row>
    <row r="149" spans="1:2">
      <c r="A149">
        <v>193904</v>
      </c>
      <c r="B149">
        <v>8.8000000000000005E-3</v>
      </c>
    </row>
    <row r="150" spans="1:2">
      <c r="A150">
        <v>193905</v>
      </c>
      <c r="B150">
        <v>4.2999999999999997E-2</v>
      </c>
    </row>
    <row r="151" spans="1:2">
      <c r="A151">
        <v>193906</v>
      </c>
      <c r="B151">
        <v>-0.12480000000000001</v>
      </c>
    </row>
    <row r="152" spans="1:2">
      <c r="A152">
        <v>193907</v>
      </c>
      <c r="B152">
        <v>0.10070000000000001</v>
      </c>
    </row>
    <row r="153" spans="1:2">
      <c r="A153">
        <v>193908</v>
      </c>
      <c r="B153">
        <v>-0.15290000000000001</v>
      </c>
    </row>
    <row r="154" spans="1:2">
      <c r="A154">
        <v>193909</v>
      </c>
      <c r="B154">
        <v>0.53180000000000005</v>
      </c>
    </row>
    <row r="155" spans="1:2">
      <c r="A155">
        <v>193910</v>
      </c>
      <c r="B155">
        <v>-7.3599999999999999E-2</v>
      </c>
    </row>
    <row r="156" spans="1:2">
      <c r="A156">
        <v>193911</v>
      </c>
      <c r="B156">
        <v>-6.5100000000000005E-2</v>
      </c>
    </row>
    <row r="157" spans="1:2">
      <c r="A157">
        <v>193912</v>
      </c>
      <c r="B157">
        <v>-6.8999999999999999E-3</v>
      </c>
    </row>
    <row r="158" spans="1:2">
      <c r="A158">
        <v>194001</v>
      </c>
      <c r="B158">
        <v>-1.5500000000000002E-2</v>
      </c>
    </row>
    <row r="159" spans="1:2">
      <c r="A159">
        <v>194002</v>
      </c>
      <c r="B159">
        <v>-1.3100000000000001E-2</v>
      </c>
    </row>
    <row r="160" spans="1:2">
      <c r="A160">
        <v>194003</v>
      </c>
      <c r="B160">
        <v>3.0200000000000001E-2</v>
      </c>
    </row>
    <row r="161" spans="1:2">
      <c r="A161">
        <v>194004</v>
      </c>
      <c r="B161">
        <v>-4.0599999999999997E-2</v>
      </c>
    </row>
    <row r="162" spans="1:2">
      <c r="A162">
        <v>194005</v>
      </c>
      <c r="B162">
        <v>-0.26230000000000003</v>
      </c>
    </row>
    <row r="163" spans="1:2">
      <c r="A163">
        <v>194006</v>
      </c>
      <c r="B163">
        <v>9.3000000000000013E-2</v>
      </c>
    </row>
    <row r="164" spans="1:2">
      <c r="A164">
        <v>194007</v>
      </c>
      <c r="B164">
        <v>1.3899999999999999E-2</v>
      </c>
    </row>
    <row r="165" spans="1:2">
      <c r="A165">
        <v>194008</v>
      </c>
      <c r="B165">
        <v>6.6799999999999998E-2</v>
      </c>
    </row>
    <row r="166" spans="1:2">
      <c r="A166">
        <v>194009</v>
      </c>
      <c r="B166">
        <v>1.9599999999999999E-2</v>
      </c>
    </row>
    <row r="167" spans="1:2">
      <c r="A167">
        <v>194010</v>
      </c>
      <c r="B167">
        <v>4.8899999999999999E-2</v>
      </c>
    </row>
    <row r="168" spans="1:2">
      <c r="A168">
        <v>194011</v>
      </c>
      <c r="B168">
        <v>-1.47E-2</v>
      </c>
    </row>
    <row r="169" spans="1:2">
      <c r="A169">
        <v>194012</v>
      </c>
      <c r="B169">
        <v>-4.6699999999999998E-2</v>
      </c>
    </row>
    <row r="170" spans="1:2">
      <c r="A170">
        <v>194101</v>
      </c>
      <c r="B170">
        <v>8.1000000000000013E-3</v>
      </c>
    </row>
    <row r="171" spans="1:2">
      <c r="A171">
        <v>194102</v>
      </c>
      <c r="B171">
        <v>-2.2000000000000002E-2</v>
      </c>
    </row>
    <row r="172" spans="1:2">
      <c r="A172">
        <v>194103</v>
      </c>
      <c r="B172">
        <v>-3.2500000000000001E-2</v>
      </c>
    </row>
    <row r="173" spans="1:2">
      <c r="A173">
        <v>194104</v>
      </c>
      <c r="B173">
        <v>-0.1169</v>
      </c>
    </row>
    <row r="174" spans="1:2">
      <c r="A174">
        <v>194105</v>
      </c>
      <c r="B174">
        <v>1.5600000000000001E-2</v>
      </c>
    </row>
    <row r="175" spans="1:2">
      <c r="A175">
        <v>194106</v>
      </c>
      <c r="B175">
        <v>5.3700000000000005E-2</v>
      </c>
    </row>
    <row r="176" spans="1:2">
      <c r="A176">
        <v>194107</v>
      </c>
      <c r="B176">
        <v>9.5000000000000001E-2</v>
      </c>
    </row>
    <row r="177" spans="1:2">
      <c r="A177">
        <v>194108</v>
      </c>
      <c r="B177">
        <v>-2.07E-2</v>
      </c>
    </row>
    <row r="178" spans="1:2">
      <c r="A178">
        <v>194109</v>
      </c>
      <c r="B178">
        <v>1.7399999999999999E-2</v>
      </c>
    </row>
    <row r="179" spans="1:2">
      <c r="A179">
        <v>194110</v>
      </c>
      <c r="B179">
        <v>-0.10880000000000001</v>
      </c>
    </row>
    <row r="180" spans="1:2">
      <c r="A180">
        <v>194111</v>
      </c>
      <c r="B180">
        <v>-9.0200000000000002E-2</v>
      </c>
    </row>
    <row r="181" spans="1:2">
      <c r="A181">
        <v>194112</v>
      </c>
      <c r="B181">
        <v>-0.1023</v>
      </c>
    </row>
    <row r="182" spans="1:2">
      <c r="A182">
        <v>194201</v>
      </c>
      <c r="B182">
        <v>0.10550000000000001</v>
      </c>
    </row>
    <row r="183" spans="1:2">
      <c r="A183">
        <v>194202</v>
      </c>
      <c r="B183">
        <v>-6.6000000000000008E-3</v>
      </c>
    </row>
    <row r="184" spans="1:2">
      <c r="A184">
        <v>194203</v>
      </c>
      <c r="B184">
        <v>-0.1144</v>
      </c>
    </row>
    <row r="185" spans="1:2">
      <c r="A185">
        <v>194204</v>
      </c>
      <c r="B185">
        <v>7.4000000000000003E-3</v>
      </c>
    </row>
    <row r="186" spans="1:2">
      <c r="A186">
        <v>194205</v>
      </c>
      <c r="B186">
        <v>9.4899999999999998E-2</v>
      </c>
    </row>
    <row r="187" spans="1:2">
      <c r="A187">
        <v>194206</v>
      </c>
      <c r="B187">
        <v>2.5499999999999998E-2</v>
      </c>
    </row>
    <row r="188" spans="1:2">
      <c r="A188">
        <v>194207</v>
      </c>
      <c r="B188">
        <v>2.8799999999999999E-2</v>
      </c>
    </row>
    <row r="189" spans="1:2">
      <c r="A189">
        <v>194208</v>
      </c>
      <c r="B189">
        <v>2.0299999999999999E-2</v>
      </c>
    </row>
    <row r="190" spans="1:2">
      <c r="A190">
        <v>194209</v>
      </c>
      <c r="B190">
        <v>5.1799999999999999E-2</v>
      </c>
    </row>
    <row r="191" spans="1:2">
      <c r="A191">
        <v>194210</v>
      </c>
      <c r="B191">
        <v>0.1409</v>
      </c>
    </row>
    <row r="192" spans="1:2">
      <c r="A192">
        <v>194211</v>
      </c>
      <c r="B192">
        <v>-1.47E-2</v>
      </c>
    </row>
    <row r="193" spans="1:2">
      <c r="A193">
        <v>194212</v>
      </c>
      <c r="B193">
        <v>2.8799999999999999E-2</v>
      </c>
    </row>
    <row r="194" spans="1:2">
      <c r="A194">
        <v>194301</v>
      </c>
      <c r="B194">
        <v>0.1094</v>
      </c>
    </row>
    <row r="195" spans="1:2">
      <c r="A195">
        <v>194302</v>
      </c>
      <c r="B195">
        <v>0.153</v>
      </c>
    </row>
    <row r="196" spans="1:2">
      <c r="A196">
        <v>194303</v>
      </c>
      <c r="B196">
        <v>9.1199999999999989E-2</v>
      </c>
    </row>
    <row r="197" spans="1:2">
      <c r="A197">
        <v>194304</v>
      </c>
      <c r="B197">
        <v>-2.7300000000000001E-2</v>
      </c>
    </row>
    <row r="198" spans="1:2">
      <c r="A198">
        <v>194305</v>
      </c>
      <c r="B198">
        <v>3.9600000000000003E-2</v>
      </c>
    </row>
    <row r="199" spans="1:2">
      <c r="A199">
        <v>194306</v>
      </c>
      <c r="B199">
        <v>2.0199999999999999E-2</v>
      </c>
    </row>
    <row r="200" spans="1:2">
      <c r="A200">
        <v>194307</v>
      </c>
      <c r="B200">
        <v>-1.83E-2</v>
      </c>
    </row>
    <row r="201" spans="1:2">
      <c r="A201">
        <v>194308</v>
      </c>
      <c r="B201">
        <v>5.7999999999999996E-3</v>
      </c>
    </row>
    <row r="202" spans="1:2">
      <c r="A202">
        <v>194309</v>
      </c>
      <c r="B202">
        <v>0.01</v>
      </c>
    </row>
    <row r="203" spans="1:2">
      <c r="A203">
        <v>194310</v>
      </c>
      <c r="B203">
        <v>-1E-4</v>
      </c>
    </row>
    <row r="204" spans="1:2">
      <c r="A204">
        <v>194311</v>
      </c>
      <c r="B204">
        <v>-7.6100000000000001E-2</v>
      </c>
    </row>
    <row r="205" spans="1:2">
      <c r="A205">
        <v>194312</v>
      </c>
      <c r="B205">
        <v>3.8199999999999998E-2</v>
      </c>
    </row>
    <row r="206" spans="1:2">
      <c r="A206">
        <v>194401</v>
      </c>
      <c r="B206">
        <v>8.6E-3</v>
      </c>
    </row>
    <row r="207" spans="1:2">
      <c r="A207">
        <v>194402</v>
      </c>
      <c r="B207">
        <v>9.300000000000001E-3</v>
      </c>
    </row>
    <row r="208" spans="1:2">
      <c r="A208">
        <v>194403</v>
      </c>
      <c r="B208">
        <v>9.0000000000000011E-3</v>
      </c>
    </row>
    <row r="209" spans="1:2">
      <c r="A209">
        <v>194404</v>
      </c>
      <c r="B209">
        <v>-3.9E-2</v>
      </c>
    </row>
    <row r="210" spans="1:2">
      <c r="A210">
        <v>194405</v>
      </c>
      <c r="B210">
        <v>3.3599999999999998E-2</v>
      </c>
    </row>
    <row r="211" spans="1:2">
      <c r="A211">
        <v>194406</v>
      </c>
      <c r="B211">
        <v>0.1452</v>
      </c>
    </row>
    <row r="212" spans="1:2">
      <c r="A212">
        <v>194407</v>
      </c>
      <c r="B212">
        <v>-2.5099999999999997E-2</v>
      </c>
    </row>
    <row r="213" spans="1:2">
      <c r="A213">
        <v>194408</v>
      </c>
      <c r="B213">
        <v>-4.3E-3</v>
      </c>
    </row>
    <row r="214" spans="1:2">
      <c r="A214">
        <v>194409</v>
      </c>
      <c r="B214">
        <v>-2.6000000000000003E-3</v>
      </c>
    </row>
    <row r="215" spans="1:2">
      <c r="A215">
        <v>194410</v>
      </c>
      <c r="B215">
        <v>1.8200000000000001E-2</v>
      </c>
    </row>
    <row r="216" spans="1:2">
      <c r="A216">
        <v>194411</v>
      </c>
      <c r="B216">
        <v>1.7600000000000001E-2</v>
      </c>
    </row>
    <row r="217" spans="1:2">
      <c r="A217">
        <v>194412</v>
      </c>
      <c r="B217">
        <v>3.85E-2</v>
      </c>
    </row>
    <row r="218" spans="1:2">
      <c r="A218">
        <v>194501</v>
      </c>
      <c r="B218">
        <v>3.2000000000000001E-2</v>
      </c>
    </row>
    <row r="219" spans="1:2">
      <c r="A219">
        <v>194502</v>
      </c>
      <c r="B219">
        <v>6.25E-2</v>
      </c>
    </row>
    <row r="220" spans="1:2">
      <c r="A220">
        <v>194503</v>
      </c>
      <c r="B220">
        <v>-2.0899999999999998E-2</v>
      </c>
    </row>
    <row r="221" spans="1:2">
      <c r="A221">
        <v>194504</v>
      </c>
      <c r="B221">
        <v>4.6500000000000007E-2</v>
      </c>
    </row>
    <row r="222" spans="1:2">
      <c r="A222">
        <v>194505</v>
      </c>
      <c r="B222">
        <v>2.4900000000000002E-2</v>
      </c>
    </row>
    <row r="223" spans="1:2">
      <c r="A223">
        <v>194506</v>
      </c>
      <c r="B223">
        <v>3.8E-3</v>
      </c>
    </row>
    <row r="224" spans="1:2">
      <c r="A224">
        <v>194507</v>
      </c>
      <c r="B224">
        <v>-2.4900000000000002E-2</v>
      </c>
    </row>
    <row r="225" spans="1:2">
      <c r="A225">
        <v>194508</v>
      </c>
      <c r="B225">
        <v>7.7600000000000002E-2</v>
      </c>
    </row>
    <row r="226" spans="1:2">
      <c r="A226">
        <v>194509</v>
      </c>
      <c r="B226">
        <v>6.2100000000000002E-2</v>
      </c>
    </row>
    <row r="227" spans="1:2">
      <c r="A227">
        <v>194510</v>
      </c>
      <c r="B227">
        <v>5.2000000000000005E-2</v>
      </c>
    </row>
    <row r="228" spans="1:2">
      <c r="A228">
        <v>194511</v>
      </c>
      <c r="B228">
        <v>4.5100000000000001E-2</v>
      </c>
    </row>
    <row r="229" spans="1:2">
      <c r="A229">
        <v>194512</v>
      </c>
      <c r="B229">
        <v>3.9000000000000003E-3</v>
      </c>
    </row>
    <row r="230" spans="1:2">
      <c r="A230">
        <v>194601</v>
      </c>
      <c r="B230">
        <v>4.8000000000000001E-2</v>
      </c>
    </row>
    <row r="231" spans="1:2">
      <c r="A231">
        <v>194602</v>
      </c>
      <c r="B231">
        <v>-4.3700000000000003E-2</v>
      </c>
    </row>
    <row r="232" spans="1:2">
      <c r="A232">
        <v>194603</v>
      </c>
      <c r="B232">
        <v>8.1099999999999992E-2</v>
      </c>
    </row>
    <row r="233" spans="1:2">
      <c r="A233">
        <v>194604</v>
      </c>
      <c r="B233">
        <v>4.6900000000000004E-2</v>
      </c>
    </row>
    <row r="234" spans="1:2">
      <c r="A234">
        <v>194605</v>
      </c>
      <c r="B234">
        <v>0.05</v>
      </c>
    </row>
    <row r="235" spans="1:2">
      <c r="A235">
        <v>194606</v>
      </c>
      <c r="B235">
        <v>-4.41E-2</v>
      </c>
    </row>
    <row r="236" spans="1:2">
      <c r="A236">
        <v>194607</v>
      </c>
      <c r="B236">
        <v>-3.9E-2</v>
      </c>
    </row>
    <row r="237" spans="1:2">
      <c r="A237">
        <v>194608</v>
      </c>
      <c r="B237">
        <v>-7.8100000000000003E-2</v>
      </c>
    </row>
    <row r="238" spans="1:2">
      <c r="A238">
        <v>194609</v>
      </c>
      <c r="B238">
        <v>-0.14449999999999999</v>
      </c>
    </row>
    <row r="239" spans="1:2">
      <c r="A239">
        <v>194610</v>
      </c>
      <c r="B239">
        <v>-2.7200000000000002E-2</v>
      </c>
    </row>
    <row r="240" spans="1:2">
      <c r="A240">
        <v>194611</v>
      </c>
      <c r="B240">
        <v>-3.9E-2</v>
      </c>
    </row>
    <row r="241" spans="1:2">
      <c r="A241">
        <v>194612</v>
      </c>
      <c r="B241">
        <v>3.7100000000000001E-2</v>
      </c>
    </row>
    <row r="242" spans="1:2">
      <c r="A242">
        <v>194701</v>
      </c>
      <c r="B242">
        <v>5.9000000000000004E-2</v>
      </c>
    </row>
    <row r="243" spans="1:2">
      <c r="A243">
        <v>194702</v>
      </c>
      <c r="B243">
        <v>5.0000000000000001E-4</v>
      </c>
    </row>
    <row r="244" spans="1:2">
      <c r="A244">
        <v>194703</v>
      </c>
      <c r="B244">
        <v>-6.9500000000000006E-2</v>
      </c>
    </row>
    <row r="245" spans="1:2">
      <c r="A245">
        <v>194704</v>
      </c>
      <c r="B245">
        <v>-0.11460000000000001</v>
      </c>
    </row>
    <row r="246" spans="1:2">
      <c r="A246">
        <v>194705</v>
      </c>
      <c r="B246">
        <v>-6.9800000000000001E-2</v>
      </c>
    </row>
    <row r="247" spans="1:2">
      <c r="A247">
        <v>194706</v>
      </c>
      <c r="B247">
        <v>7.4999999999999997E-2</v>
      </c>
    </row>
    <row r="248" spans="1:2">
      <c r="A248">
        <v>194707</v>
      </c>
      <c r="B248">
        <v>9.1700000000000004E-2</v>
      </c>
    </row>
    <row r="249" spans="1:2">
      <c r="A249">
        <v>194708</v>
      </c>
      <c r="B249">
        <v>-5.5199999999999999E-2</v>
      </c>
    </row>
    <row r="250" spans="1:2">
      <c r="A250">
        <v>194709</v>
      </c>
      <c r="B250">
        <v>3.7900000000000003E-2</v>
      </c>
    </row>
    <row r="251" spans="1:2">
      <c r="A251">
        <v>194710</v>
      </c>
      <c r="B251">
        <v>-2E-3</v>
      </c>
    </row>
    <row r="252" spans="1:2">
      <c r="A252">
        <v>194711</v>
      </c>
      <c r="B252">
        <v>-5.8099999999999999E-2</v>
      </c>
    </row>
    <row r="253" spans="1:2">
      <c r="A253">
        <v>194712</v>
      </c>
      <c r="B253">
        <v>-3.8E-3</v>
      </c>
    </row>
    <row r="254" spans="1:2">
      <c r="A254">
        <v>194801</v>
      </c>
      <c r="B254">
        <v>-1.5E-3</v>
      </c>
    </row>
    <row r="255" spans="1:2">
      <c r="A255">
        <v>194802</v>
      </c>
      <c r="B255">
        <v>-8.0700000000000008E-2</v>
      </c>
    </row>
    <row r="256" spans="1:2">
      <c r="A256">
        <v>194803</v>
      </c>
      <c r="B256">
        <v>0.15620000000000001</v>
      </c>
    </row>
    <row r="257" spans="1:2">
      <c r="A257">
        <v>194804</v>
      </c>
      <c r="B257">
        <v>1.5E-3</v>
      </c>
    </row>
    <row r="258" spans="1:2">
      <c r="A258">
        <v>194805</v>
      </c>
      <c r="B258">
        <v>7.2700000000000001E-2</v>
      </c>
    </row>
    <row r="259" spans="1:2">
      <c r="A259">
        <v>194806</v>
      </c>
      <c r="B259">
        <v>-5.2499999999999998E-2</v>
      </c>
    </row>
    <row r="260" spans="1:2">
      <c r="A260">
        <v>194807</v>
      </c>
      <c r="B260">
        <v>-3.3000000000000002E-2</v>
      </c>
    </row>
    <row r="261" spans="1:2">
      <c r="A261">
        <v>194808</v>
      </c>
      <c r="B261">
        <v>1.1299999999999999E-2</v>
      </c>
    </row>
    <row r="262" spans="1:2">
      <c r="A262">
        <v>194809</v>
      </c>
      <c r="B262">
        <v>-6.3500000000000001E-2</v>
      </c>
    </row>
    <row r="263" spans="1:2">
      <c r="A263">
        <v>194810</v>
      </c>
      <c r="B263">
        <v>4.02E-2</v>
      </c>
    </row>
    <row r="264" spans="1:2">
      <c r="A264">
        <v>194811</v>
      </c>
      <c r="B264">
        <v>-0.15859999999999999</v>
      </c>
    </row>
    <row r="265" spans="1:2">
      <c r="A265">
        <v>194812</v>
      </c>
      <c r="B265">
        <v>-6.1000000000000004E-3</v>
      </c>
    </row>
    <row r="266" spans="1:2">
      <c r="A266">
        <v>194901</v>
      </c>
      <c r="B266">
        <v>5.91E-2</v>
      </c>
    </row>
    <row r="267" spans="1:2">
      <c r="A267">
        <v>194902</v>
      </c>
      <c r="B267">
        <v>-5.2800000000000007E-2</v>
      </c>
    </row>
    <row r="268" spans="1:2">
      <c r="A268">
        <v>194903</v>
      </c>
      <c r="B268">
        <v>9.0500000000000011E-2</v>
      </c>
    </row>
    <row r="269" spans="1:2">
      <c r="A269">
        <v>194904</v>
      </c>
      <c r="B269">
        <v>-4.7300000000000009E-2</v>
      </c>
    </row>
    <row r="270" spans="1:2">
      <c r="A270">
        <v>194905</v>
      </c>
      <c r="B270">
        <v>-6.8000000000000005E-2</v>
      </c>
    </row>
    <row r="271" spans="1:2">
      <c r="A271">
        <v>194906</v>
      </c>
      <c r="B271">
        <v>1.3000000000000001E-2</v>
      </c>
    </row>
    <row r="272" spans="1:2">
      <c r="A272">
        <v>194907</v>
      </c>
      <c r="B272">
        <v>7.0999999999999994E-2</v>
      </c>
    </row>
    <row r="273" spans="1:2">
      <c r="A273">
        <v>194908</v>
      </c>
      <c r="B273">
        <v>2.4400000000000002E-2</v>
      </c>
    </row>
    <row r="274" spans="1:2">
      <c r="A274">
        <v>194909</v>
      </c>
      <c r="B274">
        <v>6.0499999999999998E-2</v>
      </c>
    </row>
    <row r="275" spans="1:2">
      <c r="A275">
        <v>194910</v>
      </c>
      <c r="B275">
        <v>3.9600000000000003E-2</v>
      </c>
    </row>
    <row r="276" spans="1:2">
      <c r="A276">
        <v>194911</v>
      </c>
      <c r="B276">
        <v>-8.3000000000000001E-3</v>
      </c>
    </row>
    <row r="277" spans="1:2">
      <c r="A277">
        <v>194912</v>
      </c>
      <c r="B277">
        <v>0.106</v>
      </c>
    </row>
    <row r="278" spans="1:2">
      <c r="A278">
        <v>195001</v>
      </c>
      <c r="B278">
        <v>5.79E-2</v>
      </c>
    </row>
    <row r="279" spans="1:2">
      <c r="A279">
        <v>195002</v>
      </c>
      <c r="B279">
        <v>-4.8999999999999998E-3</v>
      </c>
    </row>
    <row r="280" spans="1:2">
      <c r="A280">
        <v>195003</v>
      </c>
      <c r="B280">
        <v>-2.5700000000000001E-2</v>
      </c>
    </row>
    <row r="281" spans="1:2">
      <c r="A281">
        <v>195004</v>
      </c>
      <c r="B281">
        <v>4.7599999999999996E-2</v>
      </c>
    </row>
    <row r="282" spans="1:2">
      <c r="A282">
        <v>195005</v>
      </c>
      <c r="B282">
        <v>3.1300000000000001E-2</v>
      </c>
    </row>
    <row r="283" spans="1:2">
      <c r="A283">
        <v>195006</v>
      </c>
      <c r="B283">
        <v>-5.9299999999999999E-2</v>
      </c>
    </row>
    <row r="284" spans="1:2">
      <c r="A284">
        <v>195007</v>
      </c>
      <c r="B284">
        <v>0.03</v>
      </c>
    </row>
    <row r="285" spans="1:2">
      <c r="A285">
        <v>195008</v>
      </c>
      <c r="B285">
        <v>3.3700000000000001E-2</v>
      </c>
    </row>
    <row r="286" spans="1:2">
      <c r="A286">
        <v>195009</v>
      </c>
      <c r="B286">
        <v>6.2899999999999998E-2</v>
      </c>
    </row>
    <row r="287" spans="1:2">
      <c r="A287">
        <v>195010</v>
      </c>
      <c r="B287">
        <v>-1.03E-2</v>
      </c>
    </row>
    <row r="288" spans="1:2">
      <c r="A288">
        <v>195011</v>
      </c>
      <c r="B288">
        <v>-1.5700000000000002E-2</v>
      </c>
    </row>
    <row r="289" spans="1:2">
      <c r="A289">
        <v>195012</v>
      </c>
      <c r="B289">
        <v>1.7500000000000002E-2</v>
      </c>
    </row>
    <row r="290" spans="1:2">
      <c r="A290">
        <v>195101</v>
      </c>
      <c r="B290">
        <v>5.7400000000000007E-2</v>
      </c>
    </row>
    <row r="291" spans="1:2">
      <c r="A291">
        <v>195102</v>
      </c>
      <c r="B291">
        <v>2.0400000000000001E-2</v>
      </c>
    </row>
    <row r="292" spans="1:2">
      <c r="A292">
        <v>195103</v>
      </c>
      <c r="B292">
        <v>-1.1999999999999999E-3</v>
      </c>
    </row>
    <row r="293" spans="1:2">
      <c r="A293">
        <v>195104</v>
      </c>
      <c r="B293">
        <v>5.6999999999999993E-3</v>
      </c>
    </row>
    <row r="294" spans="1:2">
      <c r="A294">
        <v>195105</v>
      </c>
      <c r="B294">
        <v>-1.3000000000000001E-2</v>
      </c>
    </row>
    <row r="295" spans="1:2">
      <c r="A295">
        <v>195106</v>
      </c>
      <c r="B295">
        <v>-2.0199999999999999E-2</v>
      </c>
    </row>
    <row r="296" spans="1:2">
      <c r="A296">
        <v>195107</v>
      </c>
      <c r="B296">
        <v>3.6499999999999998E-2</v>
      </c>
    </row>
    <row r="297" spans="1:2">
      <c r="A297">
        <v>195108</v>
      </c>
      <c r="B297">
        <v>4.1799999999999997E-2</v>
      </c>
    </row>
    <row r="298" spans="1:2">
      <c r="A298">
        <v>195109</v>
      </c>
      <c r="B298">
        <v>1.1000000000000001E-3</v>
      </c>
    </row>
    <row r="299" spans="1:2">
      <c r="A299">
        <v>195110</v>
      </c>
      <c r="B299">
        <v>-2.3300000000000001E-2</v>
      </c>
    </row>
    <row r="300" spans="1:2">
      <c r="A300">
        <v>195111</v>
      </c>
      <c r="B300">
        <v>4.4000000000000003E-3</v>
      </c>
    </row>
    <row r="301" spans="1:2">
      <c r="A301">
        <v>195112</v>
      </c>
      <c r="B301">
        <v>1.78E-2</v>
      </c>
    </row>
    <row r="302" spans="1:2">
      <c r="A302">
        <v>195201</v>
      </c>
      <c r="B302">
        <v>1.4199999999999999E-2</v>
      </c>
    </row>
    <row r="303" spans="1:2">
      <c r="A303">
        <v>195202</v>
      </c>
      <c r="B303">
        <v>-3.44E-2</v>
      </c>
    </row>
    <row r="304" spans="1:2">
      <c r="A304">
        <v>195203</v>
      </c>
      <c r="B304">
        <v>3.0699999999999998E-2</v>
      </c>
    </row>
    <row r="305" spans="1:2">
      <c r="A305">
        <v>195204</v>
      </c>
      <c r="B305">
        <v>-6.1399999999999996E-2</v>
      </c>
    </row>
    <row r="306" spans="1:2">
      <c r="A306">
        <v>195205</v>
      </c>
      <c r="B306">
        <v>2.53E-2</v>
      </c>
    </row>
    <row r="307" spans="1:2">
      <c r="A307">
        <v>195206</v>
      </c>
      <c r="B307">
        <v>2.4400000000000002E-2</v>
      </c>
    </row>
    <row r="308" spans="1:2">
      <c r="A308">
        <v>195207</v>
      </c>
      <c r="B308">
        <v>2.12E-2</v>
      </c>
    </row>
    <row r="309" spans="1:2">
      <c r="A309">
        <v>195208</v>
      </c>
      <c r="B309">
        <v>-8.1000000000000013E-3</v>
      </c>
    </row>
    <row r="310" spans="1:2">
      <c r="A310">
        <v>195209</v>
      </c>
      <c r="B310">
        <v>-4.0500000000000001E-2</v>
      </c>
    </row>
    <row r="311" spans="1:2">
      <c r="A311">
        <v>195210</v>
      </c>
      <c r="B311">
        <v>-2.1800000000000003E-2</v>
      </c>
    </row>
    <row r="312" spans="1:2">
      <c r="A312">
        <v>195211</v>
      </c>
      <c r="B312">
        <v>8.1400000000000014E-2</v>
      </c>
    </row>
    <row r="313" spans="1:2">
      <c r="A313">
        <v>195212</v>
      </c>
      <c r="B313">
        <v>6.1000000000000004E-3</v>
      </c>
    </row>
    <row r="314" spans="1:2">
      <c r="A314">
        <v>195301</v>
      </c>
      <c r="B314">
        <v>-8.1000000000000013E-3</v>
      </c>
    </row>
    <row r="315" spans="1:2">
      <c r="A315">
        <v>195302</v>
      </c>
      <c r="B315">
        <v>2.0999999999999999E-3</v>
      </c>
    </row>
    <row r="316" spans="1:2">
      <c r="A316">
        <v>195303</v>
      </c>
      <c r="B316">
        <v>-1.5500000000000002E-2</v>
      </c>
    </row>
    <row r="317" spans="1:2">
      <c r="A317">
        <v>195304</v>
      </c>
      <c r="B317">
        <v>-5.8700000000000002E-2</v>
      </c>
    </row>
    <row r="318" spans="1:2">
      <c r="A318">
        <v>195305</v>
      </c>
      <c r="B318">
        <v>-1.5500000000000002E-2</v>
      </c>
    </row>
    <row r="319" spans="1:2">
      <c r="A319">
        <v>195306</v>
      </c>
      <c r="B319">
        <v>-3.0299999999999997E-2</v>
      </c>
    </row>
    <row r="320" spans="1:2">
      <c r="A320">
        <v>195307</v>
      </c>
      <c r="B320">
        <v>1.7399999999999999E-2</v>
      </c>
    </row>
    <row r="321" spans="1:2">
      <c r="A321">
        <v>195308</v>
      </c>
      <c r="B321">
        <v>-6.5199999999999994E-2</v>
      </c>
    </row>
    <row r="322" spans="1:2">
      <c r="A322">
        <v>195309</v>
      </c>
      <c r="B322">
        <v>-2.6600000000000002E-2</v>
      </c>
    </row>
    <row r="323" spans="1:2">
      <c r="A323">
        <v>195310</v>
      </c>
      <c r="B323">
        <v>2.0899999999999998E-2</v>
      </c>
    </row>
    <row r="324" spans="1:2">
      <c r="A324">
        <v>195311</v>
      </c>
      <c r="B324">
        <v>1.9400000000000001E-2</v>
      </c>
    </row>
    <row r="325" spans="1:2">
      <c r="A325">
        <v>195312</v>
      </c>
      <c r="B325">
        <v>-5.0599999999999999E-2</v>
      </c>
    </row>
    <row r="326" spans="1:2">
      <c r="A326">
        <v>195401</v>
      </c>
      <c r="B326">
        <v>7.3400000000000007E-2</v>
      </c>
    </row>
    <row r="327" spans="1:2">
      <c r="A327">
        <v>195402</v>
      </c>
      <c r="B327">
        <v>9.1999999999999998E-3</v>
      </c>
    </row>
    <row r="328" spans="1:2">
      <c r="A328">
        <v>195403</v>
      </c>
      <c r="B328">
        <v>3.2799999999999996E-2</v>
      </c>
    </row>
    <row r="329" spans="1:2">
      <c r="A329">
        <v>195404</v>
      </c>
      <c r="B329">
        <v>-6.54E-2</v>
      </c>
    </row>
    <row r="330" spans="1:2">
      <c r="A330">
        <v>195405</v>
      </c>
      <c r="B330">
        <v>0.10400000000000001</v>
      </c>
    </row>
    <row r="331" spans="1:2">
      <c r="A331">
        <v>195406</v>
      </c>
      <c r="B331">
        <v>-1.3700000000000002E-2</v>
      </c>
    </row>
    <row r="332" spans="1:2">
      <c r="A332">
        <v>195407</v>
      </c>
      <c r="B332">
        <v>6.1100000000000002E-2</v>
      </c>
    </row>
    <row r="333" spans="1:2">
      <c r="A333">
        <v>195408</v>
      </c>
      <c r="B333">
        <v>-7.1999999999999998E-3</v>
      </c>
    </row>
    <row r="334" spans="1:2">
      <c r="A334">
        <v>195409</v>
      </c>
      <c r="B334">
        <v>5.0700000000000002E-2</v>
      </c>
    </row>
    <row r="335" spans="1:2">
      <c r="A335">
        <v>195410</v>
      </c>
      <c r="B335">
        <v>-2.69E-2</v>
      </c>
    </row>
    <row r="336" spans="1:2">
      <c r="A336">
        <v>195411</v>
      </c>
      <c r="B336">
        <v>9.01E-2</v>
      </c>
    </row>
    <row r="337" spans="1:2">
      <c r="A337">
        <v>195412</v>
      </c>
      <c r="B337">
        <v>0.11130000000000001</v>
      </c>
    </row>
    <row r="338" spans="1:2">
      <c r="A338">
        <v>195501</v>
      </c>
      <c r="B338">
        <v>-6.3E-3</v>
      </c>
    </row>
    <row r="339" spans="1:2">
      <c r="A339">
        <v>195502</v>
      </c>
      <c r="B339">
        <v>2.3599999999999999E-2</v>
      </c>
    </row>
    <row r="340" spans="1:2">
      <c r="A340">
        <v>195503</v>
      </c>
      <c r="B340">
        <v>-1E-4</v>
      </c>
    </row>
    <row r="341" spans="1:2">
      <c r="A341">
        <v>195504</v>
      </c>
      <c r="B341">
        <v>2.3799999999999998E-2</v>
      </c>
    </row>
    <row r="342" spans="1:2">
      <c r="A342">
        <v>195505</v>
      </c>
      <c r="B342">
        <v>-6.9999999999999993E-3</v>
      </c>
    </row>
    <row r="343" spans="1:2">
      <c r="A343">
        <v>195506</v>
      </c>
      <c r="B343">
        <v>5.6300000000000003E-2</v>
      </c>
    </row>
    <row r="344" spans="1:2">
      <c r="A344">
        <v>195507</v>
      </c>
      <c r="B344">
        <v>4.7999999999999996E-3</v>
      </c>
    </row>
    <row r="345" spans="1:2">
      <c r="A345">
        <v>195508</v>
      </c>
      <c r="B345">
        <v>1.4000000000000002E-3</v>
      </c>
    </row>
    <row r="346" spans="1:2">
      <c r="A346">
        <v>195509</v>
      </c>
      <c r="B346">
        <v>-2.3700000000000002E-2</v>
      </c>
    </row>
    <row r="347" spans="1:2">
      <c r="A347">
        <v>195510</v>
      </c>
      <c r="B347">
        <v>-2.4300000000000002E-2</v>
      </c>
    </row>
    <row r="348" spans="1:2">
      <c r="A348">
        <v>195511</v>
      </c>
      <c r="B348">
        <v>6.480000000000001E-2</v>
      </c>
    </row>
    <row r="349" spans="1:2">
      <c r="A349">
        <v>195512</v>
      </c>
      <c r="B349">
        <v>2.1600000000000001E-2</v>
      </c>
    </row>
    <row r="350" spans="1:2">
      <c r="A350">
        <v>195601</v>
      </c>
      <c r="B350">
        <v>-2.58E-2</v>
      </c>
    </row>
    <row r="351" spans="1:2">
      <c r="A351">
        <v>195602</v>
      </c>
      <c r="B351">
        <v>3.6900000000000002E-2</v>
      </c>
    </row>
    <row r="352" spans="1:2">
      <c r="A352">
        <v>195603</v>
      </c>
      <c r="B352">
        <v>1.01E-2</v>
      </c>
    </row>
    <row r="353" spans="1:2">
      <c r="A353">
        <v>195604</v>
      </c>
      <c r="B353">
        <v>-1.5300000000000001E-2</v>
      </c>
    </row>
    <row r="354" spans="1:2">
      <c r="A354">
        <v>195605</v>
      </c>
      <c r="B354">
        <v>-6.2600000000000003E-2</v>
      </c>
    </row>
    <row r="355" spans="1:2">
      <c r="A355">
        <v>195606</v>
      </c>
      <c r="B355">
        <v>1.26E-2</v>
      </c>
    </row>
    <row r="356" spans="1:2">
      <c r="A356">
        <v>195607</v>
      </c>
      <c r="B356">
        <v>2.6400000000000003E-2</v>
      </c>
    </row>
    <row r="357" spans="1:2">
      <c r="A357">
        <v>195608</v>
      </c>
      <c r="B357">
        <v>-1.0800000000000001E-2</v>
      </c>
    </row>
    <row r="358" spans="1:2">
      <c r="A358">
        <v>195609</v>
      </c>
      <c r="B358">
        <v>-2.4E-2</v>
      </c>
    </row>
    <row r="359" spans="1:2">
      <c r="A359">
        <v>195610</v>
      </c>
      <c r="B359">
        <v>-3.5999999999999999E-3</v>
      </c>
    </row>
    <row r="360" spans="1:2">
      <c r="A360">
        <v>195611</v>
      </c>
      <c r="B360">
        <v>-1.7500000000000002E-2</v>
      </c>
    </row>
    <row r="361" spans="1:2">
      <c r="A361">
        <v>195612</v>
      </c>
      <c r="B361">
        <v>1.5600000000000001E-2</v>
      </c>
    </row>
    <row r="362" spans="1:2">
      <c r="A362">
        <v>195701</v>
      </c>
      <c r="B362">
        <v>-9.1000000000000004E-3</v>
      </c>
    </row>
    <row r="363" spans="1:2">
      <c r="A363">
        <v>195702</v>
      </c>
      <c r="B363">
        <v>-3.8300000000000001E-2</v>
      </c>
    </row>
    <row r="364" spans="1:2">
      <c r="A364">
        <v>195703</v>
      </c>
      <c r="B364">
        <v>3.5900000000000001E-2</v>
      </c>
    </row>
    <row r="365" spans="1:2">
      <c r="A365">
        <v>195704</v>
      </c>
      <c r="B365">
        <v>3.8300000000000001E-2</v>
      </c>
    </row>
    <row r="366" spans="1:2">
      <c r="A366">
        <v>195705</v>
      </c>
      <c r="B366">
        <v>0.03</v>
      </c>
    </row>
    <row r="367" spans="1:2">
      <c r="A367">
        <v>195706</v>
      </c>
      <c r="B367">
        <v>-2.9999999999999997E-4</v>
      </c>
    </row>
    <row r="368" spans="1:2">
      <c r="A368">
        <v>195707</v>
      </c>
      <c r="B368">
        <v>-1.8700000000000001E-2</v>
      </c>
    </row>
    <row r="369" spans="1:2">
      <c r="A369">
        <v>195708</v>
      </c>
      <c r="B369">
        <v>-8.7899999999999992E-2</v>
      </c>
    </row>
    <row r="370" spans="1:2">
      <c r="A370">
        <v>195709</v>
      </c>
      <c r="B370">
        <v>-7.85E-2</v>
      </c>
    </row>
    <row r="371" spans="1:2">
      <c r="A371">
        <v>195710</v>
      </c>
      <c r="B371">
        <v>-7.9400000000000012E-2</v>
      </c>
    </row>
    <row r="372" spans="1:2">
      <c r="A372">
        <v>195711</v>
      </c>
      <c r="B372">
        <v>5.2499999999999998E-2</v>
      </c>
    </row>
    <row r="373" spans="1:2">
      <c r="A373">
        <v>195712</v>
      </c>
      <c r="B373">
        <v>-0.11630000000000001</v>
      </c>
    </row>
    <row r="374" spans="1:2">
      <c r="A374">
        <v>195801</v>
      </c>
      <c r="B374">
        <v>0.14030000000000001</v>
      </c>
    </row>
    <row r="375" spans="1:2">
      <c r="A375">
        <v>195802</v>
      </c>
      <c r="B375">
        <v>-4.7599999999999996E-2</v>
      </c>
    </row>
    <row r="376" spans="1:2">
      <c r="A376">
        <v>195803</v>
      </c>
      <c r="B376">
        <v>5.1100000000000007E-2</v>
      </c>
    </row>
    <row r="377" spans="1:2">
      <c r="A377">
        <v>195804</v>
      </c>
      <c r="B377">
        <v>2.4199999999999999E-2</v>
      </c>
    </row>
    <row r="378" spans="1:2">
      <c r="A378">
        <v>195805</v>
      </c>
      <c r="B378">
        <v>3.3399999999999999E-2</v>
      </c>
    </row>
    <row r="379" spans="1:2">
      <c r="A379">
        <v>195806</v>
      </c>
      <c r="B379">
        <v>4.4600000000000001E-2</v>
      </c>
    </row>
    <row r="380" spans="1:2">
      <c r="A380">
        <v>195807</v>
      </c>
      <c r="B380">
        <v>0.12300000000000001</v>
      </c>
    </row>
    <row r="381" spans="1:2">
      <c r="A381">
        <v>195808</v>
      </c>
      <c r="B381">
        <v>2.75E-2</v>
      </c>
    </row>
    <row r="382" spans="1:2">
      <c r="A382">
        <v>195809</v>
      </c>
      <c r="B382">
        <v>7.4300000000000005E-2</v>
      </c>
    </row>
    <row r="383" spans="1:2">
      <c r="A383">
        <v>195810</v>
      </c>
      <c r="B383">
        <v>4.0899999999999999E-2</v>
      </c>
    </row>
    <row r="384" spans="1:2">
      <c r="A384">
        <v>195811</v>
      </c>
      <c r="B384">
        <v>3.4999999999999996E-3</v>
      </c>
    </row>
    <row r="385" spans="1:2">
      <c r="A385">
        <v>195812</v>
      </c>
      <c r="B385">
        <v>5.4100000000000002E-2</v>
      </c>
    </row>
    <row r="386" spans="1:2">
      <c r="A386">
        <v>195901</v>
      </c>
      <c r="B386">
        <v>4.0000000000000001E-3</v>
      </c>
    </row>
    <row r="387" spans="1:2">
      <c r="A387">
        <v>195902</v>
      </c>
      <c r="B387">
        <v>3.4000000000000002E-3</v>
      </c>
    </row>
    <row r="388" spans="1:2">
      <c r="A388">
        <v>195903</v>
      </c>
      <c r="B388">
        <v>2.8999999999999998E-3</v>
      </c>
    </row>
    <row r="389" spans="1:2">
      <c r="A389">
        <v>195904</v>
      </c>
      <c r="B389">
        <v>9.300000000000001E-3</v>
      </c>
    </row>
    <row r="390" spans="1:2">
      <c r="A390">
        <v>195905</v>
      </c>
      <c r="B390">
        <v>5.7999999999999996E-3</v>
      </c>
    </row>
    <row r="391" spans="1:2">
      <c r="A391">
        <v>195906</v>
      </c>
      <c r="B391">
        <v>-1.2800000000000001E-2</v>
      </c>
    </row>
    <row r="392" spans="1:2">
      <c r="A392">
        <v>195907</v>
      </c>
      <c r="B392">
        <v>4.2699999999999995E-2</v>
      </c>
    </row>
    <row r="393" spans="1:2">
      <c r="A393">
        <v>195908</v>
      </c>
      <c r="B393">
        <v>-3.15E-2</v>
      </c>
    </row>
    <row r="394" spans="1:2">
      <c r="A394">
        <v>195909</v>
      </c>
      <c r="B394">
        <v>-6.4899999999999999E-2</v>
      </c>
    </row>
    <row r="395" spans="1:2">
      <c r="A395">
        <v>195910</v>
      </c>
      <c r="B395">
        <v>4.7000000000000002E-3</v>
      </c>
    </row>
    <row r="396" spans="1:2">
      <c r="A396">
        <v>195911</v>
      </c>
      <c r="B396">
        <v>-8.0000000000000004E-4</v>
      </c>
    </row>
    <row r="397" spans="1:2">
      <c r="A397">
        <v>195912</v>
      </c>
      <c r="B397">
        <v>1.78E-2</v>
      </c>
    </row>
    <row r="398" spans="1:2">
      <c r="A398">
        <v>196001</v>
      </c>
      <c r="B398">
        <v>-5.3700000000000005E-2</v>
      </c>
    </row>
    <row r="399" spans="1:2">
      <c r="A399">
        <v>196002</v>
      </c>
      <c r="B399">
        <v>-1.9E-2</v>
      </c>
    </row>
    <row r="400" spans="1:2">
      <c r="A400">
        <v>196003</v>
      </c>
      <c r="B400">
        <v>-4.9500000000000002E-2</v>
      </c>
    </row>
    <row r="401" spans="1:2">
      <c r="A401">
        <v>196004</v>
      </c>
      <c r="B401">
        <v>-3.6700000000000003E-2</v>
      </c>
    </row>
    <row r="402" spans="1:2">
      <c r="A402">
        <v>196005</v>
      </c>
      <c r="B402">
        <v>1.5600000000000001E-2</v>
      </c>
    </row>
    <row r="403" spans="1:2">
      <c r="A403">
        <v>196006</v>
      </c>
      <c r="B403">
        <v>-1.11E-2</v>
      </c>
    </row>
    <row r="404" spans="1:2">
      <c r="A404">
        <v>196007</v>
      </c>
      <c r="B404">
        <v>-2.8500000000000001E-2</v>
      </c>
    </row>
    <row r="405" spans="1:2">
      <c r="A405">
        <v>196008</v>
      </c>
      <c r="B405">
        <v>4.5400000000000003E-2</v>
      </c>
    </row>
    <row r="406" spans="1:2">
      <c r="A406">
        <v>196009</v>
      </c>
      <c r="B406">
        <v>-6.480000000000001E-2</v>
      </c>
    </row>
    <row r="407" spans="1:2">
      <c r="A407">
        <v>196010</v>
      </c>
      <c r="B407">
        <v>-2.6200000000000001E-2</v>
      </c>
    </row>
    <row r="408" spans="1:2">
      <c r="A408">
        <v>196011</v>
      </c>
      <c r="B408">
        <v>2.3E-2</v>
      </c>
    </row>
    <row r="409" spans="1:2">
      <c r="A409">
        <v>196012</v>
      </c>
      <c r="B409">
        <v>7.5800000000000006E-2</v>
      </c>
    </row>
    <row r="410" spans="1:2">
      <c r="A410">
        <v>196101</v>
      </c>
      <c r="B410">
        <v>8.5699999999999998E-2</v>
      </c>
    </row>
    <row r="411" spans="1:2">
      <c r="A411">
        <v>196102</v>
      </c>
      <c r="B411">
        <v>7.8100000000000003E-2</v>
      </c>
    </row>
    <row r="412" spans="1:2">
      <c r="A412">
        <v>196103</v>
      </c>
      <c r="B412">
        <v>4.7599999999999996E-2</v>
      </c>
    </row>
    <row r="413" spans="1:2">
      <c r="A413">
        <v>196104</v>
      </c>
      <c r="B413">
        <v>-6.3200000000000006E-2</v>
      </c>
    </row>
    <row r="414" spans="1:2">
      <c r="A414">
        <v>196105</v>
      </c>
      <c r="B414">
        <v>7.4300000000000005E-2</v>
      </c>
    </row>
    <row r="415" spans="1:2">
      <c r="A415">
        <v>196106</v>
      </c>
      <c r="B415">
        <v>-4.4500000000000005E-2</v>
      </c>
    </row>
    <row r="416" spans="1:2">
      <c r="A416">
        <v>196107</v>
      </c>
      <c r="B416">
        <v>1.4800000000000001E-2</v>
      </c>
    </row>
    <row r="417" spans="1:2">
      <c r="A417">
        <v>196108</v>
      </c>
      <c r="B417">
        <v>2.4E-2</v>
      </c>
    </row>
    <row r="418" spans="1:2">
      <c r="A418">
        <v>196109</v>
      </c>
      <c r="B418">
        <v>-7.1999999999999998E-3</v>
      </c>
    </row>
    <row r="419" spans="1:2">
      <c r="A419">
        <v>196110</v>
      </c>
      <c r="B419">
        <v>1.1599999999999999E-2</v>
      </c>
    </row>
    <row r="420" spans="1:2">
      <c r="A420">
        <v>196111</v>
      </c>
      <c r="B420">
        <v>4.8800000000000003E-2</v>
      </c>
    </row>
    <row r="421" spans="1:2">
      <c r="A421">
        <v>196112</v>
      </c>
      <c r="B421">
        <v>3.1699999999999999E-2</v>
      </c>
    </row>
    <row r="422" spans="1:2">
      <c r="A422">
        <v>196201</v>
      </c>
      <c r="B422">
        <v>-3.9300000000000002E-2</v>
      </c>
    </row>
    <row r="423" spans="1:2">
      <c r="A423">
        <v>196202</v>
      </c>
      <c r="B423">
        <v>-6.9999999999999993E-3</v>
      </c>
    </row>
    <row r="424" spans="1:2">
      <c r="A424">
        <v>196203</v>
      </c>
      <c r="B424">
        <v>-8.5000000000000006E-3</v>
      </c>
    </row>
    <row r="425" spans="1:2">
      <c r="A425">
        <v>196204</v>
      </c>
      <c r="B425">
        <v>-8.5199999999999998E-2</v>
      </c>
    </row>
    <row r="426" spans="1:2">
      <c r="A426">
        <v>196205</v>
      </c>
      <c r="B426">
        <v>-0.11199999999999999</v>
      </c>
    </row>
    <row r="427" spans="1:2">
      <c r="A427">
        <v>196206</v>
      </c>
      <c r="B427">
        <v>-0.1396</v>
      </c>
    </row>
    <row r="428" spans="1:2">
      <c r="A428">
        <v>196207</v>
      </c>
      <c r="B428">
        <v>8.9600000000000013E-2</v>
      </c>
    </row>
    <row r="429" spans="1:2">
      <c r="A429">
        <v>196208</v>
      </c>
      <c r="B429">
        <v>5.4900000000000004E-2</v>
      </c>
    </row>
    <row r="430" spans="1:2">
      <c r="A430">
        <v>196209</v>
      </c>
      <c r="B430">
        <v>-0.08</v>
      </c>
    </row>
    <row r="431" spans="1:2">
      <c r="A431">
        <v>196210</v>
      </c>
      <c r="B431">
        <v>-1.43E-2</v>
      </c>
    </row>
    <row r="432" spans="1:2">
      <c r="A432">
        <v>196211</v>
      </c>
      <c r="B432">
        <v>0.17699999999999999</v>
      </c>
    </row>
    <row r="433" spans="1:2">
      <c r="A433">
        <v>196212</v>
      </c>
      <c r="B433">
        <v>-1.6899999999999998E-2</v>
      </c>
    </row>
    <row r="434" spans="1:2">
      <c r="A434">
        <v>196301</v>
      </c>
      <c r="B434">
        <v>4.8399999999999999E-2</v>
      </c>
    </row>
    <row r="435" spans="1:2">
      <c r="A435">
        <v>196302</v>
      </c>
      <c r="B435">
        <v>-3.7600000000000001E-2</v>
      </c>
    </row>
    <row r="436" spans="1:2">
      <c r="A436">
        <v>196303</v>
      </c>
      <c r="B436">
        <v>0.02</v>
      </c>
    </row>
    <row r="437" spans="1:2">
      <c r="A437">
        <v>196304</v>
      </c>
      <c r="B437">
        <v>3.61E-2</v>
      </c>
    </row>
    <row r="438" spans="1:2">
      <c r="A438">
        <v>196305</v>
      </c>
      <c r="B438">
        <v>3.1600000000000003E-2</v>
      </c>
    </row>
    <row r="439" spans="1:2">
      <c r="A439">
        <v>196306</v>
      </c>
      <c r="B439">
        <v>-1.7399999999999999E-2</v>
      </c>
    </row>
    <row r="440" spans="1:2">
      <c r="A440">
        <v>196307</v>
      </c>
      <c r="B440">
        <v>-2.76E-2</v>
      </c>
    </row>
    <row r="441" spans="1:2">
      <c r="A441">
        <v>196308</v>
      </c>
      <c r="B441">
        <v>0.06</v>
      </c>
    </row>
    <row r="442" spans="1:2">
      <c r="A442">
        <v>196309</v>
      </c>
      <c r="B442">
        <v>-3.1400000000000004E-2</v>
      </c>
    </row>
    <row r="443" spans="1:2">
      <c r="A443">
        <v>196310</v>
      </c>
      <c r="B443">
        <v>1.89E-2</v>
      </c>
    </row>
    <row r="444" spans="1:2">
      <c r="A444">
        <v>196311</v>
      </c>
      <c r="B444">
        <v>7.000000000000001E-4</v>
      </c>
    </row>
    <row r="445" spans="1:2">
      <c r="A445">
        <v>196312</v>
      </c>
      <c r="B445">
        <v>-2.46E-2</v>
      </c>
    </row>
    <row r="446" spans="1:2">
      <c r="A446">
        <v>196401</v>
      </c>
      <c r="B446">
        <v>9.7999999999999997E-3</v>
      </c>
    </row>
    <row r="447" spans="1:2">
      <c r="A447">
        <v>196402</v>
      </c>
      <c r="B447">
        <v>1.77E-2</v>
      </c>
    </row>
    <row r="448" spans="1:2">
      <c r="A448">
        <v>196403</v>
      </c>
      <c r="B448">
        <v>5.4000000000000003E-3</v>
      </c>
    </row>
    <row r="449" spans="1:2">
      <c r="A449">
        <v>196404</v>
      </c>
      <c r="B449">
        <v>-5.6999999999999993E-3</v>
      </c>
    </row>
    <row r="450" spans="1:2">
      <c r="A450">
        <v>196405</v>
      </c>
      <c r="B450">
        <v>2.6000000000000003E-3</v>
      </c>
    </row>
    <row r="451" spans="1:2">
      <c r="A451">
        <v>196406</v>
      </c>
      <c r="B451">
        <v>1.1200000000000002E-2</v>
      </c>
    </row>
    <row r="452" spans="1:2">
      <c r="A452">
        <v>196407</v>
      </c>
      <c r="B452">
        <v>1.89E-2</v>
      </c>
    </row>
    <row r="453" spans="1:2">
      <c r="A453">
        <v>196408</v>
      </c>
      <c r="B453">
        <v>-1.3500000000000002E-2</v>
      </c>
    </row>
    <row r="454" spans="1:2">
      <c r="A454">
        <v>196409</v>
      </c>
      <c r="B454">
        <v>5.7699999999999994E-2</v>
      </c>
    </row>
    <row r="455" spans="1:2">
      <c r="A455">
        <v>196410</v>
      </c>
      <c r="B455">
        <v>1.54E-2</v>
      </c>
    </row>
    <row r="456" spans="1:2">
      <c r="A456">
        <v>196411</v>
      </c>
      <c r="B456">
        <v>-3.0499999999999999E-2</v>
      </c>
    </row>
    <row r="457" spans="1:2">
      <c r="A457">
        <v>196412</v>
      </c>
      <c r="B457">
        <v>-2.3999999999999998E-3</v>
      </c>
    </row>
    <row r="458" spans="1:2">
      <c r="A458">
        <v>196501</v>
      </c>
      <c r="B458">
        <v>7.8100000000000003E-2</v>
      </c>
    </row>
    <row r="459" spans="1:2">
      <c r="A459">
        <v>196502</v>
      </c>
      <c r="B459">
        <v>2.4799999999999999E-2</v>
      </c>
    </row>
    <row r="460" spans="1:2">
      <c r="A460">
        <v>196503</v>
      </c>
      <c r="B460">
        <v>-1.1299999999999999E-2</v>
      </c>
    </row>
    <row r="461" spans="1:2">
      <c r="A461">
        <v>196504</v>
      </c>
      <c r="B461">
        <v>2.7200000000000002E-2</v>
      </c>
    </row>
    <row r="462" spans="1:2">
      <c r="A462">
        <v>196505</v>
      </c>
      <c r="B462">
        <v>-1.17E-2</v>
      </c>
    </row>
    <row r="463" spans="1:2">
      <c r="A463">
        <v>196506</v>
      </c>
      <c r="B463">
        <v>-3.4200000000000001E-2</v>
      </c>
    </row>
    <row r="464" spans="1:2">
      <c r="A464">
        <v>196507</v>
      </c>
      <c r="B464">
        <v>9.4999999999999998E-3</v>
      </c>
    </row>
    <row r="465" spans="1:2">
      <c r="A465">
        <v>196508</v>
      </c>
      <c r="B465">
        <v>4.6600000000000003E-2</v>
      </c>
    </row>
    <row r="466" spans="1:2">
      <c r="A466">
        <v>196509</v>
      </c>
      <c r="B466">
        <v>0.02</v>
      </c>
    </row>
    <row r="467" spans="1:2">
      <c r="A467">
        <v>196510</v>
      </c>
      <c r="B467">
        <v>3.9100000000000003E-2</v>
      </c>
    </row>
    <row r="468" spans="1:2">
      <c r="A468">
        <v>196511</v>
      </c>
      <c r="B468">
        <v>-1.3999999999999999E-2</v>
      </c>
    </row>
    <row r="469" spans="1:2">
      <c r="A469">
        <v>196512</v>
      </c>
      <c r="B469">
        <v>3.27E-2</v>
      </c>
    </row>
    <row r="470" spans="1:2">
      <c r="A470">
        <v>196601</v>
      </c>
      <c r="B470">
        <v>7.9000000000000008E-3</v>
      </c>
    </row>
    <row r="471" spans="1:2">
      <c r="A471">
        <v>196602</v>
      </c>
      <c r="B471">
        <v>-2.5499999999999998E-2</v>
      </c>
    </row>
    <row r="472" spans="1:2">
      <c r="A472">
        <v>196603</v>
      </c>
      <c r="B472">
        <v>-3.7999999999999999E-2</v>
      </c>
    </row>
    <row r="473" spans="1:2">
      <c r="A473">
        <v>196604</v>
      </c>
      <c r="B473">
        <v>1.8700000000000001E-2</v>
      </c>
    </row>
    <row r="474" spans="1:2">
      <c r="A474">
        <v>196605</v>
      </c>
      <c r="B474">
        <v>-3.3399999999999999E-2</v>
      </c>
    </row>
    <row r="475" spans="1:2">
      <c r="A475">
        <v>196606</v>
      </c>
      <c r="B475">
        <v>-1.5100000000000001E-2</v>
      </c>
    </row>
    <row r="476" spans="1:2">
      <c r="A476">
        <v>196607</v>
      </c>
      <c r="B476">
        <v>-1.77E-2</v>
      </c>
    </row>
    <row r="477" spans="1:2">
      <c r="A477">
        <v>196608</v>
      </c>
      <c r="B477">
        <v>-5.0300000000000004E-2</v>
      </c>
    </row>
    <row r="478" spans="1:2">
      <c r="A478">
        <v>196609</v>
      </c>
      <c r="B478">
        <v>-3.9600000000000003E-2</v>
      </c>
    </row>
    <row r="479" spans="1:2">
      <c r="A479">
        <v>196610</v>
      </c>
      <c r="B479">
        <v>2.3300000000000001E-2</v>
      </c>
    </row>
    <row r="480" spans="1:2">
      <c r="A480">
        <v>196611</v>
      </c>
      <c r="B480">
        <v>-8.6E-3</v>
      </c>
    </row>
    <row r="481" spans="1:2">
      <c r="A481">
        <v>196612</v>
      </c>
      <c r="B481">
        <v>2.5099999999999997E-2</v>
      </c>
    </row>
    <row r="482" spans="1:2">
      <c r="A482">
        <v>196701</v>
      </c>
      <c r="B482">
        <v>0.14300000000000002</v>
      </c>
    </row>
    <row r="483" spans="1:2">
      <c r="A483">
        <v>196702</v>
      </c>
      <c r="B483">
        <v>2.8999999999999998E-3</v>
      </c>
    </row>
    <row r="484" spans="1:2">
      <c r="A484">
        <v>196703</v>
      </c>
      <c r="B484">
        <v>2.7799999999999998E-2</v>
      </c>
    </row>
    <row r="485" spans="1:2">
      <c r="A485">
        <v>196704</v>
      </c>
      <c r="B485">
        <v>6.8000000000000005E-2</v>
      </c>
    </row>
    <row r="486" spans="1:2">
      <c r="A486">
        <v>196705</v>
      </c>
      <c r="B486">
        <v>-7.0000000000000007E-2</v>
      </c>
    </row>
    <row r="487" spans="1:2">
      <c r="A487">
        <v>196706</v>
      </c>
      <c r="B487">
        <v>2.5899999999999999E-2</v>
      </c>
    </row>
    <row r="488" spans="1:2">
      <c r="A488">
        <v>196707</v>
      </c>
      <c r="B488">
        <v>9.9400000000000002E-2</v>
      </c>
    </row>
    <row r="489" spans="1:2">
      <c r="A489">
        <v>196708</v>
      </c>
      <c r="B489">
        <v>-5.7999999999999996E-3</v>
      </c>
    </row>
    <row r="490" spans="1:2">
      <c r="A490">
        <v>196709</v>
      </c>
      <c r="B490">
        <v>4.3700000000000003E-2</v>
      </c>
    </row>
    <row r="491" spans="1:2">
      <c r="A491">
        <v>196710</v>
      </c>
      <c r="B491">
        <v>-0.04</v>
      </c>
    </row>
    <row r="492" spans="1:2">
      <c r="A492">
        <v>196711</v>
      </c>
      <c r="B492">
        <v>1.3700000000000002E-2</v>
      </c>
    </row>
    <row r="493" spans="1:2">
      <c r="A493">
        <v>196712</v>
      </c>
      <c r="B493">
        <v>2.3700000000000002E-2</v>
      </c>
    </row>
    <row r="494" spans="1:2">
      <c r="A494">
        <v>196801</v>
      </c>
      <c r="B494">
        <v>5.0000000000000001E-4</v>
      </c>
    </row>
    <row r="495" spans="1:2">
      <c r="A495">
        <v>196802</v>
      </c>
      <c r="B495">
        <v>-3.5900000000000001E-2</v>
      </c>
    </row>
    <row r="496" spans="1:2">
      <c r="A496">
        <v>196803</v>
      </c>
      <c r="B496">
        <v>-1.84E-2</v>
      </c>
    </row>
    <row r="497" spans="1:2">
      <c r="A497">
        <v>196804</v>
      </c>
      <c r="B497">
        <v>0.1094</v>
      </c>
    </row>
    <row r="498" spans="1:2">
      <c r="A498">
        <v>196805</v>
      </c>
      <c r="B498">
        <v>1.5800000000000002E-2</v>
      </c>
    </row>
    <row r="499" spans="1:2">
      <c r="A499">
        <v>196806</v>
      </c>
      <c r="B499">
        <v>1.77E-2</v>
      </c>
    </row>
    <row r="500" spans="1:2">
      <c r="A500">
        <v>196807</v>
      </c>
      <c r="B500">
        <v>-2.3700000000000002E-2</v>
      </c>
    </row>
    <row r="501" spans="1:2">
      <c r="A501">
        <v>196808</v>
      </c>
      <c r="B501">
        <v>8.6E-3</v>
      </c>
    </row>
    <row r="502" spans="1:2">
      <c r="A502">
        <v>196809</v>
      </c>
      <c r="B502">
        <v>6.8900000000000003E-2</v>
      </c>
    </row>
    <row r="503" spans="1:2">
      <c r="A503">
        <v>196810</v>
      </c>
      <c r="B503">
        <v>1.89E-2</v>
      </c>
    </row>
    <row r="504" spans="1:2">
      <c r="A504">
        <v>196811</v>
      </c>
      <c r="B504">
        <v>8.5500000000000007E-2</v>
      </c>
    </row>
    <row r="505" spans="1:2">
      <c r="A505">
        <v>196812</v>
      </c>
      <c r="B505">
        <v>-4.9400000000000006E-2</v>
      </c>
    </row>
    <row r="506" spans="1:2">
      <c r="A506">
        <v>196901</v>
      </c>
      <c r="B506">
        <v>-2.8199999999999999E-2</v>
      </c>
    </row>
    <row r="507" spans="1:2">
      <c r="A507">
        <v>196902</v>
      </c>
      <c r="B507">
        <v>-7.8200000000000006E-2</v>
      </c>
    </row>
    <row r="508" spans="1:2">
      <c r="A508">
        <v>196903</v>
      </c>
      <c r="B508">
        <v>-1.1399999999999999E-2</v>
      </c>
    </row>
    <row r="509" spans="1:2">
      <c r="A509">
        <v>196904</v>
      </c>
      <c r="B509">
        <v>4.1999999999999997E-3</v>
      </c>
    </row>
    <row r="510" spans="1:2">
      <c r="A510">
        <v>196905</v>
      </c>
      <c r="B510">
        <v>-2.76E-2</v>
      </c>
    </row>
    <row r="511" spans="1:2">
      <c r="A511">
        <v>196906</v>
      </c>
      <c r="B511">
        <v>-0.1187</v>
      </c>
    </row>
    <row r="512" spans="1:2">
      <c r="A512">
        <v>196907</v>
      </c>
      <c r="B512">
        <v>-0.12230000000000001</v>
      </c>
    </row>
    <row r="513" spans="1:2">
      <c r="A513">
        <v>196908</v>
      </c>
      <c r="B513">
        <v>6.3899999999999998E-2</v>
      </c>
    </row>
    <row r="514" spans="1:2">
      <c r="A514">
        <v>196909</v>
      </c>
      <c r="B514">
        <v>-4.4299999999999999E-2</v>
      </c>
    </row>
    <row r="515" spans="1:2">
      <c r="A515">
        <v>196910</v>
      </c>
      <c r="B515">
        <v>0.107</v>
      </c>
    </row>
    <row r="516" spans="1:2">
      <c r="A516">
        <v>196911</v>
      </c>
      <c r="B516">
        <v>-6.8600000000000008E-2</v>
      </c>
    </row>
    <row r="517" spans="1:2">
      <c r="A517">
        <v>196912</v>
      </c>
      <c r="B517">
        <v>-8.09E-2</v>
      </c>
    </row>
    <row r="518" spans="1:2">
      <c r="A518">
        <v>197001</v>
      </c>
      <c r="B518">
        <v>-6.6200000000000009E-2</v>
      </c>
    </row>
    <row r="519" spans="1:2">
      <c r="A519">
        <v>197002</v>
      </c>
      <c r="B519">
        <v>3.7400000000000003E-2</v>
      </c>
    </row>
    <row r="520" spans="1:2">
      <c r="A520">
        <v>197003</v>
      </c>
      <c r="B520">
        <v>-3.85E-2</v>
      </c>
    </row>
    <row r="521" spans="1:2">
      <c r="A521">
        <v>197004</v>
      </c>
      <c r="B521">
        <v>-0.17449999999999999</v>
      </c>
    </row>
    <row r="522" spans="1:2">
      <c r="A522">
        <v>197005</v>
      </c>
      <c r="B522">
        <v>-9.6799999999999997E-2</v>
      </c>
    </row>
    <row r="523" spans="1:2">
      <c r="A523">
        <v>197006</v>
      </c>
      <c r="B523">
        <v>-0.11570000000000001</v>
      </c>
    </row>
    <row r="524" spans="1:2">
      <c r="A524">
        <v>197007</v>
      </c>
      <c r="B524">
        <v>5.2199999999999996E-2</v>
      </c>
    </row>
    <row r="525" spans="1:2">
      <c r="A525">
        <v>197008</v>
      </c>
      <c r="B525">
        <v>0.13089999999999999</v>
      </c>
    </row>
    <row r="526" spans="1:2">
      <c r="A526">
        <v>197009</v>
      </c>
      <c r="B526">
        <v>0.22719999999999999</v>
      </c>
    </row>
    <row r="527" spans="1:2">
      <c r="A527">
        <v>197010</v>
      </c>
      <c r="B527">
        <v>-0.14529999999999998</v>
      </c>
    </row>
    <row r="528" spans="1:2">
      <c r="A528">
        <v>197011</v>
      </c>
      <c r="B528">
        <v>-1.1599999999999999E-2</v>
      </c>
    </row>
    <row r="529" spans="1:2">
      <c r="A529">
        <v>197012</v>
      </c>
      <c r="B529">
        <v>5.7800000000000004E-2</v>
      </c>
    </row>
    <row r="530" spans="1:2">
      <c r="A530">
        <v>197101</v>
      </c>
      <c r="B530">
        <v>0.1336</v>
      </c>
    </row>
    <row r="531" spans="1:2">
      <c r="A531">
        <v>197102</v>
      </c>
      <c r="B531">
        <v>4.6699999999999998E-2</v>
      </c>
    </row>
    <row r="532" spans="1:2">
      <c r="A532">
        <v>197103</v>
      </c>
      <c r="B532">
        <v>7.980000000000001E-2</v>
      </c>
    </row>
    <row r="533" spans="1:2">
      <c r="A533">
        <v>197104</v>
      </c>
      <c r="B533">
        <v>3.5700000000000003E-2</v>
      </c>
    </row>
    <row r="534" spans="1:2">
      <c r="A534">
        <v>197105</v>
      </c>
      <c r="B534">
        <v>-5.7800000000000004E-2</v>
      </c>
    </row>
    <row r="535" spans="1:2">
      <c r="A535">
        <v>197106</v>
      </c>
      <c r="B535">
        <v>-2.9600000000000001E-2</v>
      </c>
    </row>
    <row r="536" spans="1:2">
      <c r="A536">
        <v>197107</v>
      </c>
      <c r="B536">
        <v>-4.9700000000000001E-2</v>
      </c>
    </row>
    <row r="537" spans="1:2">
      <c r="A537">
        <v>197108</v>
      </c>
      <c r="B537">
        <v>2.3700000000000002E-2</v>
      </c>
    </row>
    <row r="538" spans="1:2">
      <c r="A538">
        <v>197109</v>
      </c>
      <c r="B538">
        <v>-3.6799999999999999E-2</v>
      </c>
    </row>
    <row r="539" spans="1:2">
      <c r="A539">
        <v>197110</v>
      </c>
      <c r="B539">
        <v>-9.1899999999999996E-2</v>
      </c>
    </row>
    <row r="540" spans="1:2">
      <c r="A540">
        <v>197111</v>
      </c>
      <c r="B540">
        <v>-3.4500000000000003E-2</v>
      </c>
    </row>
    <row r="541" spans="1:2">
      <c r="A541">
        <v>197112</v>
      </c>
      <c r="B541">
        <v>0.1178</v>
      </c>
    </row>
    <row r="542" spans="1:2">
      <c r="A542">
        <v>197201</v>
      </c>
      <c r="B542">
        <v>6.2199999999999998E-2</v>
      </c>
    </row>
    <row r="543" spans="1:2">
      <c r="A543">
        <v>197202</v>
      </c>
      <c r="B543">
        <v>4.8300000000000003E-2</v>
      </c>
    </row>
    <row r="544" spans="1:2">
      <c r="A544">
        <v>197203</v>
      </c>
      <c r="B544">
        <v>-1.6200000000000003E-2</v>
      </c>
    </row>
    <row r="545" spans="1:2">
      <c r="A545">
        <v>197204</v>
      </c>
      <c r="B545">
        <v>-2.2400000000000003E-2</v>
      </c>
    </row>
    <row r="546" spans="1:2">
      <c r="A546">
        <v>197205</v>
      </c>
      <c r="B546">
        <v>-2.3400000000000001E-2</v>
      </c>
    </row>
    <row r="547" spans="1:2">
      <c r="A547">
        <v>197206</v>
      </c>
      <c r="B547">
        <v>-5.9000000000000004E-2</v>
      </c>
    </row>
    <row r="548" spans="1:2">
      <c r="A548">
        <v>197207</v>
      </c>
      <c r="B548">
        <v>-4.7400000000000005E-2</v>
      </c>
    </row>
    <row r="549" spans="1:2">
      <c r="A549">
        <v>197208</v>
      </c>
      <c r="B549">
        <v>4.3799999999999999E-2</v>
      </c>
    </row>
    <row r="550" spans="1:2">
      <c r="A550">
        <v>197209</v>
      </c>
      <c r="B550">
        <v>-4.3299999999999998E-2</v>
      </c>
    </row>
    <row r="551" spans="1:2">
      <c r="A551">
        <v>197210</v>
      </c>
      <c r="B551">
        <v>-3.3799999999999997E-2</v>
      </c>
    </row>
    <row r="552" spans="1:2">
      <c r="A552">
        <v>197211</v>
      </c>
      <c r="B552">
        <v>9.4100000000000003E-2</v>
      </c>
    </row>
    <row r="553" spans="1:2">
      <c r="A553">
        <v>197212</v>
      </c>
      <c r="B553">
        <v>-4.2900000000000001E-2</v>
      </c>
    </row>
    <row r="554" spans="1:2">
      <c r="A554">
        <v>197301</v>
      </c>
      <c r="B554">
        <v>-0.10880000000000001</v>
      </c>
    </row>
    <row r="555" spans="1:2">
      <c r="A555">
        <v>197302</v>
      </c>
      <c r="B555">
        <v>-9.2799999999999994E-2</v>
      </c>
    </row>
    <row r="556" spans="1:2">
      <c r="A556">
        <v>197303</v>
      </c>
      <c r="B556">
        <v>-4.1500000000000002E-2</v>
      </c>
    </row>
    <row r="557" spans="1:2">
      <c r="A557">
        <v>197304</v>
      </c>
      <c r="B557">
        <v>-0.11460000000000001</v>
      </c>
    </row>
    <row r="558" spans="1:2">
      <c r="A558">
        <v>197305</v>
      </c>
      <c r="B558">
        <v>-0.12890000000000001</v>
      </c>
    </row>
    <row r="559" spans="1:2">
      <c r="A559">
        <v>197306</v>
      </c>
      <c r="B559">
        <v>-8.2100000000000006E-2</v>
      </c>
    </row>
    <row r="560" spans="1:2">
      <c r="A560">
        <v>197307</v>
      </c>
      <c r="B560">
        <v>0.20960000000000001</v>
      </c>
    </row>
    <row r="561" spans="1:2">
      <c r="A561">
        <v>197308</v>
      </c>
      <c r="B561">
        <v>-7.0800000000000002E-2</v>
      </c>
    </row>
    <row r="562" spans="1:2">
      <c r="A562">
        <v>197309</v>
      </c>
      <c r="B562">
        <v>0.11</v>
      </c>
    </row>
    <row r="563" spans="1:2">
      <c r="A563">
        <v>197310</v>
      </c>
      <c r="B563">
        <v>-5.67E-2</v>
      </c>
    </row>
    <row r="564" spans="1:2">
      <c r="A564">
        <v>197311</v>
      </c>
      <c r="B564">
        <v>-0.23170000000000002</v>
      </c>
    </row>
    <row r="565" spans="1:2">
      <c r="A565">
        <v>197312</v>
      </c>
      <c r="B565">
        <v>-5.9500000000000004E-2</v>
      </c>
    </row>
    <row r="566" spans="1:2">
      <c r="A566">
        <v>197401</v>
      </c>
      <c r="B566">
        <v>0.12640000000000001</v>
      </c>
    </row>
    <row r="567" spans="1:2">
      <c r="A567">
        <v>197402</v>
      </c>
      <c r="B567">
        <v>-2.3300000000000001E-2</v>
      </c>
    </row>
    <row r="568" spans="1:2">
      <c r="A568">
        <v>197403</v>
      </c>
      <c r="B568">
        <v>6.9999999999999993E-3</v>
      </c>
    </row>
    <row r="569" spans="1:2">
      <c r="A569">
        <v>197404</v>
      </c>
      <c r="B569">
        <v>-0.10340000000000001</v>
      </c>
    </row>
    <row r="570" spans="1:2">
      <c r="A570">
        <v>197405</v>
      </c>
      <c r="B570">
        <v>-8.1000000000000003E-2</v>
      </c>
    </row>
    <row r="571" spans="1:2">
      <c r="A571">
        <v>197406</v>
      </c>
      <c r="B571">
        <v>-5.2600000000000001E-2</v>
      </c>
    </row>
    <row r="572" spans="1:2">
      <c r="A572">
        <v>197407</v>
      </c>
      <c r="B572">
        <v>-0.10779999999999999</v>
      </c>
    </row>
    <row r="573" spans="1:2">
      <c r="A573">
        <v>197408</v>
      </c>
      <c r="B573">
        <v>-0.1193</v>
      </c>
    </row>
    <row r="574" spans="1:2">
      <c r="A574">
        <v>197409</v>
      </c>
      <c r="B574">
        <v>-0.14080000000000001</v>
      </c>
    </row>
    <row r="575" spans="1:2">
      <c r="A575">
        <v>197410</v>
      </c>
      <c r="B575">
        <v>0.14550000000000002</v>
      </c>
    </row>
    <row r="576" spans="1:2">
      <c r="A576">
        <v>197411</v>
      </c>
      <c r="B576">
        <v>-2.9600000000000001E-2</v>
      </c>
    </row>
    <row r="577" spans="1:2">
      <c r="A577">
        <v>197412</v>
      </c>
      <c r="B577">
        <v>-4.8899999999999999E-2</v>
      </c>
    </row>
    <row r="578" spans="1:2">
      <c r="A578">
        <v>197501</v>
      </c>
      <c r="B578">
        <v>0.30930000000000002</v>
      </c>
    </row>
    <row r="579" spans="1:2">
      <c r="A579">
        <v>197502</v>
      </c>
      <c r="B579">
        <v>6.9100000000000009E-2</v>
      </c>
    </row>
    <row r="580" spans="1:2">
      <c r="A580">
        <v>197503</v>
      </c>
      <c r="B580">
        <v>7.7899999999999997E-2</v>
      </c>
    </row>
    <row r="581" spans="1:2">
      <c r="A581">
        <v>197504</v>
      </c>
      <c r="B581">
        <v>4.5100000000000001E-2</v>
      </c>
    </row>
    <row r="582" spans="1:2">
      <c r="A582">
        <v>197505</v>
      </c>
      <c r="B582">
        <v>5.6399999999999999E-2</v>
      </c>
    </row>
    <row r="583" spans="1:2">
      <c r="A583">
        <v>197506</v>
      </c>
      <c r="B583">
        <v>6.0599999999999994E-2</v>
      </c>
    </row>
    <row r="584" spans="1:2">
      <c r="A584">
        <v>197507</v>
      </c>
      <c r="B584">
        <v>-8.0799999999999997E-2</v>
      </c>
    </row>
    <row r="585" spans="1:2">
      <c r="A585">
        <v>197508</v>
      </c>
      <c r="B585">
        <v>-4.5199999999999997E-2</v>
      </c>
    </row>
    <row r="586" spans="1:2">
      <c r="A586">
        <v>197509</v>
      </c>
      <c r="B586">
        <v>-3.6499999999999998E-2</v>
      </c>
    </row>
    <row r="587" spans="1:2">
      <c r="A587">
        <v>197510</v>
      </c>
      <c r="B587">
        <v>2.23E-2</v>
      </c>
    </row>
    <row r="588" spans="1:2">
      <c r="A588">
        <v>197511</v>
      </c>
      <c r="B588">
        <v>3.2300000000000002E-2</v>
      </c>
    </row>
    <row r="589" spans="1:2">
      <c r="A589">
        <v>197512</v>
      </c>
      <c r="B589">
        <v>-1.61E-2</v>
      </c>
    </row>
    <row r="590" spans="1:2">
      <c r="A590">
        <v>197601</v>
      </c>
      <c r="B590">
        <v>9.9000000000000005E-2</v>
      </c>
    </row>
    <row r="591" spans="1:2">
      <c r="A591">
        <v>197602</v>
      </c>
      <c r="B591">
        <v>2.4300000000000002E-2</v>
      </c>
    </row>
    <row r="592" spans="1:2">
      <c r="A592">
        <v>197603</v>
      </c>
      <c r="B592">
        <v>5.0000000000000001E-3</v>
      </c>
    </row>
    <row r="593" spans="1:2">
      <c r="A593">
        <v>197604</v>
      </c>
      <c r="B593">
        <v>-3.2100000000000004E-2</v>
      </c>
    </row>
    <row r="594" spans="1:2">
      <c r="A594">
        <v>197605</v>
      </c>
      <c r="B594">
        <v>1.8E-3</v>
      </c>
    </row>
    <row r="595" spans="1:2">
      <c r="A595">
        <v>197606</v>
      </c>
      <c r="B595">
        <v>7.0099999999999996E-2</v>
      </c>
    </row>
    <row r="596" spans="1:2">
      <c r="A596">
        <v>197607</v>
      </c>
      <c r="B596">
        <v>-0.01</v>
      </c>
    </row>
    <row r="597" spans="1:2">
      <c r="A597">
        <v>197608</v>
      </c>
      <c r="B597">
        <v>-1.54E-2</v>
      </c>
    </row>
    <row r="598" spans="1:2">
      <c r="A598">
        <v>197609</v>
      </c>
      <c r="B598">
        <v>1.9099999999999999E-2</v>
      </c>
    </row>
    <row r="599" spans="1:2">
      <c r="A599">
        <v>197610</v>
      </c>
      <c r="B599">
        <v>-3.5200000000000002E-2</v>
      </c>
    </row>
    <row r="600" spans="1:2">
      <c r="A600">
        <v>197611</v>
      </c>
      <c r="B600">
        <v>-5.0000000000000001E-4</v>
      </c>
    </row>
    <row r="601" spans="1:2">
      <c r="A601">
        <v>197612</v>
      </c>
      <c r="B601">
        <v>5.1100000000000007E-2</v>
      </c>
    </row>
    <row r="602" spans="1:2">
      <c r="A602">
        <v>197701</v>
      </c>
      <c r="B602">
        <v>-9.3900000000000011E-2</v>
      </c>
    </row>
    <row r="603" spans="1:2">
      <c r="A603">
        <v>197702</v>
      </c>
      <c r="B603">
        <v>-1.8100000000000002E-2</v>
      </c>
    </row>
    <row r="604" spans="1:2">
      <c r="A604">
        <v>197703</v>
      </c>
      <c r="B604">
        <v>-2.7700000000000002E-2</v>
      </c>
    </row>
    <row r="605" spans="1:2">
      <c r="A605">
        <v>197704</v>
      </c>
      <c r="B605">
        <v>-4.1200000000000001E-2</v>
      </c>
    </row>
    <row r="606" spans="1:2">
      <c r="A606">
        <v>197705</v>
      </c>
      <c r="B606">
        <v>-2.4100000000000003E-2</v>
      </c>
    </row>
    <row r="607" spans="1:2">
      <c r="A607">
        <v>197706</v>
      </c>
      <c r="B607">
        <v>5.9000000000000004E-2</v>
      </c>
    </row>
    <row r="608" spans="1:2">
      <c r="A608">
        <v>197707</v>
      </c>
      <c r="B608">
        <v>-2.1800000000000003E-2</v>
      </c>
    </row>
    <row r="609" spans="1:2">
      <c r="A609">
        <v>197708</v>
      </c>
      <c r="B609">
        <v>2.2200000000000001E-2</v>
      </c>
    </row>
    <row r="610" spans="1:2">
      <c r="A610">
        <v>197709</v>
      </c>
      <c r="B610">
        <v>-2.2200000000000001E-2</v>
      </c>
    </row>
    <row r="611" spans="1:2">
      <c r="A611">
        <v>197710</v>
      </c>
      <c r="B611">
        <v>-5.2499999999999998E-2</v>
      </c>
    </row>
    <row r="612" spans="1:2">
      <c r="A612">
        <v>197711</v>
      </c>
      <c r="B612">
        <v>3.6299999999999999E-2</v>
      </c>
    </row>
    <row r="613" spans="1:2">
      <c r="A613">
        <v>197712</v>
      </c>
      <c r="B613">
        <v>1.3000000000000002E-3</v>
      </c>
    </row>
    <row r="614" spans="1:2">
      <c r="A614">
        <v>197801</v>
      </c>
      <c r="B614">
        <v>-5.7999999999999996E-2</v>
      </c>
    </row>
    <row r="615" spans="1:2">
      <c r="A615">
        <v>197802</v>
      </c>
      <c r="B615">
        <v>-4.7300000000000009E-2</v>
      </c>
    </row>
    <row r="616" spans="1:2">
      <c r="A616">
        <v>197803</v>
      </c>
      <c r="B616">
        <v>3.61E-2</v>
      </c>
    </row>
    <row r="617" spans="1:2">
      <c r="A617">
        <v>197804</v>
      </c>
      <c r="B617">
        <v>0.1153</v>
      </c>
    </row>
    <row r="618" spans="1:2">
      <c r="A618">
        <v>197805</v>
      </c>
      <c r="B618">
        <v>1.66E-2</v>
      </c>
    </row>
    <row r="619" spans="1:2">
      <c r="A619">
        <v>197806</v>
      </c>
      <c r="B619">
        <v>-4.5499999999999999E-2</v>
      </c>
    </row>
    <row r="620" spans="1:2">
      <c r="A620">
        <v>197807</v>
      </c>
      <c r="B620">
        <v>5.3899999999999997E-2</v>
      </c>
    </row>
    <row r="621" spans="1:2">
      <c r="A621">
        <v>197808</v>
      </c>
      <c r="B621">
        <v>4.0999999999999995E-2</v>
      </c>
    </row>
    <row r="622" spans="1:2">
      <c r="A622">
        <v>197809</v>
      </c>
      <c r="B622">
        <v>8.199999999999999E-3</v>
      </c>
    </row>
    <row r="623" spans="1:2">
      <c r="A623">
        <v>197810</v>
      </c>
      <c r="B623">
        <v>-0.1081</v>
      </c>
    </row>
    <row r="624" spans="1:2">
      <c r="A624">
        <v>197811</v>
      </c>
      <c r="B624">
        <v>2.7300000000000001E-2</v>
      </c>
    </row>
    <row r="625" spans="1:2">
      <c r="A625">
        <v>197812</v>
      </c>
      <c r="B625">
        <v>-2.12E-2</v>
      </c>
    </row>
    <row r="626" spans="1:2">
      <c r="A626">
        <v>197901</v>
      </c>
      <c r="B626">
        <v>9.6199999999999994E-2</v>
      </c>
    </row>
    <row r="627" spans="1:2">
      <c r="A627">
        <v>197902</v>
      </c>
      <c r="B627">
        <v>-2.7200000000000002E-2</v>
      </c>
    </row>
    <row r="628" spans="1:2">
      <c r="A628">
        <v>197903</v>
      </c>
      <c r="B628">
        <v>8.4700000000000011E-2</v>
      </c>
    </row>
    <row r="629" spans="1:2">
      <c r="A629">
        <v>197904</v>
      </c>
      <c r="B629">
        <v>5.3E-3</v>
      </c>
    </row>
    <row r="630" spans="1:2">
      <c r="A630">
        <v>197905</v>
      </c>
      <c r="B630">
        <v>-2.4799999999999999E-2</v>
      </c>
    </row>
    <row r="631" spans="1:2">
      <c r="A631">
        <v>197906</v>
      </c>
      <c r="B631">
        <v>5.7400000000000007E-2</v>
      </c>
    </row>
    <row r="632" spans="1:2">
      <c r="A632">
        <v>197907</v>
      </c>
      <c r="B632">
        <v>2.75E-2</v>
      </c>
    </row>
    <row r="633" spans="1:2">
      <c r="A633">
        <v>197908</v>
      </c>
      <c r="B633">
        <v>8.3100000000000007E-2</v>
      </c>
    </row>
    <row r="634" spans="1:2">
      <c r="A634">
        <v>197909</v>
      </c>
      <c r="B634">
        <v>-3.95E-2</v>
      </c>
    </row>
    <row r="635" spans="1:2">
      <c r="A635">
        <v>197910</v>
      </c>
      <c r="B635">
        <v>-0.13059999999999999</v>
      </c>
    </row>
    <row r="636" spans="1:2">
      <c r="A636">
        <v>197911</v>
      </c>
      <c r="B636">
        <v>2.2000000000000002E-2</v>
      </c>
    </row>
    <row r="637" spans="1:2">
      <c r="A637">
        <v>197912</v>
      </c>
      <c r="B637">
        <v>2.5000000000000001E-2</v>
      </c>
    </row>
    <row r="638" spans="1:2">
      <c r="A638">
        <v>198001</v>
      </c>
      <c r="B638">
        <v>3.9600000000000003E-2</v>
      </c>
    </row>
    <row r="639" spans="1:2">
      <c r="A639">
        <v>198002</v>
      </c>
      <c r="B639">
        <v>-5.1500000000000004E-2</v>
      </c>
    </row>
    <row r="640" spans="1:2">
      <c r="A640">
        <v>198003</v>
      </c>
      <c r="B640">
        <v>-3.7000000000000005E-2</v>
      </c>
    </row>
    <row r="641" spans="1:2">
      <c r="A641">
        <v>198004</v>
      </c>
      <c r="B641">
        <v>6.8499999999999991E-2</v>
      </c>
    </row>
    <row r="642" spans="1:2">
      <c r="A642">
        <v>198005</v>
      </c>
      <c r="B642">
        <v>8.1000000000000003E-2</v>
      </c>
    </row>
    <row r="643" spans="1:2">
      <c r="A643">
        <v>198006</v>
      </c>
      <c r="B643">
        <v>4.7199999999999999E-2</v>
      </c>
    </row>
    <row r="644" spans="1:2">
      <c r="A644">
        <v>198007</v>
      </c>
      <c r="B644">
        <v>0.1023</v>
      </c>
    </row>
    <row r="645" spans="1:2">
      <c r="A645">
        <v>198008</v>
      </c>
      <c r="B645">
        <v>2.5700000000000001E-2</v>
      </c>
    </row>
    <row r="646" spans="1:2">
      <c r="A646">
        <v>198009</v>
      </c>
      <c r="B646">
        <v>2.5000000000000001E-3</v>
      </c>
    </row>
    <row r="647" spans="1:2">
      <c r="A647">
        <v>198010</v>
      </c>
      <c r="B647">
        <v>-1.7100000000000001E-2</v>
      </c>
    </row>
    <row r="648" spans="1:2">
      <c r="A648">
        <v>198011</v>
      </c>
      <c r="B648">
        <v>8.8999999999999999E-3</v>
      </c>
    </row>
    <row r="649" spans="1:2">
      <c r="A649">
        <v>198012</v>
      </c>
      <c r="B649">
        <v>-2.5000000000000001E-3</v>
      </c>
    </row>
    <row r="650" spans="1:2">
      <c r="A650">
        <v>198101</v>
      </c>
      <c r="B650">
        <v>-7.1999999999999998E-3</v>
      </c>
    </row>
    <row r="651" spans="1:2">
      <c r="A651">
        <v>198102</v>
      </c>
      <c r="B651">
        <v>-8.9999999999999998E-4</v>
      </c>
    </row>
    <row r="652" spans="1:2">
      <c r="A652">
        <v>198103</v>
      </c>
      <c r="B652">
        <v>0.1024</v>
      </c>
    </row>
    <row r="653" spans="1:2">
      <c r="A653">
        <v>198104</v>
      </c>
      <c r="B653">
        <v>-1.3899999999999999E-2</v>
      </c>
    </row>
    <row r="654" spans="1:2">
      <c r="A654">
        <v>198105</v>
      </c>
      <c r="B654">
        <v>1E-3</v>
      </c>
    </row>
    <row r="655" spans="1:2">
      <c r="A655">
        <v>198106</v>
      </c>
      <c r="B655">
        <v>4.3499999999999997E-2</v>
      </c>
    </row>
    <row r="656" spans="1:2">
      <c r="A656">
        <v>198107</v>
      </c>
      <c r="B656">
        <v>4.6200000000000005E-2</v>
      </c>
    </row>
    <row r="657" spans="1:2">
      <c r="A657">
        <v>198108</v>
      </c>
      <c r="B657">
        <v>-7.85E-2</v>
      </c>
    </row>
    <row r="658" spans="1:2">
      <c r="A658">
        <v>198109</v>
      </c>
      <c r="B658">
        <v>-9.98E-2</v>
      </c>
    </row>
    <row r="659" spans="1:2">
      <c r="A659">
        <v>198110</v>
      </c>
      <c r="B659">
        <v>3.5299999999999998E-2</v>
      </c>
    </row>
    <row r="660" spans="1:2">
      <c r="A660">
        <v>198111</v>
      </c>
      <c r="B660">
        <v>3.6900000000000002E-2</v>
      </c>
    </row>
    <row r="661" spans="1:2">
      <c r="A661">
        <v>198112</v>
      </c>
      <c r="B661">
        <v>-5.2499999999999998E-2</v>
      </c>
    </row>
    <row r="662" spans="1:2">
      <c r="A662">
        <v>198201</v>
      </c>
      <c r="B662">
        <v>-4.8200000000000007E-2</v>
      </c>
    </row>
    <row r="663" spans="1:2">
      <c r="A663">
        <v>198202</v>
      </c>
      <c r="B663">
        <v>-9.2799999999999994E-2</v>
      </c>
    </row>
    <row r="664" spans="1:2">
      <c r="A664">
        <v>198203</v>
      </c>
      <c r="B664">
        <v>-4.4200000000000003E-2</v>
      </c>
    </row>
    <row r="665" spans="1:2">
      <c r="A665">
        <v>198204</v>
      </c>
      <c r="B665">
        <v>5.7500000000000002E-2</v>
      </c>
    </row>
    <row r="666" spans="1:2">
      <c r="A666">
        <v>198205</v>
      </c>
      <c r="B666">
        <v>-6.5100000000000005E-2</v>
      </c>
    </row>
    <row r="667" spans="1:2">
      <c r="A667">
        <v>198206</v>
      </c>
      <c r="B667">
        <v>-9.0500000000000011E-2</v>
      </c>
    </row>
    <row r="668" spans="1:2">
      <c r="A668">
        <v>198207</v>
      </c>
      <c r="B668">
        <v>-6.7000000000000004E-2</v>
      </c>
    </row>
    <row r="669" spans="1:2">
      <c r="A669">
        <v>198208</v>
      </c>
      <c r="B669">
        <v>0.1069</v>
      </c>
    </row>
    <row r="670" spans="1:2">
      <c r="A670">
        <v>198209</v>
      </c>
      <c r="B670">
        <v>-3.4500000000000003E-2</v>
      </c>
    </row>
    <row r="671" spans="1:2">
      <c r="A671">
        <v>198210</v>
      </c>
      <c r="B671">
        <v>0.13720000000000002</v>
      </c>
    </row>
    <row r="672" spans="1:2">
      <c r="A672">
        <v>198211</v>
      </c>
      <c r="B672">
        <v>1.6299999999999999E-2</v>
      </c>
    </row>
    <row r="673" spans="1:2">
      <c r="A673">
        <v>198212</v>
      </c>
      <c r="B673">
        <v>3.8300000000000001E-2</v>
      </c>
    </row>
    <row r="674" spans="1:2">
      <c r="A674">
        <v>198301</v>
      </c>
      <c r="B674">
        <v>7.0099999999999996E-2</v>
      </c>
    </row>
    <row r="675" spans="1:2">
      <c r="A675">
        <v>198302</v>
      </c>
      <c r="B675">
        <v>-0.02</v>
      </c>
    </row>
    <row r="676" spans="1:2">
      <c r="A676">
        <v>198303</v>
      </c>
      <c r="B676">
        <v>2.1899999999999999E-2</v>
      </c>
    </row>
    <row r="677" spans="1:2">
      <c r="A677">
        <v>198304</v>
      </c>
      <c r="B677">
        <v>6.5599999999999992E-2</v>
      </c>
    </row>
    <row r="678" spans="1:2">
      <c r="A678">
        <v>198305</v>
      </c>
      <c r="B678">
        <v>8.8100000000000012E-2</v>
      </c>
    </row>
    <row r="679" spans="1:2">
      <c r="A679">
        <v>198306</v>
      </c>
      <c r="B679">
        <v>4.7699999999999999E-2</v>
      </c>
    </row>
    <row r="680" spans="1:2">
      <c r="A680">
        <v>198307</v>
      </c>
      <c r="B680">
        <v>-2.6600000000000002E-2</v>
      </c>
    </row>
    <row r="681" spans="1:2">
      <c r="A681">
        <v>198308</v>
      </c>
      <c r="B681">
        <v>-1.9E-3</v>
      </c>
    </row>
    <row r="682" spans="1:2">
      <c r="A682">
        <v>198309</v>
      </c>
      <c r="B682">
        <v>3.5299999999999998E-2</v>
      </c>
    </row>
    <row r="683" spans="1:2">
      <c r="A683">
        <v>198310</v>
      </c>
      <c r="B683">
        <v>-1.8200000000000001E-2</v>
      </c>
    </row>
    <row r="684" spans="1:2">
      <c r="A684">
        <v>198311</v>
      </c>
      <c r="B684">
        <v>4.8499999999999995E-2</v>
      </c>
    </row>
    <row r="685" spans="1:2">
      <c r="A685">
        <v>198312</v>
      </c>
      <c r="B685">
        <v>2.0000000000000001E-4</v>
      </c>
    </row>
    <row r="686" spans="1:2">
      <c r="A686">
        <v>198401</v>
      </c>
      <c r="B686">
        <v>-1.8200000000000001E-2</v>
      </c>
    </row>
    <row r="687" spans="1:2">
      <c r="A687">
        <v>198402</v>
      </c>
      <c r="B687">
        <v>-5.7000000000000002E-2</v>
      </c>
    </row>
    <row r="688" spans="1:2">
      <c r="A688">
        <v>198403</v>
      </c>
      <c r="B688">
        <v>-8.6E-3</v>
      </c>
    </row>
    <row r="689" spans="1:2">
      <c r="A689">
        <v>198404</v>
      </c>
      <c r="B689">
        <v>-9.300000000000001E-3</v>
      </c>
    </row>
    <row r="690" spans="1:2">
      <c r="A690">
        <v>198405</v>
      </c>
      <c r="B690">
        <v>-8.7899999999999992E-2</v>
      </c>
    </row>
    <row r="691" spans="1:2">
      <c r="A691">
        <v>198406</v>
      </c>
      <c r="B691">
        <v>1.3200000000000002E-2</v>
      </c>
    </row>
    <row r="692" spans="1:2">
      <c r="A692">
        <v>198407</v>
      </c>
      <c r="B692">
        <v>-6.93E-2</v>
      </c>
    </row>
    <row r="693" spans="1:2">
      <c r="A693">
        <v>198408</v>
      </c>
      <c r="B693">
        <v>0.13539999999999999</v>
      </c>
    </row>
    <row r="694" spans="1:2">
      <c r="A694">
        <v>198409</v>
      </c>
      <c r="B694">
        <v>-3.3500000000000002E-2</v>
      </c>
    </row>
    <row r="695" spans="1:2">
      <c r="A695">
        <v>198410</v>
      </c>
      <c r="B695">
        <v>-3.39E-2</v>
      </c>
    </row>
    <row r="696" spans="1:2">
      <c r="A696">
        <v>198411</v>
      </c>
      <c r="B696">
        <v>-4.5899999999999996E-2</v>
      </c>
    </row>
    <row r="697" spans="1:2">
      <c r="A697">
        <v>198412</v>
      </c>
      <c r="B697">
        <v>9.9000000000000008E-3</v>
      </c>
    </row>
    <row r="698" spans="1:2">
      <c r="A698">
        <v>198501</v>
      </c>
      <c r="B698">
        <v>0.16510000000000002</v>
      </c>
    </row>
    <row r="699" spans="1:2">
      <c r="A699">
        <v>198502</v>
      </c>
      <c r="B699">
        <v>2.5000000000000001E-3</v>
      </c>
    </row>
    <row r="700" spans="1:2">
      <c r="A700">
        <v>198503</v>
      </c>
      <c r="B700">
        <v>-9.1999999999999998E-3</v>
      </c>
    </row>
    <row r="701" spans="1:2">
      <c r="A701">
        <v>198504</v>
      </c>
      <c r="B701">
        <v>-3.3100000000000004E-2</v>
      </c>
    </row>
    <row r="702" spans="1:2">
      <c r="A702">
        <v>198505</v>
      </c>
      <c r="B702">
        <v>-6.4000000000000003E-3</v>
      </c>
    </row>
    <row r="703" spans="1:2">
      <c r="A703">
        <v>198506</v>
      </c>
      <c r="B703">
        <v>-1.2E-2</v>
      </c>
    </row>
    <row r="704" spans="1:2">
      <c r="A704">
        <v>198507</v>
      </c>
      <c r="B704">
        <v>2.7700000000000002E-2</v>
      </c>
    </row>
    <row r="705" spans="1:2">
      <c r="A705">
        <v>198508</v>
      </c>
      <c r="B705">
        <v>-3.1800000000000002E-2</v>
      </c>
    </row>
    <row r="706" spans="1:2">
      <c r="A706">
        <v>198509</v>
      </c>
      <c r="B706">
        <v>-8.8100000000000012E-2</v>
      </c>
    </row>
    <row r="707" spans="1:2">
      <c r="A707">
        <v>198510</v>
      </c>
      <c r="B707">
        <v>5.0000000000000001E-4</v>
      </c>
    </row>
    <row r="708" spans="1:2">
      <c r="A708">
        <v>198511</v>
      </c>
      <c r="B708">
        <v>6.7500000000000004E-2</v>
      </c>
    </row>
    <row r="709" spans="1:2">
      <c r="A709">
        <v>198512</v>
      </c>
      <c r="B709">
        <v>3.49E-2</v>
      </c>
    </row>
    <row r="710" spans="1:2">
      <c r="A710">
        <v>198601</v>
      </c>
      <c r="B710">
        <v>-2.0499999999999997E-2</v>
      </c>
    </row>
    <row r="711" spans="1:2">
      <c r="A711">
        <v>198602</v>
      </c>
      <c r="B711">
        <v>4.58E-2</v>
      </c>
    </row>
    <row r="712" spans="1:2">
      <c r="A712">
        <v>198603</v>
      </c>
      <c r="B712">
        <v>2.63E-2</v>
      </c>
    </row>
    <row r="713" spans="1:2">
      <c r="A713">
        <v>198604</v>
      </c>
      <c r="B713">
        <v>-7.9000000000000008E-3</v>
      </c>
    </row>
    <row r="714" spans="1:2">
      <c r="A714">
        <v>198605</v>
      </c>
      <c r="B714">
        <v>4.9599999999999998E-2</v>
      </c>
    </row>
    <row r="715" spans="1:2">
      <c r="A715">
        <v>198606</v>
      </c>
      <c r="B715">
        <v>-4.2000000000000003E-2</v>
      </c>
    </row>
    <row r="716" spans="1:2">
      <c r="A716">
        <v>198607</v>
      </c>
      <c r="B716">
        <v>-0.11880000000000002</v>
      </c>
    </row>
    <row r="717" spans="1:2">
      <c r="A717">
        <v>198608</v>
      </c>
      <c r="B717">
        <v>0.11119999999999999</v>
      </c>
    </row>
    <row r="718" spans="1:2">
      <c r="A718">
        <v>198609</v>
      </c>
      <c r="B718">
        <v>-1.2E-2</v>
      </c>
    </row>
    <row r="719" spans="1:2">
      <c r="A719">
        <v>198610</v>
      </c>
      <c r="B719">
        <v>1.9099999999999999E-2</v>
      </c>
    </row>
    <row r="720" spans="1:2">
      <c r="A720">
        <v>198611</v>
      </c>
      <c r="B720">
        <v>4.5000000000000005E-3</v>
      </c>
    </row>
    <row r="721" spans="1:2">
      <c r="A721">
        <v>198612</v>
      </c>
      <c r="B721">
        <v>-5.2199999999999996E-2</v>
      </c>
    </row>
    <row r="722" spans="1:2">
      <c r="A722">
        <v>198701</v>
      </c>
      <c r="B722">
        <v>0.1416</v>
      </c>
    </row>
    <row r="723" spans="1:2">
      <c r="A723">
        <v>198702</v>
      </c>
      <c r="B723">
        <v>8.2699999999999996E-2</v>
      </c>
    </row>
    <row r="724" spans="1:2">
      <c r="A724">
        <v>198703</v>
      </c>
      <c r="B724">
        <v>3.0000000000000001E-3</v>
      </c>
    </row>
    <row r="725" spans="1:2">
      <c r="A725">
        <v>198704</v>
      </c>
      <c r="B725">
        <v>-4.9500000000000002E-2</v>
      </c>
    </row>
    <row r="726" spans="1:2">
      <c r="A726">
        <v>198705</v>
      </c>
      <c r="B726">
        <v>1.2500000000000001E-2</v>
      </c>
    </row>
    <row r="727" spans="1:2">
      <c r="A727">
        <v>198706</v>
      </c>
      <c r="B727">
        <v>2.1700000000000001E-2</v>
      </c>
    </row>
    <row r="728" spans="1:2">
      <c r="A728">
        <v>198707</v>
      </c>
      <c r="B728">
        <v>3.0499999999999999E-2</v>
      </c>
    </row>
    <row r="729" spans="1:2">
      <c r="A729">
        <v>198708</v>
      </c>
      <c r="B729">
        <v>3.32E-2</v>
      </c>
    </row>
    <row r="730" spans="1:2">
      <c r="A730">
        <v>198709</v>
      </c>
      <c r="B730">
        <v>-0.03</v>
      </c>
    </row>
    <row r="731" spans="1:2">
      <c r="A731">
        <v>198710</v>
      </c>
      <c r="B731">
        <v>-0.23899999999999999</v>
      </c>
    </row>
    <row r="732" spans="1:2">
      <c r="A732">
        <v>198711</v>
      </c>
      <c r="B732">
        <v>-5.9400000000000008E-2</v>
      </c>
    </row>
    <row r="733" spans="1:2">
      <c r="A733">
        <v>198712</v>
      </c>
      <c r="B733">
        <v>2.0199999999999999E-2</v>
      </c>
    </row>
    <row r="734" spans="1:2">
      <c r="A734">
        <v>198801</v>
      </c>
      <c r="B734">
        <v>7.4200000000000002E-2</v>
      </c>
    </row>
    <row r="735" spans="1:2">
      <c r="A735">
        <v>198802</v>
      </c>
      <c r="B735">
        <v>8.7500000000000008E-2</v>
      </c>
    </row>
    <row r="736" spans="1:2">
      <c r="A736">
        <v>198803</v>
      </c>
      <c r="B736">
        <v>2E-3</v>
      </c>
    </row>
    <row r="737" spans="1:2">
      <c r="A737">
        <v>198804</v>
      </c>
      <c r="B737">
        <v>-3.2000000000000002E-3</v>
      </c>
    </row>
    <row r="738" spans="1:2">
      <c r="A738">
        <v>198805</v>
      </c>
      <c r="B738">
        <v>-3.0499999999999999E-2</v>
      </c>
    </row>
    <row r="739" spans="1:2">
      <c r="A739">
        <v>198806</v>
      </c>
      <c r="B739">
        <v>9.6799999999999997E-2</v>
      </c>
    </row>
    <row r="740" spans="1:2">
      <c r="A740">
        <v>198807</v>
      </c>
      <c r="B740">
        <v>-2.4100000000000003E-2</v>
      </c>
    </row>
    <row r="741" spans="1:2">
      <c r="A741">
        <v>198808</v>
      </c>
      <c r="B741">
        <v>-3.7100000000000001E-2</v>
      </c>
    </row>
    <row r="742" spans="1:2">
      <c r="A742">
        <v>198809</v>
      </c>
      <c r="B742">
        <v>2.01E-2</v>
      </c>
    </row>
    <row r="743" spans="1:2">
      <c r="A743">
        <v>198810</v>
      </c>
      <c r="B743">
        <v>6.1999999999999998E-3</v>
      </c>
    </row>
    <row r="744" spans="1:2">
      <c r="A744">
        <v>198811</v>
      </c>
      <c r="B744">
        <v>-3.9300000000000002E-2</v>
      </c>
    </row>
    <row r="745" spans="1:2">
      <c r="A745">
        <v>198812</v>
      </c>
      <c r="B745">
        <v>2.4900000000000002E-2</v>
      </c>
    </row>
    <row r="746" spans="1:2">
      <c r="A746">
        <v>198901</v>
      </c>
      <c r="B746">
        <v>8.4900000000000003E-2</v>
      </c>
    </row>
    <row r="747" spans="1:2">
      <c r="A747">
        <v>198902</v>
      </c>
      <c r="B747">
        <v>-1.7100000000000001E-2</v>
      </c>
    </row>
    <row r="748" spans="1:2">
      <c r="A748">
        <v>198903</v>
      </c>
      <c r="B748">
        <v>-1.9199999999999998E-2</v>
      </c>
    </row>
    <row r="749" spans="1:2">
      <c r="A749">
        <v>198904</v>
      </c>
      <c r="B749">
        <v>2.1899999999999999E-2</v>
      </c>
    </row>
    <row r="750" spans="1:2">
      <c r="A750">
        <v>198905</v>
      </c>
      <c r="B750">
        <v>3.4000000000000002E-2</v>
      </c>
    </row>
    <row r="751" spans="1:2">
      <c r="A751">
        <v>198906</v>
      </c>
      <c r="B751">
        <v>-3.4500000000000003E-2</v>
      </c>
    </row>
    <row r="752" spans="1:2">
      <c r="A752">
        <v>198907</v>
      </c>
      <c r="B752">
        <v>-8.3999999999999995E-3</v>
      </c>
    </row>
    <row r="753" spans="1:2">
      <c r="A753">
        <v>198908</v>
      </c>
      <c r="B753">
        <v>0.01</v>
      </c>
    </row>
    <row r="754" spans="1:2">
      <c r="A754">
        <v>198909</v>
      </c>
      <c r="B754">
        <v>-3.1400000000000004E-2</v>
      </c>
    </row>
    <row r="755" spans="1:2">
      <c r="A755">
        <v>198910</v>
      </c>
      <c r="B755">
        <v>-9.98E-2</v>
      </c>
    </row>
    <row r="756" spans="1:2">
      <c r="A756">
        <v>198911</v>
      </c>
      <c r="B756">
        <v>-2.6499999999999999E-2</v>
      </c>
    </row>
    <row r="757" spans="1:2">
      <c r="A757">
        <v>198912</v>
      </c>
      <c r="B757">
        <v>-1.3700000000000002E-2</v>
      </c>
    </row>
    <row r="758" spans="1:2">
      <c r="A758">
        <v>199001</v>
      </c>
      <c r="B758">
        <v>-8.6599999999999996E-2</v>
      </c>
    </row>
    <row r="759" spans="1:2">
      <c r="A759">
        <v>199002</v>
      </c>
      <c r="B759">
        <v>0.03</v>
      </c>
    </row>
    <row r="760" spans="1:2">
      <c r="A760">
        <v>199003</v>
      </c>
      <c r="B760">
        <v>1.6200000000000003E-2</v>
      </c>
    </row>
    <row r="761" spans="1:2">
      <c r="A761">
        <v>199004</v>
      </c>
      <c r="B761">
        <v>-7.6499999999999999E-2</v>
      </c>
    </row>
    <row r="762" spans="1:2">
      <c r="A762">
        <v>199005</v>
      </c>
      <c r="B762">
        <v>4.0700000000000007E-2</v>
      </c>
    </row>
    <row r="763" spans="1:2">
      <c r="A763">
        <v>199006</v>
      </c>
      <c r="B763">
        <v>-2.3900000000000001E-2</v>
      </c>
    </row>
    <row r="764" spans="1:2">
      <c r="A764">
        <v>199007</v>
      </c>
      <c r="B764">
        <v>-9.2699999999999991E-2</v>
      </c>
    </row>
    <row r="765" spans="1:2">
      <c r="A765">
        <v>199008</v>
      </c>
      <c r="B765">
        <v>-0.1673</v>
      </c>
    </row>
    <row r="766" spans="1:2">
      <c r="A766">
        <v>199009</v>
      </c>
      <c r="B766">
        <v>-0.14080000000000001</v>
      </c>
    </row>
    <row r="767" spans="1:2">
      <c r="A767">
        <v>199010</v>
      </c>
      <c r="B767">
        <v>-0.11170000000000001</v>
      </c>
    </row>
    <row r="768" spans="1:2">
      <c r="A768">
        <v>199011</v>
      </c>
      <c r="B768">
        <v>0.1363</v>
      </c>
    </row>
    <row r="769" spans="1:2">
      <c r="A769">
        <v>199012</v>
      </c>
      <c r="B769">
        <v>-1.2700000000000001E-2</v>
      </c>
    </row>
    <row r="770" spans="1:2">
      <c r="A770">
        <v>199101</v>
      </c>
      <c r="B770">
        <v>8.0799999999999997E-2</v>
      </c>
    </row>
    <row r="771" spans="1:2">
      <c r="A771">
        <v>199102</v>
      </c>
      <c r="B771">
        <v>0.21690000000000001</v>
      </c>
    </row>
    <row r="772" spans="1:2">
      <c r="A772">
        <v>199103</v>
      </c>
      <c r="B772">
        <v>5.7800000000000004E-2</v>
      </c>
    </row>
    <row r="773" spans="1:2">
      <c r="A773">
        <v>199104</v>
      </c>
      <c r="B773">
        <v>-2E-3</v>
      </c>
    </row>
    <row r="774" spans="1:2">
      <c r="A774">
        <v>199105</v>
      </c>
      <c r="B774">
        <v>2.1499999999999998E-2</v>
      </c>
    </row>
    <row r="775" spans="1:2">
      <c r="A775">
        <v>199106</v>
      </c>
      <c r="B775">
        <v>-4.0599999999999997E-2</v>
      </c>
    </row>
    <row r="776" spans="1:2">
      <c r="A776">
        <v>199107</v>
      </c>
      <c r="B776">
        <v>1.8200000000000001E-2</v>
      </c>
    </row>
    <row r="777" spans="1:2">
      <c r="A777">
        <v>199108</v>
      </c>
      <c r="B777">
        <v>5.7800000000000004E-2</v>
      </c>
    </row>
    <row r="778" spans="1:2">
      <c r="A778">
        <v>199109</v>
      </c>
      <c r="B778">
        <v>-6.0300000000000006E-2</v>
      </c>
    </row>
    <row r="779" spans="1:2">
      <c r="A779">
        <v>199110</v>
      </c>
      <c r="B779">
        <v>7.4999999999999997E-3</v>
      </c>
    </row>
    <row r="780" spans="1:2">
      <c r="A780">
        <v>199111</v>
      </c>
      <c r="B780">
        <v>-8.3900000000000002E-2</v>
      </c>
    </row>
    <row r="781" spans="1:2">
      <c r="A781">
        <v>199112</v>
      </c>
      <c r="B781">
        <v>2.58E-2</v>
      </c>
    </row>
    <row r="782" spans="1:2">
      <c r="A782">
        <v>199201</v>
      </c>
      <c r="B782">
        <v>5.7300000000000004E-2</v>
      </c>
    </row>
    <row r="783" spans="1:2">
      <c r="A783">
        <v>199202</v>
      </c>
      <c r="B783">
        <v>1.72E-2</v>
      </c>
    </row>
    <row r="784" spans="1:2">
      <c r="A784">
        <v>199203</v>
      </c>
      <c r="B784">
        <v>-5.1799999999999999E-2</v>
      </c>
    </row>
    <row r="785" spans="1:2">
      <c r="A785">
        <v>199204</v>
      </c>
      <c r="B785">
        <v>2.8000000000000004E-3</v>
      </c>
    </row>
    <row r="786" spans="1:2">
      <c r="A786">
        <v>199205</v>
      </c>
      <c r="B786">
        <v>3.39E-2</v>
      </c>
    </row>
    <row r="787" spans="1:2">
      <c r="A787">
        <v>199206</v>
      </c>
      <c r="B787">
        <v>-6.0199999999999997E-2</v>
      </c>
    </row>
    <row r="788" spans="1:2">
      <c r="A788">
        <v>199207</v>
      </c>
      <c r="B788">
        <v>2.58E-2</v>
      </c>
    </row>
    <row r="789" spans="1:2">
      <c r="A789">
        <v>199208</v>
      </c>
      <c r="B789">
        <v>-3.5499999999999997E-2</v>
      </c>
    </row>
    <row r="790" spans="1:2">
      <c r="A790">
        <v>199209</v>
      </c>
      <c r="B790">
        <v>-5.0000000000000001E-4</v>
      </c>
    </row>
    <row r="791" spans="1:2">
      <c r="A791">
        <v>199210</v>
      </c>
      <c r="B791">
        <v>2.35E-2</v>
      </c>
    </row>
    <row r="792" spans="1:2">
      <c r="A792">
        <v>199211</v>
      </c>
      <c r="B792">
        <v>7.6600000000000001E-2</v>
      </c>
    </row>
    <row r="793" spans="1:2">
      <c r="A793">
        <v>199212</v>
      </c>
      <c r="B793">
        <v>-1.6E-2</v>
      </c>
    </row>
    <row r="794" spans="1:2">
      <c r="A794">
        <v>199301</v>
      </c>
      <c r="B794">
        <v>1.34E-2</v>
      </c>
    </row>
    <row r="795" spans="1:2">
      <c r="A795">
        <v>199302</v>
      </c>
      <c r="B795">
        <v>-2.3400000000000001E-2</v>
      </c>
    </row>
    <row r="796" spans="1:2">
      <c r="A796">
        <v>199303</v>
      </c>
      <c r="B796">
        <v>-2.07E-2</v>
      </c>
    </row>
    <row r="797" spans="1:2">
      <c r="A797">
        <v>199304</v>
      </c>
      <c r="B797">
        <v>-5.9699999999999996E-2</v>
      </c>
    </row>
    <row r="798" spans="1:2">
      <c r="A798">
        <v>199305</v>
      </c>
      <c r="B798">
        <v>5.6300000000000003E-2</v>
      </c>
    </row>
    <row r="799" spans="1:2">
      <c r="A799">
        <v>199306</v>
      </c>
      <c r="B799">
        <v>-2.8999999999999998E-2</v>
      </c>
    </row>
    <row r="800" spans="1:2">
      <c r="A800">
        <v>199307</v>
      </c>
      <c r="B800">
        <v>-5.6500000000000002E-2</v>
      </c>
    </row>
    <row r="801" spans="1:2">
      <c r="A801">
        <v>199308</v>
      </c>
      <c r="B801">
        <v>2.9399999999999999E-2</v>
      </c>
    </row>
    <row r="802" spans="1:2">
      <c r="A802">
        <v>199309</v>
      </c>
      <c r="B802">
        <v>-3.0600000000000002E-2</v>
      </c>
    </row>
    <row r="803" spans="1:2">
      <c r="A803">
        <v>199310</v>
      </c>
      <c r="B803">
        <v>9.5199999999999993E-2</v>
      </c>
    </row>
    <row r="804" spans="1:2">
      <c r="A804">
        <v>199311</v>
      </c>
      <c r="B804">
        <v>4.4400000000000002E-2</v>
      </c>
    </row>
    <row r="805" spans="1:2">
      <c r="A805">
        <v>199312</v>
      </c>
      <c r="B805">
        <v>7.9000000000000008E-3</v>
      </c>
    </row>
    <row r="806" spans="1:2">
      <c r="A806">
        <v>199401</v>
      </c>
      <c r="B806">
        <v>6.7100000000000007E-2</v>
      </c>
    </row>
    <row r="807" spans="1:2">
      <c r="A807">
        <v>199402</v>
      </c>
      <c r="B807">
        <v>-1.5100000000000001E-2</v>
      </c>
    </row>
    <row r="808" spans="1:2">
      <c r="A808">
        <v>199403</v>
      </c>
      <c r="B808">
        <v>-4.8899999999999999E-2</v>
      </c>
    </row>
    <row r="809" spans="1:2">
      <c r="A809">
        <v>199404</v>
      </c>
      <c r="B809">
        <v>-1.46E-2</v>
      </c>
    </row>
    <row r="810" spans="1:2">
      <c r="A810">
        <v>199405</v>
      </c>
      <c r="B810">
        <v>1.5300000000000001E-2</v>
      </c>
    </row>
    <row r="811" spans="1:2">
      <c r="A811">
        <v>199406</v>
      </c>
      <c r="B811">
        <v>-4.3600000000000007E-2</v>
      </c>
    </row>
    <row r="812" spans="1:2">
      <c r="A812">
        <v>199407</v>
      </c>
      <c r="B812">
        <v>3.5099999999999999E-2</v>
      </c>
    </row>
    <row r="813" spans="1:2">
      <c r="A813">
        <v>199408</v>
      </c>
      <c r="B813">
        <v>5.4300000000000001E-2</v>
      </c>
    </row>
    <row r="814" spans="1:2">
      <c r="A814">
        <v>199409</v>
      </c>
      <c r="B814">
        <v>-1.18E-2</v>
      </c>
    </row>
    <row r="815" spans="1:2">
      <c r="A815">
        <v>199410</v>
      </c>
      <c r="B815">
        <v>-6.8999999999999999E-3</v>
      </c>
    </row>
    <row r="816" spans="1:2">
      <c r="A816">
        <v>199411</v>
      </c>
      <c r="B816">
        <v>-3.1699999999999999E-2</v>
      </c>
    </row>
    <row r="817" spans="1:2">
      <c r="A817">
        <v>199412</v>
      </c>
      <c r="B817">
        <v>-1.95E-2</v>
      </c>
    </row>
    <row r="818" spans="1:2">
      <c r="A818">
        <v>199501</v>
      </c>
      <c r="B818">
        <v>1.6799999999999999E-2</v>
      </c>
    </row>
    <row r="819" spans="1:2">
      <c r="A819">
        <v>199502</v>
      </c>
      <c r="B819">
        <v>3.1800000000000002E-2</v>
      </c>
    </row>
    <row r="820" spans="1:2">
      <c r="A820">
        <v>199503</v>
      </c>
      <c r="B820">
        <v>3.7000000000000002E-3</v>
      </c>
    </row>
    <row r="821" spans="1:2">
      <c r="A821">
        <v>199504</v>
      </c>
      <c r="B821">
        <v>2.7400000000000004E-2</v>
      </c>
    </row>
    <row r="822" spans="1:2">
      <c r="A822">
        <v>199505</v>
      </c>
      <c r="B822">
        <v>2.7700000000000002E-2</v>
      </c>
    </row>
    <row r="823" spans="1:2">
      <c r="A823">
        <v>199506</v>
      </c>
      <c r="B823">
        <v>7.1300000000000002E-2</v>
      </c>
    </row>
    <row r="824" spans="1:2">
      <c r="A824">
        <v>199507</v>
      </c>
      <c r="B824">
        <v>5.79E-2</v>
      </c>
    </row>
    <row r="825" spans="1:2">
      <c r="A825">
        <v>199508</v>
      </c>
      <c r="B825">
        <v>1.17E-2</v>
      </c>
    </row>
    <row r="826" spans="1:2">
      <c r="A826">
        <v>199509</v>
      </c>
      <c r="B826">
        <v>-1.6899999999999998E-2</v>
      </c>
    </row>
    <row r="827" spans="1:2">
      <c r="A827">
        <v>199510</v>
      </c>
      <c r="B827">
        <v>-7.3800000000000004E-2</v>
      </c>
    </row>
    <row r="828" spans="1:2">
      <c r="A828">
        <v>199511</v>
      </c>
      <c r="B828">
        <v>4.9100000000000005E-2</v>
      </c>
    </row>
    <row r="829" spans="1:2">
      <c r="A829">
        <v>199512</v>
      </c>
      <c r="B829">
        <v>-2.4900000000000002E-2</v>
      </c>
    </row>
    <row r="830" spans="1:2">
      <c r="A830">
        <v>199601</v>
      </c>
      <c r="B830">
        <v>1.7000000000000001E-3</v>
      </c>
    </row>
    <row r="831" spans="1:2">
      <c r="A831">
        <v>199602</v>
      </c>
      <c r="B831">
        <v>4.3299999999999998E-2</v>
      </c>
    </row>
    <row r="832" spans="1:2">
      <c r="A832">
        <v>199603</v>
      </c>
      <c r="B832">
        <v>4.3899999999999995E-2</v>
      </c>
    </row>
    <row r="833" spans="1:2">
      <c r="A833">
        <v>199604</v>
      </c>
      <c r="B833">
        <v>0.1027</v>
      </c>
    </row>
    <row r="834" spans="1:2">
      <c r="A834">
        <v>199605</v>
      </c>
      <c r="B834">
        <v>0.01</v>
      </c>
    </row>
    <row r="835" spans="1:2">
      <c r="A835">
        <v>199606</v>
      </c>
      <c r="B835">
        <v>-6.8000000000000005E-2</v>
      </c>
    </row>
    <row r="836" spans="1:2">
      <c r="A836">
        <v>199607</v>
      </c>
      <c r="B836">
        <v>-0.11410000000000001</v>
      </c>
    </row>
    <row r="837" spans="1:2">
      <c r="A837">
        <v>199608</v>
      </c>
      <c r="B837">
        <v>4.58E-2</v>
      </c>
    </row>
    <row r="838" spans="1:2">
      <c r="A838">
        <v>199609</v>
      </c>
      <c r="B838">
        <v>5.1100000000000007E-2</v>
      </c>
    </row>
    <row r="839" spans="1:2">
      <c r="A839">
        <v>199610</v>
      </c>
      <c r="B839">
        <v>-7.8E-2</v>
      </c>
    </row>
    <row r="840" spans="1:2">
      <c r="A840">
        <v>199611</v>
      </c>
      <c r="B840">
        <v>0.11880000000000002</v>
      </c>
    </row>
    <row r="841" spans="1:2">
      <c r="A841">
        <v>199612</v>
      </c>
      <c r="B841">
        <v>7.1999999999999998E-3</v>
      </c>
    </row>
    <row r="842" spans="1:2">
      <c r="A842">
        <v>199701</v>
      </c>
      <c r="B842">
        <v>3.0800000000000001E-2</v>
      </c>
    </row>
    <row r="843" spans="1:2">
      <c r="A843">
        <v>199702</v>
      </c>
      <c r="B843">
        <v>-2.9300000000000003E-2</v>
      </c>
    </row>
    <row r="844" spans="1:2">
      <c r="A844">
        <v>199703</v>
      </c>
      <c r="B844">
        <v>-7.6200000000000004E-2</v>
      </c>
    </row>
    <row r="845" spans="1:2">
      <c r="A845">
        <v>199704</v>
      </c>
      <c r="B845">
        <v>-2.7000000000000003E-2</v>
      </c>
    </row>
    <row r="846" spans="1:2">
      <c r="A846">
        <v>199705</v>
      </c>
      <c r="B846">
        <v>0.17420000000000002</v>
      </c>
    </row>
    <row r="847" spans="1:2">
      <c r="A847">
        <v>199706</v>
      </c>
      <c r="B847">
        <v>1.5600000000000001E-2</v>
      </c>
    </row>
    <row r="848" spans="1:2">
      <c r="A848">
        <v>199707</v>
      </c>
      <c r="B848">
        <v>4.0800000000000003E-2</v>
      </c>
    </row>
    <row r="849" spans="1:2">
      <c r="A849">
        <v>199708</v>
      </c>
      <c r="B849">
        <v>1.4800000000000001E-2</v>
      </c>
    </row>
    <row r="850" spans="1:2">
      <c r="A850">
        <v>199709</v>
      </c>
      <c r="B850">
        <v>4.0800000000000003E-2</v>
      </c>
    </row>
    <row r="851" spans="1:2">
      <c r="A851">
        <v>199710</v>
      </c>
      <c r="B851">
        <v>-5.9299999999999999E-2</v>
      </c>
    </row>
    <row r="852" spans="1:2">
      <c r="A852">
        <v>199711</v>
      </c>
      <c r="B852">
        <v>-1.38E-2</v>
      </c>
    </row>
    <row r="853" spans="1:2">
      <c r="A853">
        <v>199712</v>
      </c>
      <c r="B853">
        <v>-2.8399999999999998E-2</v>
      </c>
    </row>
    <row r="854" spans="1:2">
      <c r="A854">
        <v>199801</v>
      </c>
      <c r="B854">
        <v>-2.0000000000000001E-4</v>
      </c>
    </row>
    <row r="855" spans="1:2">
      <c r="A855">
        <v>199802</v>
      </c>
      <c r="B855">
        <v>8.4900000000000003E-2</v>
      </c>
    </row>
    <row r="856" spans="1:2">
      <c r="A856">
        <v>199803</v>
      </c>
      <c r="B856">
        <v>4.4800000000000006E-2</v>
      </c>
    </row>
    <row r="857" spans="1:2">
      <c r="A857">
        <v>199804</v>
      </c>
      <c r="B857">
        <v>4.5599999999999995E-2</v>
      </c>
    </row>
    <row r="858" spans="1:2">
      <c r="A858">
        <v>199805</v>
      </c>
      <c r="B858">
        <v>-8.2899999999999988E-2</v>
      </c>
    </row>
    <row r="859" spans="1:2">
      <c r="A859">
        <v>199806</v>
      </c>
      <c r="B859">
        <v>-3.7499999999999999E-2</v>
      </c>
    </row>
    <row r="860" spans="1:2">
      <c r="A860">
        <v>199807</v>
      </c>
      <c r="B860">
        <v>-7.2499999999999995E-2</v>
      </c>
    </row>
    <row r="861" spans="1:2">
      <c r="A861">
        <v>199808</v>
      </c>
      <c r="B861">
        <v>-0.21609999999999999</v>
      </c>
    </row>
    <row r="862" spans="1:2">
      <c r="A862">
        <v>199809</v>
      </c>
      <c r="B862">
        <v>0.1416</v>
      </c>
    </row>
    <row r="863" spans="1:2">
      <c r="A863">
        <v>199810</v>
      </c>
      <c r="B863">
        <v>0.13150000000000001</v>
      </c>
    </row>
    <row r="864" spans="1:2">
      <c r="A864">
        <v>199811</v>
      </c>
      <c r="B864">
        <v>3.8100000000000002E-2</v>
      </c>
    </row>
    <row r="865" spans="1:2">
      <c r="A865">
        <v>199812</v>
      </c>
      <c r="B865">
        <v>-7.8000000000000005E-3</v>
      </c>
    </row>
    <row r="866" spans="1:2">
      <c r="A866">
        <v>199901</v>
      </c>
      <c r="B866">
        <v>2.0400000000000001E-2</v>
      </c>
    </row>
    <row r="867" spans="1:2">
      <c r="A867">
        <v>199902</v>
      </c>
      <c r="B867">
        <v>-7.0099999999999996E-2</v>
      </c>
    </row>
    <row r="868" spans="1:2">
      <c r="A868">
        <v>199903</v>
      </c>
      <c r="B868">
        <v>0.10349999999999999</v>
      </c>
    </row>
    <row r="869" spans="1:2">
      <c r="A869">
        <v>199904</v>
      </c>
      <c r="B869">
        <v>0.17949999999999999</v>
      </c>
    </row>
    <row r="870" spans="1:2">
      <c r="A870">
        <v>199905</v>
      </c>
      <c r="B870">
        <v>7.46E-2</v>
      </c>
    </row>
    <row r="871" spans="1:2">
      <c r="A871">
        <v>199906</v>
      </c>
      <c r="B871">
        <v>1.5300000000000001E-2</v>
      </c>
    </row>
    <row r="872" spans="1:2">
      <c r="A872">
        <v>199907</v>
      </c>
      <c r="B872">
        <v>-4.2999999999999997E-2</v>
      </c>
    </row>
    <row r="873" spans="1:2">
      <c r="A873">
        <v>199908</v>
      </c>
      <c r="B873">
        <v>-5.3400000000000003E-2</v>
      </c>
    </row>
    <row r="874" spans="1:2">
      <c r="A874">
        <v>199909</v>
      </c>
      <c r="B874">
        <v>-6.3299999999999995E-2</v>
      </c>
    </row>
    <row r="875" spans="1:2">
      <c r="A875">
        <v>199910</v>
      </c>
      <c r="B875">
        <v>-3.9300000000000002E-2</v>
      </c>
    </row>
    <row r="876" spans="1:2">
      <c r="A876">
        <v>199911</v>
      </c>
      <c r="B876">
        <v>2.6800000000000001E-2</v>
      </c>
    </row>
    <row r="877" spans="1:2">
      <c r="A877">
        <v>199912</v>
      </c>
      <c r="B877">
        <v>-2.8000000000000004E-3</v>
      </c>
    </row>
    <row r="878" spans="1:2">
      <c r="A878">
        <v>200001</v>
      </c>
      <c r="B878">
        <v>-4.4800000000000006E-2</v>
      </c>
    </row>
    <row r="879" spans="1:2">
      <c r="A879">
        <v>200002</v>
      </c>
      <c r="B879">
        <v>-0.03</v>
      </c>
    </row>
    <row r="880" spans="1:2">
      <c r="A880">
        <v>200003</v>
      </c>
      <c r="B880">
        <v>8.199999999999999E-2</v>
      </c>
    </row>
    <row r="881" spans="1:2">
      <c r="A881">
        <v>200004</v>
      </c>
      <c r="B881">
        <v>-2.3199999999999998E-2</v>
      </c>
    </row>
    <row r="882" spans="1:2">
      <c r="A882">
        <v>200005</v>
      </c>
      <c r="B882">
        <v>1.1399999999999999E-2</v>
      </c>
    </row>
    <row r="883" spans="1:2">
      <c r="A883">
        <v>200006</v>
      </c>
      <c r="B883">
        <v>-5.1400000000000001E-2</v>
      </c>
    </row>
    <row r="884" spans="1:2">
      <c r="A884">
        <v>200007</v>
      </c>
      <c r="B884">
        <v>-4.7E-2</v>
      </c>
    </row>
    <row r="885" spans="1:2">
      <c r="A885">
        <v>200008</v>
      </c>
      <c r="B885">
        <v>6.9500000000000006E-2</v>
      </c>
    </row>
    <row r="886" spans="1:2">
      <c r="A886">
        <v>200009</v>
      </c>
      <c r="B886">
        <v>-0.12490000000000001</v>
      </c>
    </row>
    <row r="887" spans="1:2">
      <c r="A887">
        <v>200010</v>
      </c>
      <c r="B887">
        <v>-8.2500000000000004E-2</v>
      </c>
    </row>
    <row r="888" spans="1:2">
      <c r="A888">
        <v>200011</v>
      </c>
      <c r="B888">
        <v>-0.23440000000000003</v>
      </c>
    </row>
    <row r="889" spans="1:2">
      <c r="A889">
        <v>200012</v>
      </c>
      <c r="B889">
        <v>-0.10880000000000001</v>
      </c>
    </row>
    <row r="890" spans="1:2">
      <c r="A890">
        <v>200101</v>
      </c>
      <c r="B890">
        <v>0.35720000000000002</v>
      </c>
    </row>
    <row r="891" spans="1:2">
      <c r="A891">
        <v>200102</v>
      </c>
      <c r="B891">
        <v>-0.19839999999999999</v>
      </c>
    </row>
    <row r="892" spans="1:2">
      <c r="A892">
        <v>200103</v>
      </c>
      <c r="B892">
        <v>-0.17579999999999998</v>
      </c>
    </row>
    <row r="893" spans="1:2">
      <c r="A893">
        <v>200104</v>
      </c>
      <c r="B893">
        <v>0.1489</v>
      </c>
    </row>
    <row r="894" spans="1:2">
      <c r="A894">
        <v>200105</v>
      </c>
      <c r="B894">
        <v>-5.8700000000000002E-2</v>
      </c>
    </row>
    <row r="895" spans="1:2">
      <c r="A895">
        <v>200106</v>
      </c>
      <c r="B895">
        <v>0</v>
      </c>
    </row>
    <row r="896" spans="1:2">
      <c r="A896">
        <v>200107</v>
      </c>
      <c r="B896">
        <v>-6.6200000000000009E-2</v>
      </c>
    </row>
    <row r="897" spans="1:2">
      <c r="A897">
        <v>200108</v>
      </c>
      <c r="B897">
        <v>-0.1459</v>
      </c>
    </row>
    <row r="898" spans="1:2">
      <c r="A898">
        <v>200109</v>
      </c>
      <c r="B898">
        <v>-0.22890000000000002</v>
      </c>
    </row>
    <row r="899" spans="1:2">
      <c r="A899">
        <v>200110</v>
      </c>
      <c r="B899">
        <v>0.15740000000000001</v>
      </c>
    </row>
    <row r="900" spans="1:2">
      <c r="A900">
        <v>200111</v>
      </c>
      <c r="B900">
        <v>0.20480000000000001</v>
      </c>
    </row>
    <row r="901" spans="1:2">
      <c r="A901">
        <v>200112</v>
      </c>
      <c r="B901">
        <v>-7.0999999999999995E-3</v>
      </c>
    </row>
    <row r="902" spans="1:2">
      <c r="A902">
        <v>200201</v>
      </c>
      <c r="B902">
        <v>-1.5500000000000002E-2</v>
      </c>
    </row>
    <row r="903" spans="1:2">
      <c r="A903">
        <v>200202</v>
      </c>
      <c r="B903">
        <v>-0.17780000000000001</v>
      </c>
    </row>
    <row r="904" spans="1:2">
      <c r="A904">
        <v>200203</v>
      </c>
      <c r="B904">
        <v>7.4499999999999997E-2</v>
      </c>
    </row>
    <row r="905" spans="1:2">
      <c r="A905">
        <v>200204</v>
      </c>
      <c r="B905">
        <v>-0.14030000000000001</v>
      </c>
    </row>
    <row r="906" spans="1:2">
      <c r="A906">
        <v>200205</v>
      </c>
      <c r="B906">
        <v>-7.2700000000000001E-2</v>
      </c>
    </row>
    <row r="907" spans="1:2">
      <c r="A907">
        <v>200206</v>
      </c>
      <c r="B907">
        <v>-0.13720000000000002</v>
      </c>
    </row>
    <row r="908" spans="1:2">
      <c r="A908">
        <v>200207</v>
      </c>
      <c r="B908">
        <v>-6.7500000000000004E-2</v>
      </c>
    </row>
    <row r="909" spans="1:2">
      <c r="A909">
        <v>200208</v>
      </c>
      <c r="B909">
        <v>3.6900000000000002E-2</v>
      </c>
    </row>
    <row r="910" spans="1:2">
      <c r="A910">
        <v>200209</v>
      </c>
      <c r="B910">
        <v>-0.1638</v>
      </c>
    </row>
    <row r="911" spans="1:2">
      <c r="A911">
        <v>200210</v>
      </c>
      <c r="B911">
        <v>0.19989999999999999</v>
      </c>
    </row>
    <row r="912" spans="1:2">
      <c r="A912">
        <v>200211</v>
      </c>
      <c r="B912">
        <v>0.22649999999999998</v>
      </c>
    </row>
    <row r="913" spans="1:2">
      <c r="A913">
        <v>200212</v>
      </c>
      <c r="B913">
        <v>-0.1472</v>
      </c>
    </row>
    <row r="914" spans="1:2">
      <c r="A914">
        <v>200301</v>
      </c>
      <c r="B914">
        <v>-3.6600000000000001E-2</v>
      </c>
    </row>
    <row r="915" spans="1:2">
      <c r="A915">
        <v>200302</v>
      </c>
      <c r="B915">
        <v>1.4499999999999999E-2</v>
      </c>
    </row>
    <row r="916" spans="1:2">
      <c r="A916">
        <v>200303</v>
      </c>
      <c r="B916">
        <v>3.4999999999999996E-3</v>
      </c>
    </row>
    <row r="917" spans="1:2">
      <c r="A917">
        <v>200304</v>
      </c>
      <c r="B917">
        <v>0.19760000000000003</v>
      </c>
    </row>
    <row r="918" spans="1:2">
      <c r="A918">
        <v>200305</v>
      </c>
      <c r="B918">
        <v>0.21910000000000002</v>
      </c>
    </row>
    <row r="919" spans="1:2">
      <c r="A919">
        <v>200306</v>
      </c>
      <c r="B919">
        <v>2.1700000000000001E-2</v>
      </c>
    </row>
    <row r="920" spans="1:2">
      <c r="A920">
        <v>200307</v>
      </c>
      <c r="B920">
        <v>5.2600000000000001E-2</v>
      </c>
    </row>
    <row r="921" spans="1:2">
      <c r="A921">
        <v>200308</v>
      </c>
      <c r="B921">
        <v>3.7600000000000001E-2</v>
      </c>
    </row>
    <row r="922" spans="1:2">
      <c r="A922">
        <v>200309</v>
      </c>
      <c r="B922">
        <v>-5.1000000000000004E-3</v>
      </c>
    </row>
    <row r="923" spans="1:2">
      <c r="A923">
        <v>200310</v>
      </c>
      <c r="B923">
        <v>3.8399999999999997E-2</v>
      </c>
    </row>
    <row r="924" spans="1:2">
      <c r="A924">
        <v>200311</v>
      </c>
      <c r="B924">
        <v>5.8999999999999999E-3</v>
      </c>
    </row>
    <row r="925" spans="1:2">
      <c r="A925">
        <v>200312</v>
      </c>
      <c r="B925">
        <v>8.6500000000000007E-2</v>
      </c>
    </row>
    <row r="926" spans="1:2">
      <c r="A926">
        <v>200401</v>
      </c>
      <c r="B926">
        <v>2.4100000000000003E-2</v>
      </c>
    </row>
    <row r="927" spans="1:2">
      <c r="A927">
        <v>200402</v>
      </c>
      <c r="B927">
        <v>1.9800000000000002E-2</v>
      </c>
    </row>
    <row r="928" spans="1:2">
      <c r="A928">
        <v>200403</v>
      </c>
      <c r="B928">
        <v>-1.84E-2</v>
      </c>
    </row>
    <row r="929" spans="1:2">
      <c r="A929">
        <v>200404</v>
      </c>
      <c r="B929">
        <v>2.5000000000000001E-2</v>
      </c>
    </row>
    <row r="930" spans="1:2">
      <c r="A930">
        <v>200405</v>
      </c>
      <c r="B930">
        <v>-1.8E-3</v>
      </c>
    </row>
    <row r="931" spans="1:2">
      <c r="A931">
        <v>200406</v>
      </c>
      <c r="B931">
        <v>1.0900000000000002E-2</v>
      </c>
    </row>
    <row r="932" spans="1:2">
      <c r="A932">
        <v>200407</v>
      </c>
      <c r="B932">
        <v>-4.4200000000000003E-2</v>
      </c>
    </row>
    <row r="933" spans="1:2">
      <c r="A933">
        <v>200408</v>
      </c>
      <c r="B933">
        <v>-5.0000000000000001E-4</v>
      </c>
    </row>
    <row r="934" spans="1:2">
      <c r="A934">
        <v>200409</v>
      </c>
      <c r="B934">
        <v>2.2100000000000002E-2</v>
      </c>
    </row>
    <row r="935" spans="1:2">
      <c r="A935">
        <v>200410</v>
      </c>
      <c r="B935">
        <v>5.5899999999999998E-2</v>
      </c>
    </row>
    <row r="936" spans="1:2">
      <c r="A936">
        <v>200411</v>
      </c>
      <c r="B936">
        <v>4.3799999999999999E-2</v>
      </c>
    </row>
    <row r="937" spans="1:2">
      <c r="A937">
        <v>200412</v>
      </c>
      <c r="B937">
        <v>7.3700000000000002E-2</v>
      </c>
    </row>
    <row r="938" spans="1:2">
      <c r="A938">
        <v>200501</v>
      </c>
      <c r="B938">
        <v>-6.8099999999999994E-2</v>
      </c>
    </row>
    <row r="939" spans="1:2">
      <c r="A939">
        <v>200502</v>
      </c>
      <c r="B939">
        <v>4.1299999999999996E-2</v>
      </c>
    </row>
    <row r="940" spans="1:2">
      <c r="A940">
        <v>200503</v>
      </c>
      <c r="B940">
        <v>-2.8999999999999998E-2</v>
      </c>
    </row>
    <row r="941" spans="1:2">
      <c r="A941">
        <v>200504</v>
      </c>
      <c r="B941">
        <v>-3.2599999999999997E-2</v>
      </c>
    </row>
    <row r="942" spans="1:2">
      <c r="A942">
        <v>200505</v>
      </c>
      <c r="B942">
        <v>5.8700000000000002E-2</v>
      </c>
    </row>
    <row r="943" spans="1:2">
      <c r="A943">
        <v>200506</v>
      </c>
      <c r="B943">
        <v>2.6000000000000003E-3</v>
      </c>
    </row>
    <row r="944" spans="1:2">
      <c r="A944">
        <v>200507</v>
      </c>
      <c r="B944">
        <v>7.0999999999999994E-2</v>
      </c>
    </row>
    <row r="945" spans="1:2">
      <c r="A945">
        <v>200508</v>
      </c>
      <c r="B945">
        <v>-3.0600000000000002E-2</v>
      </c>
    </row>
    <row r="946" spans="1:2">
      <c r="A946">
        <v>200509</v>
      </c>
      <c r="B946">
        <v>-2.2000000000000002E-2</v>
      </c>
    </row>
    <row r="947" spans="1:2">
      <c r="A947">
        <v>200510</v>
      </c>
      <c r="B947">
        <v>-2.2499999999999999E-2</v>
      </c>
    </row>
    <row r="948" spans="1:2">
      <c r="A948">
        <v>200511</v>
      </c>
      <c r="B948">
        <v>3.5000000000000003E-2</v>
      </c>
    </row>
    <row r="949" spans="1:2">
      <c r="A949">
        <v>200512</v>
      </c>
      <c r="B949">
        <v>-2.8000000000000004E-3</v>
      </c>
    </row>
    <row r="950" spans="1:2">
      <c r="A950">
        <v>200601</v>
      </c>
      <c r="B950">
        <v>6.6900000000000001E-2</v>
      </c>
    </row>
    <row r="951" spans="1:2">
      <c r="A951">
        <v>200602</v>
      </c>
      <c r="B951">
        <v>-1.0800000000000001E-2</v>
      </c>
    </row>
    <row r="952" spans="1:2">
      <c r="A952">
        <v>200603</v>
      </c>
      <c r="B952">
        <v>1.8600000000000002E-2</v>
      </c>
    </row>
    <row r="953" spans="1:2">
      <c r="A953">
        <v>200604</v>
      </c>
      <c r="B953">
        <v>8.6999999999999994E-3</v>
      </c>
    </row>
    <row r="954" spans="1:2">
      <c r="A954">
        <v>200605</v>
      </c>
      <c r="B954">
        <v>-1.66E-2</v>
      </c>
    </row>
    <row r="955" spans="1:2">
      <c r="A955">
        <v>200606</v>
      </c>
      <c r="B955">
        <v>-2.8999999999999998E-3</v>
      </c>
    </row>
    <row r="956" spans="1:2">
      <c r="A956">
        <v>200607</v>
      </c>
      <c r="B956">
        <v>-5.04E-2</v>
      </c>
    </row>
    <row r="957" spans="1:2">
      <c r="A957">
        <v>200608</v>
      </c>
      <c r="B957">
        <v>6.6799999999999998E-2</v>
      </c>
    </row>
    <row r="958" spans="1:2">
      <c r="A958">
        <v>200609</v>
      </c>
      <c r="B958">
        <v>2.2499999999999999E-2</v>
      </c>
    </row>
    <row r="959" spans="1:2">
      <c r="A959">
        <v>200610</v>
      </c>
      <c r="B959">
        <v>5.7300000000000004E-2</v>
      </c>
    </row>
    <row r="960" spans="1:2">
      <c r="A960">
        <v>200611</v>
      </c>
      <c r="B960">
        <v>5.4100000000000002E-2</v>
      </c>
    </row>
    <row r="961" spans="1:2">
      <c r="A961">
        <v>200612</v>
      </c>
      <c r="B961">
        <v>-8.1000000000000013E-3</v>
      </c>
    </row>
    <row r="962" spans="1:2">
      <c r="A962">
        <v>200701</v>
      </c>
      <c r="B962">
        <v>2.7300000000000001E-2</v>
      </c>
    </row>
    <row r="963" spans="1:2">
      <c r="A963">
        <v>200702</v>
      </c>
      <c r="B963">
        <v>-2.8000000000000004E-3</v>
      </c>
    </row>
    <row r="964" spans="1:2">
      <c r="A964">
        <v>200703</v>
      </c>
      <c r="B964">
        <v>-1.23E-2</v>
      </c>
    </row>
    <row r="965" spans="1:2">
      <c r="A965">
        <v>200704</v>
      </c>
      <c r="B965">
        <v>3.8700000000000005E-2</v>
      </c>
    </row>
    <row r="966" spans="1:2">
      <c r="A966">
        <v>200705</v>
      </c>
      <c r="B966">
        <v>3.2400000000000005E-2</v>
      </c>
    </row>
    <row r="967" spans="1:2">
      <c r="A967">
        <v>200706</v>
      </c>
      <c r="B967">
        <v>-3.0299999999999997E-2</v>
      </c>
    </row>
    <row r="968" spans="1:2">
      <c r="A968">
        <v>200707</v>
      </c>
      <c r="B968">
        <v>-4.4900000000000002E-2</v>
      </c>
    </row>
    <row r="969" spans="1:2">
      <c r="A969">
        <v>200708</v>
      </c>
      <c r="B969">
        <v>-1.1000000000000001E-2</v>
      </c>
    </row>
    <row r="970" spans="1:2">
      <c r="A970">
        <v>200709</v>
      </c>
      <c r="B970">
        <v>1.5800000000000002E-2</v>
      </c>
    </row>
    <row r="971" spans="1:2">
      <c r="A971">
        <v>200710</v>
      </c>
      <c r="B971">
        <v>-1.01E-2</v>
      </c>
    </row>
    <row r="972" spans="1:2">
      <c r="A972">
        <v>200711</v>
      </c>
      <c r="B972">
        <v>-0.13439999999999999</v>
      </c>
    </row>
    <row r="973" spans="1:2">
      <c r="A973">
        <v>200712</v>
      </c>
      <c r="B973">
        <v>-6.9000000000000006E-2</v>
      </c>
    </row>
    <row r="974" spans="1:2">
      <c r="A974">
        <v>200801</v>
      </c>
      <c r="B974">
        <v>3.9300000000000002E-2</v>
      </c>
    </row>
    <row r="975" spans="1:2">
      <c r="A975">
        <v>200802</v>
      </c>
      <c r="B975">
        <v>-0.1255</v>
      </c>
    </row>
    <row r="976" spans="1:2">
      <c r="A976">
        <v>200803</v>
      </c>
      <c r="B976">
        <v>-0.1024</v>
      </c>
    </row>
    <row r="977" spans="1:2">
      <c r="A977">
        <v>200804</v>
      </c>
      <c r="B977">
        <v>8.2899999999999988E-2</v>
      </c>
    </row>
    <row r="978" spans="1:2">
      <c r="A978">
        <v>200805</v>
      </c>
      <c r="B978">
        <v>-2.52E-2</v>
      </c>
    </row>
    <row r="979" spans="1:2">
      <c r="A979">
        <v>200806</v>
      </c>
      <c r="B979">
        <v>-0.19469999999999998</v>
      </c>
    </row>
    <row r="980" spans="1:2">
      <c r="A980">
        <v>200807</v>
      </c>
      <c r="B980">
        <v>4.1999999999999997E-3</v>
      </c>
    </row>
    <row r="981" spans="1:2">
      <c r="A981">
        <v>200808</v>
      </c>
      <c r="B981">
        <v>-5.0199999999999995E-2</v>
      </c>
    </row>
    <row r="982" spans="1:2">
      <c r="A982">
        <v>200809</v>
      </c>
      <c r="B982">
        <v>-0.23469999999999999</v>
      </c>
    </row>
    <row r="983" spans="1:2">
      <c r="A983">
        <v>200810</v>
      </c>
      <c r="B983">
        <v>-0.2601</v>
      </c>
    </row>
    <row r="984" spans="1:2">
      <c r="A984">
        <v>200811</v>
      </c>
      <c r="B984">
        <v>-0.20199999999999999</v>
      </c>
    </row>
    <row r="985" spans="1:2">
      <c r="A985">
        <v>200812</v>
      </c>
      <c r="B985">
        <v>3.9800000000000002E-2</v>
      </c>
    </row>
    <row r="986" spans="1:2">
      <c r="A986">
        <v>200901</v>
      </c>
      <c r="B986">
        <v>-8.2899999999999988E-2</v>
      </c>
    </row>
    <row r="987" spans="1:2">
      <c r="A987">
        <v>200902</v>
      </c>
      <c r="B987">
        <v>-0.26129999999999998</v>
      </c>
    </row>
    <row r="988" spans="1:2">
      <c r="A988">
        <v>200903</v>
      </c>
      <c r="B988">
        <v>0.44490000000000002</v>
      </c>
    </row>
    <row r="989" spans="1:2">
      <c r="A989">
        <v>200904</v>
      </c>
      <c r="B989">
        <v>0.44890000000000002</v>
      </c>
    </row>
    <row r="990" spans="1:2">
      <c r="A990">
        <v>200905</v>
      </c>
      <c r="B990">
        <v>0.2165</v>
      </c>
    </row>
    <row r="991" spans="1:2">
      <c r="A991">
        <v>200906</v>
      </c>
      <c r="B991">
        <v>-6.3200000000000006E-2</v>
      </c>
    </row>
    <row r="992" spans="1:2">
      <c r="A992">
        <v>200907</v>
      </c>
      <c r="B992">
        <v>0.1232</v>
      </c>
    </row>
    <row r="993" spans="1:2">
      <c r="A993">
        <v>200908</v>
      </c>
      <c r="B993">
        <v>0.25980000000000003</v>
      </c>
    </row>
    <row r="994" spans="1:2">
      <c r="A994">
        <v>200909</v>
      </c>
      <c r="B994">
        <v>8.8400000000000006E-2</v>
      </c>
    </row>
    <row r="995" spans="1:2">
      <c r="A995">
        <v>200910</v>
      </c>
      <c r="B995">
        <v>-0.13300000000000001</v>
      </c>
    </row>
    <row r="996" spans="1:2">
      <c r="A996">
        <v>200911</v>
      </c>
      <c r="B996">
        <v>5.0099999999999999E-2</v>
      </c>
    </row>
    <row r="997" spans="1:2">
      <c r="A997">
        <v>200912</v>
      </c>
      <c r="B997">
        <v>1.3999999999999999E-2</v>
      </c>
    </row>
    <row r="998" spans="1:2">
      <c r="A998">
        <v>201001</v>
      </c>
      <c r="B998">
        <v>0.02</v>
      </c>
    </row>
    <row r="999" spans="1:2">
      <c r="A999">
        <v>201002</v>
      </c>
      <c r="B999">
        <v>1.4199999999999999E-2</v>
      </c>
    </row>
    <row r="1000" spans="1:2">
      <c r="A1000">
        <v>201003</v>
      </c>
      <c r="B1000">
        <v>4.8800000000000003E-2</v>
      </c>
    </row>
    <row r="1001" spans="1:2">
      <c r="A1001">
        <v>201004</v>
      </c>
      <c r="B1001">
        <v>6.8000000000000005E-3</v>
      </c>
    </row>
    <row r="1002" spans="1:2">
      <c r="A1002">
        <v>201005</v>
      </c>
      <c r="B1002">
        <v>-8.6199999999999999E-2</v>
      </c>
    </row>
    <row r="1003" spans="1:2">
      <c r="A1003">
        <v>201006</v>
      </c>
      <c r="B1003">
        <v>-6.4699999999999994E-2</v>
      </c>
    </row>
    <row r="1004" spans="1:2">
      <c r="A1004">
        <v>201007</v>
      </c>
      <c r="B1004">
        <v>6.9500000000000006E-2</v>
      </c>
    </row>
    <row r="1005" spans="1:2">
      <c r="A1005">
        <v>201008</v>
      </c>
      <c r="B1005">
        <v>-4.2800000000000005E-2</v>
      </c>
    </row>
    <row r="1006" spans="1:2">
      <c r="A1006">
        <v>201009</v>
      </c>
      <c r="B1006">
        <v>0.10960000000000002</v>
      </c>
    </row>
    <row r="1007" spans="1:2">
      <c r="A1007">
        <v>201010</v>
      </c>
      <c r="B1007">
        <v>3.8900000000000004E-2</v>
      </c>
    </row>
    <row r="1008" spans="1:2">
      <c r="A1008">
        <v>201011</v>
      </c>
      <c r="B1008">
        <v>-9.9000000000000008E-3</v>
      </c>
    </row>
    <row r="1009" spans="1:2">
      <c r="A1009">
        <v>201012</v>
      </c>
      <c r="B1009">
        <v>0.13949999999999999</v>
      </c>
    </row>
    <row r="1010" spans="1:2">
      <c r="A1010">
        <v>201101</v>
      </c>
      <c r="B1010">
        <v>4.1100000000000005E-2</v>
      </c>
    </row>
    <row r="1011" spans="1:2">
      <c r="A1011">
        <v>201102</v>
      </c>
      <c r="B1011">
        <v>1.0700000000000001E-2</v>
      </c>
    </row>
    <row r="1012" spans="1:2">
      <c r="A1012">
        <v>201103</v>
      </c>
      <c r="B1012">
        <v>-1.67E-2</v>
      </c>
    </row>
    <row r="1013" spans="1:2">
      <c r="A1013">
        <v>201104</v>
      </c>
      <c r="B1013">
        <v>-1.4000000000000002E-3</v>
      </c>
    </row>
    <row r="1014" spans="1:2">
      <c r="A1014">
        <v>201105</v>
      </c>
      <c r="B1014">
        <v>-3.5700000000000003E-2</v>
      </c>
    </row>
    <row r="1015" spans="1:2">
      <c r="A1015">
        <v>201106</v>
      </c>
      <c r="B1015">
        <v>-5.3200000000000004E-2</v>
      </c>
    </row>
    <row r="1016" spans="1:2">
      <c r="A1016">
        <v>201107</v>
      </c>
      <c r="B1016">
        <v>-4.1500000000000002E-2</v>
      </c>
    </row>
    <row r="1017" spans="1:2">
      <c r="A1017">
        <v>201108</v>
      </c>
      <c r="B1017">
        <v>-0.1389</v>
      </c>
    </row>
    <row r="1018" spans="1:2">
      <c r="A1018">
        <v>201109</v>
      </c>
      <c r="B1018">
        <v>-0.1183</v>
      </c>
    </row>
    <row r="1019" spans="1:2">
      <c r="A1019">
        <v>201110</v>
      </c>
      <c r="B1019">
        <v>0.15820000000000001</v>
      </c>
    </row>
    <row r="1020" spans="1:2">
      <c r="A1020">
        <v>201111</v>
      </c>
      <c r="B1020">
        <v>-7.6399999999999996E-2</v>
      </c>
    </row>
    <row r="1021" spans="1:2">
      <c r="A1021">
        <v>201112</v>
      </c>
      <c r="B1021">
        <v>-3.1200000000000002E-2</v>
      </c>
    </row>
    <row r="1022" spans="1:2">
      <c r="A1022">
        <v>201201</v>
      </c>
      <c r="B1022">
        <v>0.18429999999999999</v>
      </c>
    </row>
    <row r="1023" spans="1:2">
      <c r="A1023">
        <v>201202</v>
      </c>
      <c r="B1023">
        <v>6.6200000000000009E-2</v>
      </c>
    </row>
    <row r="1024" spans="1:2">
      <c r="A1024">
        <v>201203</v>
      </c>
      <c r="B1024">
        <v>4.0999999999999995E-2</v>
      </c>
    </row>
    <row r="1025" spans="1:2">
      <c r="A1025">
        <v>201204</v>
      </c>
      <c r="B1025">
        <v>-6.3100000000000003E-2</v>
      </c>
    </row>
    <row r="1026" spans="1:2">
      <c r="A1026">
        <v>201205</v>
      </c>
      <c r="B1026">
        <v>-0.13100000000000001</v>
      </c>
    </row>
    <row r="1027" spans="1:2">
      <c r="A1027">
        <v>201206</v>
      </c>
      <c r="B1027">
        <v>3.4799999999999998E-2</v>
      </c>
    </row>
    <row r="1028" spans="1:2">
      <c r="A1028">
        <v>201207</v>
      </c>
      <c r="B1028">
        <v>-2.01E-2</v>
      </c>
    </row>
    <row r="1029" spans="1:2">
      <c r="A1029">
        <v>201208</v>
      </c>
      <c r="B1029">
        <v>2.2599999999999999E-2</v>
      </c>
    </row>
    <row r="1030" spans="1:2">
      <c r="A1030">
        <v>201209</v>
      </c>
      <c r="B1030">
        <v>3.5299999999999998E-2</v>
      </c>
    </row>
    <row r="1031" spans="1:2">
      <c r="A1031">
        <v>201210</v>
      </c>
      <c r="B1031">
        <v>-4.0700000000000007E-2</v>
      </c>
    </row>
    <row r="1032" spans="1:2">
      <c r="A1032">
        <v>201211</v>
      </c>
      <c r="B1032">
        <v>-1.6500000000000001E-2</v>
      </c>
    </row>
    <row r="1033" spans="1:2">
      <c r="A1033">
        <v>201212</v>
      </c>
      <c r="B1033">
        <v>6.2300000000000008E-2</v>
      </c>
    </row>
    <row r="1034" spans="1:2">
      <c r="A1034">
        <v>201301</v>
      </c>
      <c r="B1034">
        <v>9.2699999999999991E-2</v>
      </c>
    </row>
    <row r="1035" spans="1:2">
      <c r="A1035">
        <v>201302</v>
      </c>
      <c r="B1035">
        <v>-7.3000000000000001E-3</v>
      </c>
    </row>
    <row r="1036" spans="1:2">
      <c r="A1036">
        <v>201303</v>
      </c>
      <c r="B1036">
        <v>5.7099999999999998E-2</v>
      </c>
    </row>
    <row r="1037" spans="1:2">
      <c r="A1037">
        <v>201304</v>
      </c>
      <c r="B1037">
        <v>8.199999999999999E-3</v>
      </c>
    </row>
    <row r="1038" spans="1:2">
      <c r="A1038">
        <v>201305</v>
      </c>
      <c r="B1038">
        <v>4.1600000000000005E-2</v>
      </c>
    </row>
    <row r="1039" spans="1:2">
      <c r="A1039">
        <v>201306</v>
      </c>
      <c r="B1039">
        <v>-6.4000000000000001E-2</v>
      </c>
    </row>
    <row r="1040" spans="1:2">
      <c r="A1040">
        <v>201307</v>
      </c>
      <c r="B1040">
        <v>0.1198</v>
      </c>
    </row>
    <row r="1041" spans="1:2">
      <c r="A1041">
        <v>201308</v>
      </c>
      <c r="B1041">
        <v>2.8799999999999999E-2</v>
      </c>
    </row>
    <row r="1042" spans="1:2">
      <c r="A1042">
        <v>201309</v>
      </c>
      <c r="B1042">
        <v>1.0900000000000002E-2</v>
      </c>
    </row>
    <row r="1043" spans="1:2">
      <c r="A1043">
        <v>201310</v>
      </c>
      <c r="B1043">
        <v>3.6499999999999998E-2</v>
      </c>
    </row>
    <row r="1044" spans="1:2">
      <c r="A1044">
        <v>201311</v>
      </c>
      <c r="B1044">
        <v>2.9900000000000003E-2</v>
      </c>
    </row>
    <row r="1045" spans="1:2">
      <c r="A1045">
        <v>201312</v>
      </c>
      <c r="B1045">
        <v>2.8900000000000002E-2</v>
      </c>
    </row>
    <row r="1046" spans="1:2">
      <c r="A1046">
        <v>201401</v>
      </c>
      <c r="B1046">
        <v>-3.9600000000000003E-2</v>
      </c>
    </row>
    <row r="1047" spans="1:2">
      <c r="A1047">
        <v>201402</v>
      </c>
      <c r="B1047">
        <v>5.1700000000000003E-2</v>
      </c>
    </row>
    <row r="1048" spans="1:2">
      <c r="A1048">
        <v>201403</v>
      </c>
      <c r="B1048">
        <v>1.5800000000000002E-2</v>
      </c>
    </row>
    <row r="1049" spans="1:2">
      <c r="A1049">
        <v>201404</v>
      </c>
      <c r="B1049">
        <v>9.0000000000000011E-3</v>
      </c>
    </row>
    <row r="1050" spans="1:2">
      <c r="A1050">
        <v>201405</v>
      </c>
      <c r="B1050">
        <v>1.8000000000000002E-2</v>
      </c>
    </row>
    <row r="1051" spans="1:2">
      <c r="A1051">
        <v>201406</v>
      </c>
      <c r="B1051">
        <v>6.0499999999999998E-2</v>
      </c>
    </row>
    <row r="1052" spans="1:2">
      <c r="A1052">
        <v>201407</v>
      </c>
      <c r="B1052">
        <v>-2.92E-2</v>
      </c>
    </row>
    <row r="1053" spans="1:2">
      <c r="A1053">
        <v>201408</v>
      </c>
      <c r="B1053">
        <v>5.1500000000000004E-2</v>
      </c>
    </row>
    <row r="1054" spans="1:2">
      <c r="A1054">
        <v>201409</v>
      </c>
      <c r="B1054">
        <v>-7.3400000000000007E-2</v>
      </c>
    </row>
    <row r="1055" spans="1:2">
      <c r="A1055">
        <v>201410</v>
      </c>
      <c r="B1055">
        <v>2.23E-2</v>
      </c>
    </row>
    <row r="1056" spans="1:2">
      <c r="A1056">
        <v>201411</v>
      </c>
      <c r="B1056">
        <v>2.5000000000000001E-3</v>
      </c>
    </row>
    <row r="1057" spans="1:2">
      <c r="A1057">
        <v>201412</v>
      </c>
      <c r="B1057">
        <v>-1.3600000000000001E-2</v>
      </c>
    </row>
    <row r="1058" spans="1:2">
      <c r="A1058">
        <v>201501</v>
      </c>
      <c r="B1058">
        <v>-7.7699999999999991E-2</v>
      </c>
    </row>
    <row r="1059" spans="1:2">
      <c r="A1059">
        <v>201502</v>
      </c>
      <c r="B1059">
        <v>0.1134</v>
      </c>
    </row>
    <row r="1060" spans="1:2">
      <c r="A1060">
        <v>201503</v>
      </c>
      <c r="B1060">
        <v>-4.7500000000000001E-2</v>
      </c>
    </row>
    <row r="1061" spans="1:2">
      <c r="A1061">
        <v>201504</v>
      </c>
      <c r="B1061">
        <v>0.10740000000000001</v>
      </c>
    </row>
    <row r="1062" spans="1:2">
      <c r="A1062">
        <v>201505</v>
      </c>
      <c r="B1062">
        <v>-8.0299999999999996E-2</v>
      </c>
    </row>
    <row r="1063" spans="1:2">
      <c r="A1063">
        <v>201506</v>
      </c>
      <c r="B1063">
        <v>-5.5700000000000006E-2</v>
      </c>
    </row>
    <row r="1064" spans="1:2">
      <c r="A1064">
        <v>201507</v>
      </c>
      <c r="B1064">
        <v>-0.182</v>
      </c>
    </row>
    <row r="1065" spans="1:2">
      <c r="A1065">
        <v>201508</v>
      </c>
      <c r="B1065">
        <v>-2.81E-2</v>
      </c>
    </row>
    <row r="1066" spans="1:2">
      <c r="A1066">
        <v>201509</v>
      </c>
      <c r="B1066">
        <v>-0.1595</v>
      </c>
    </row>
    <row r="1067" spans="1:2">
      <c r="A1067">
        <v>201510</v>
      </c>
      <c r="B1067">
        <v>0.1229</v>
      </c>
    </row>
    <row r="1068" spans="1:2">
      <c r="A1068">
        <v>201511</v>
      </c>
      <c r="B1068">
        <v>-4.1700000000000001E-2</v>
      </c>
    </row>
    <row r="1069" spans="1:2">
      <c r="A1069">
        <v>201512</v>
      </c>
      <c r="B1069">
        <v>-4.3200000000000002E-2</v>
      </c>
    </row>
    <row r="1070" spans="1:2">
      <c r="A1070">
        <v>201601</v>
      </c>
      <c r="B1070">
        <v>-0.12990000000000002</v>
      </c>
    </row>
    <row r="1071" spans="1:2">
      <c r="A1071">
        <v>201602</v>
      </c>
      <c r="B1071">
        <v>3.49E-2</v>
      </c>
    </row>
    <row r="1072" spans="1:2">
      <c r="A1072">
        <v>201603</v>
      </c>
      <c r="B1072">
        <v>0.10980000000000001</v>
      </c>
    </row>
    <row r="1073" spans="1:2">
      <c r="A1073">
        <v>201604</v>
      </c>
      <c r="B1073">
        <v>0.18110000000000001</v>
      </c>
    </row>
    <row r="1074" spans="1:2">
      <c r="A1074">
        <v>201605</v>
      </c>
      <c r="B1074">
        <v>-1.6299999999999999E-2</v>
      </c>
    </row>
    <row r="1075" spans="1:2">
      <c r="A1075">
        <v>201606</v>
      </c>
      <c r="B1075">
        <v>-1.7000000000000001E-3</v>
      </c>
    </row>
    <row r="1076" spans="1:2">
      <c r="A1076">
        <v>201607</v>
      </c>
      <c r="B1076">
        <v>7.9400000000000012E-2</v>
      </c>
    </row>
    <row r="1077" spans="1:2">
      <c r="A1077">
        <v>201608</v>
      </c>
      <c r="B1077">
        <v>5.04E-2</v>
      </c>
    </row>
    <row r="1078" spans="1:2">
      <c r="A1078">
        <v>201609</v>
      </c>
      <c r="B1078">
        <v>4.8200000000000007E-2</v>
      </c>
    </row>
    <row r="1079" spans="1:2">
      <c r="A1079">
        <v>201610</v>
      </c>
      <c r="B1079">
        <v>-8.7899999999999992E-2</v>
      </c>
    </row>
    <row r="1080" spans="1:2">
      <c r="A1080">
        <v>201611</v>
      </c>
      <c r="B1080">
        <v>8.6999999999999994E-2</v>
      </c>
    </row>
    <row r="1081" spans="1:2">
      <c r="A1081">
        <v>201612</v>
      </c>
      <c r="B1081">
        <v>-5.9999999999999995E-4</v>
      </c>
    </row>
    <row r="1082" spans="1:2">
      <c r="A1082">
        <v>201701</v>
      </c>
      <c r="B1082">
        <v>3.6299999999999999E-2</v>
      </c>
    </row>
    <row r="1083" spans="1:2">
      <c r="A1083">
        <v>201702</v>
      </c>
      <c r="B1083">
        <v>2.6700000000000002E-2</v>
      </c>
    </row>
    <row r="1084" spans="1:2">
      <c r="A1084">
        <v>201703</v>
      </c>
      <c r="B1084">
        <v>-1.83E-2</v>
      </c>
    </row>
    <row r="1085" spans="1:2">
      <c r="A1085">
        <v>201704</v>
      </c>
      <c r="B1085">
        <v>1.4999999999999999E-2</v>
      </c>
    </row>
    <row r="1086" spans="1:2">
      <c r="A1086">
        <v>201705</v>
      </c>
      <c r="B1086">
        <v>-4.4500000000000005E-2</v>
      </c>
    </row>
    <row r="1087" spans="1:2">
      <c r="A1087">
        <v>201706</v>
      </c>
      <c r="B1087">
        <v>4.7800000000000002E-2</v>
      </c>
    </row>
    <row r="1088" spans="1:2">
      <c r="A1088">
        <v>201707</v>
      </c>
      <c r="B1088">
        <v>9.1999999999999998E-3</v>
      </c>
    </row>
    <row r="1089" spans="1:2">
      <c r="A1089">
        <v>201708</v>
      </c>
      <c r="B1089">
        <v>-3.2199999999999999E-2</v>
      </c>
    </row>
    <row r="1090" spans="1:2">
      <c r="A1090">
        <v>201709</v>
      </c>
      <c r="B1090">
        <v>7.0099999999999996E-2</v>
      </c>
    </row>
    <row r="1091" spans="1:2">
      <c r="A1091">
        <v>201710</v>
      </c>
      <c r="B1091">
        <v>-3.1699999999999999E-2</v>
      </c>
    </row>
    <row r="1092" spans="1:2">
      <c r="A1092">
        <v>201711</v>
      </c>
      <c r="B1092">
        <v>0.1048</v>
      </c>
    </row>
    <row r="1093" spans="1:2">
      <c r="A1093">
        <v>201712</v>
      </c>
      <c r="B1093">
        <v>1.0500000000000001E-2</v>
      </c>
    </row>
    <row r="1094" spans="1:2">
      <c r="A1094">
        <v>201801</v>
      </c>
      <c r="B1094">
        <v>-1.11E-2</v>
      </c>
    </row>
    <row r="1095" spans="1:2">
      <c r="A1095">
        <v>201802</v>
      </c>
      <c r="B1095">
        <v>-7.2900000000000006E-2</v>
      </c>
    </row>
    <row r="1096" spans="1:2">
      <c r="A1096">
        <v>201803</v>
      </c>
      <c r="B1096">
        <v>-8.1000000000000013E-3</v>
      </c>
    </row>
    <row r="1097" spans="1:2">
      <c r="A1097">
        <v>201804</v>
      </c>
      <c r="B1097">
        <v>2.9399999999999999E-2</v>
      </c>
    </row>
    <row r="1098" spans="1:2">
      <c r="A1098">
        <v>201805</v>
      </c>
      <c r="B1098">
        <v>9.4999999999999998E-3</v>
      </c>
    </row>
    <row r="1099" spans="1:2">
      <c r="A1099">
        <v>201806</v>
      </c>
      <c r="B1099">
        <v>4.0899999999999999E-2</v>
      </c>
    </row>
    <row r="1100" spans="1:2">
      <c r="A1100">
        <v>201807</v>
      </c>
      <c r="B1100">
        <v>2.2599999999999999E-2</v>
      </c>
    </row>
    <row r="1101" spans="1:2">
      <c r="A1101">
        <v>201808</v>
      </c>
      <c r="B1101">
        <v>7.000000000000001E-4</v>
      </c>
    </row>
    <row r="1102" spans="1:2">
      <c r="A1102">
        <v>201809</v>
      </c>
      <c r="B1102">
        <v>-1.0500000000000001E-2</v>
      </c>
    </row>
    <row r="1103" spans="1:2">
      <c r="A1103">
        <v>201810</v>
      </c>
      <c r="B1103">
        <v>-8.900000000000001E-2</v>
      </c>
    </row>
    <row r="1104" spans="1:2">
      <c r="A1104">
        <v>201811</v>
      </c>
      <c r="B1104">
        <v>-8.0000000000000002E-3</v>
      </c>
    </row>
    <row r="1105" spans="1:2">
      <c r="A1105">
        <v>201812</v>
      </c>
      <c r="B1105">
        <v>-0.1191</v>
      </c>
    </row>
    <row r="1106" spans="1:2">
      <c r="A1106">
        <v>201901</v>
      </c>
      <c r="B1106">
        <v>0.1973</v>
      </c>
    </row>
    <row r="1107" spans="1:2">
      <c r="A1107">
        <v>201902</v>
      </c>
      <c r="B1107">
        <v>7.7499999999999999E-2</v>
      </c>
    </row>
    <row r="1108" spans="1:2">
      <c r="A1108">
        <v>201903</v>
      </c>
      <c r="B1108">
        <v>2.9600000000000001E-2</v>
      </c>
    </row>
    <row r="1109" spans="1:2">
      <c r="A1109">
        <v>201904</v>
      </c>
      <c r="B1109">
        <v>3.85E-2</v>
      </c>
    </row>
    <row r="1110" spans="1:2">
      <c r="A1110">
        <v>201905</v>
      </c>
      <c r="B1110">
        <v>-0.17579999999999998</v>
      </c>
    </row>
    <row r="1111" spans="1:2">
      <c r="A1111">
        <v>201906</v>
      </c>
      <c r="B1111">
        <v>0.1082</v>
      </c>
    </row>
    <row r="1112" spans="1:2">
      <c r="A1112">
        <v>201907</v>
      </c>
      <c r="B1112">
        <v>-3.9199999999999999E-2</v>
      </c>
    </row>
    <row r="1113" spans="1:2">
      <c r="A1113">
        <v>201908</v>
      </c>
      <c r="B1113">
        <v>-0.13460000000000003</v>
      </c>
    </row>
    <row r="1114" spans="1:2">
      <c r="A1114">
        <v>201909</v>
      </c>
      <c r="B1114">
        <v>5.21E-2</v>
      </c>
    </row>
    <row r="1115" spans="1:2">
      <c r="A1115">
        <v>201910</v>
      </c>
      <c r="B1115">
        <v>-4.2300000000000004E-2</v>
      </c>
    </row>
    <row r="1116" spans="1:2">
      <c r="A1116">
        <v>201911</v>
      </c>
      <c r="B1116">
        <v>0.05</v>
      </c>
    </row>
    <row r="1117" spans="1:2">
      <c r="A1117">
        <v>201912</v>
      </c>
      <c r="B1117">
        <v>0.10970000000000001</v>
      </c>
    </row>
    <row r="1118" spans="1:2">
      <c r="A1118">
        <v>202001</v>
      </c>
      <c r="B1118">
        <v>-0.1028</v>
      </c>
    </row>
    <row r="1119" spans="1:2">
      <c r="A1119">
        <v>202002</v>
      </c>
      <c r="B1119">
        <v>-0.12560000000000002</v>
      </c>
    </row>
    <row r="1120" spans="1:2">
      <c r="A1120">
        <v>202003</v>
      </c>
      <c r="B1120">
        <v>-0.27979999999999999</v>
      </c>
    </row>
    <row r="1121" spans="1:2">
      <c r="A1121">
        <v>202004</v>
      </c>
      <c r="B1121">
        <v>0.43460000000000004</v>
      </c>
    </row>
    <row r="1122" spans="1:2">
      <c r="A1122">
        <v>202005</v>
      </c>
      <c r="B1122">
        <v>-1.44E-2</v>
      </c>
    </row>
    <row r="1123" spans="1:2">
      <c r="A1123">
        <v>202006</v>
      </c>
      <c r="B1123">
        <v>0.18460000000000001</v>
      </c>
    </row>
    <row r="1124" spans="1:2">
      <c r="A1124">
        <v>202007</v>
      </c>
      <c r="B1124">
        <v>-2.9100000000000001E-2</v>
      </c>
    </row>
    <row r="1125" spans="1:2">
      <c r="A1125">
        <v>202008</v>
      </c>
      <c r="B1125">
        <v>4.0700000000000007E-2</v>
      </c>
    </row>
    <row r="1126" spans="1:2">
      <c r="A1126">
        <v>202009</v>
      </c>
      <c r="B1126">
        <v>-7.5800000000000006E-2</v>
      </c>
    </row>
    <row r="1127" spans="1:2">
      <c r="A1127">
        <v>202010</v>
      </c>
      <c r="B1127">
        <v>-4.7300000000000009E-2</v>
      </c>
    </row>
    <row r="1128" spans="1:2">
      <c r="A1128">
        <v>202011</v>
      </c>
      <c r="B1128">
        <v>0.37119999999999997</v>
      </c>
    </row>
    <row r="1129" spans="1:2">
      <c r="A1129">
        <v>202012</v>
      </c>
      <c r="B1129">
        <v>8.1199999999999994E-2</v>
      </c>
    </row>
    <row r="1130" spans="1:2">
      <c r="A1130">
        <v>202101</v>
      </c>
      <c r="B1130">
        <v>6.4000000000000001E-2</v>
      </c>
    </row>
    <row r="1131" spans="1:2">
      <c r="A1131">
        <v>202102</v>
      </c>
      <c r="B1131">
        <v>0.1973</v>
      </c>
    </row>
    <row r="1132" spans="1:2">
      <c r="A1132">
        <v>202103</v>
      </c>
      <c r="B1132">
        <v>7.2300000000000003E-2</v>
      </c>
    </row>
    <row r="1133" spans="1:2">
      <c r="A1133">
        <v>202104</v>
      </c>
      <c r="B1133">
        <v>2.1800000000000003E-2</v>
      </c>
    </row>
    <row r="1134" spans="1:2">
      <c r="A1134">
        <v>202105</v>
      </c>
      <c r="B1134">
        <v>-4.0000000000000002E-4</v>
      </c>
    </row>
    <row r="1135" spans="1:2">
      <c r="A1135">
        <v>202106</v>
      </c>
      <c r="B1135">
        <v>2.3100000000000002E-2</v>
      </c>
    </row>
    <row r="1136" spans="1:2">
      <c r="A1136">
        <v>202107</v>
      </c>
      <c r="B1136">
        <v>-3.3000000000000004E-3</v>
      </c>
    </row>
    <row r="1137" spans="1:2">
      <c r="A1137">
        <v>202108</v>
      </c>
      <c r="B1137">
        <v>-2.6000000000000003E-3</v>
      </c>
    </row>
    <row r="1138" spans="1:2">
      <c r="A1138">
        <v>202109</v>
      </c>
      <c r="B1138">
        <v>-3.5000000000000003E-2</v>
      </c>
    </row>
    <row r="1139" spans="1:2">
      <c r="A1139">
        <v>202110</v>
      </c>
      <c r="B1139">
        <v>2.76E-2</v>
      </c>
    </row>
    <row r="1140" spans="1:2">
      <c r="A1140">
        <v>202111</v>
      </c>
      <c r="B1140">
        <v>-7.690000000000001E-2</v>
      </c>
    </row>
    <row r="1141" spans="1:2">
      <c r="A1141">
        <v>202112</v>
      </c>
      <c r="B1141">
        <v>3.4500000000000003E-2</v>
      </c>
    </row>
    <row r="1142" spans="1:2">
      <c r="A1142">
        <v>202201</v>
      </c>
      <c r="B1142">
        <v>-7.3800000000000004E-2</v>
      </c>
    </row>
    <row r="1143" spans="1:2">
      <c r="A1143">
        <v>202202</v>
      </c>
      <c r="B1143">
        <v>-7.4099999999999999E-2</v>
      </c>
    </row>
    <row r="1144" spans="1:2">
      <c r="A1144">
        <v>202203</v>
      </c>
      <c r="B1144">
        <v>-2.2000000000000001E-3</v>
      </c>
    </row>
    <row r="1145" spans="1:2">
      <c r="A1145">
        <v>202204</v>
      </c>
      <c r="B1145">
        <v>-0.19890000000000002</v>
      </c>
    </row>
    <row r="1146" spans="1:2">
      <c r="A1146">
        <v>202205</v>
      </c>
      <c r="B1146">
        <v>-8.1900000000000001E-2</v>
      </c>
    </row>
    <row r="1147" spans="1:2">
      <c r="A1147">
        <v>202206</v>
      </c>
      <c r="B1147">
        <v>-0.1099</v>
      </c>
    </row>
    <row r="1148" spans="1:2">
      <c r="A1148">
        <v>202207</v>
      </c>
      <c r="B1148">
        <v>0.1497</v>
      </c>
    </row>
    <row r="1149" spans="1:2">
      <c r="A1149">
        <v>202208</v>
      </c>
      <c r="B1149">
        <v>-3.4700000000000002E-2</v>
      </c>
    </row>
    <row r="1150" spans="1:2">
      <c r="A1150">
        <v>202209</v>
      </c>
      <c r="B1150">
        <v>-0.1129</v>
      </c>
    </row>
    <row r="1151" spans="1:2">
      <c r="A1151">
        <v>202210</v>
      </c>
      <c r="B1151">
        <v>7.0099999999999996E-2</v>
      </c>
    </row>
    <row r="1152" spans="1:2">
      <c r="A1152">
        <v>202211</v>
      </c>
      <c r="B1152">
        <v>9.5999999999999992E-3</v>
      </c>
    </row>
    <row r="1153" spans="1:2">
      <c r="A1153">
        <v>202212</v>
      </c>
      <c r="B1153">
        <v>-8.8699999999999987E-2</v>
      </c>
    </row>
    <row r="1154" spans="1:2">
      <c r="A1154">
        <v>202301</v>
      </c>
      <c r="B1154">
        <v>0.2082</v>
      </c>
    </row>
    <row r="1155" spans="1:2">
      <c r="A1155">
        <v>202302</v>
      </c>
      <c r="B1155">
        <v>6.2800000000000009E-2</v>
      </c>
    </row>
    <row r="1156" spans="1:2">
      <c r="A1156">
        <v>202303</v>
      </c>
      <c r="B1156">
        <v>-2.6000000000000002E-2</v>
      </c>
    </row>
    <row r="1157" spans="1:2">
      <c r="A1157">
        <v>202304</v>
      </c>
      <c r="B1157">
        <v>-6.6900000000000001E-2</v>
      </c>
    </row>
    <row r="1158" spans="1:2">
      <c r="A1158">
        <v>202305</v>
      </c>
      <c r="B1158">
        <v>4.2300000000000004E-2</v>
      </c>
    </row>
    <row r="1159" spans="1:2">
      <c r="A1159">
        <v>202306</v>
      </c>
      <c r="B1159">
        <v>9.240000000000001E-2</v>
      </c>
    </row>
    <row r="1160" spans="1:2">
      <c r="A1160">
        <v>202307</v>
      </c>
      <c r="B1160">
        <v>0.11960000000000001</v>
      </c>
    </row>
    <row r="1161" spans="1:2">
      <c r="A1161">
        <v>202308</v>
      </c>
      <c r="B1161">
        <v>-9.1700000000000004E-2</v>
      </c>
    </row>
    <row r="1162" spans="1:2">
      <c r="A1162">
        <v>202309</v>
      </c>
      <c r="B1162">
        <v>-9.0299999999999991E-2</v>
      </c>
    </row>
    <row r="1163" spans="1:2">
      <c r="A1163">
        <v>202310</v>
      </c>
      <c r="B1163">
        <v>-9.5500000000000015E-2</v>
      </c>
    </row>
    <row r="1164" spans="1:2">
      <c r="A1164">
        <v>202311</v>
      </c>
      <c r="B1164">
        <v>9.6700000000000008E-2</v>
      </c>
    </row>
    <row r="1165" spans="1:2">
      <c r="A1165">
        <v>202312</v>
      </c>
      <c r="B1165">
        <v>0.19700000000000001</v>
      </c>
    </row>
    <row r="1166" spans="1:2">
      <c r="A1166">
        <v>202401</v>
      </c>
      <c r="B1166">
        <v>-7.0999999999999994E-2</v>
      </c>
    </row>
    <row r="1167" spans="1:2">
      <c r="A1167">
        <v>202402</v>
      </c>
      <c r="B1167">
        <v>2.7900000000000001E-2</v>
      </c>
    </row>
    <row r="1168" spans="1:2">
      <c r="A1168">
        <v>202403</v>
      </c>
      <c r="B1168">
        <v>5.5000000000000005E-3</v>
      </c>
    </row>
    <row r="1169" spans="1:2">
      <c r="A1169">
        <v>202404</v>
      </c>
      <c r="B1169">
        <v>-6.9599999999999995E-2</v>
      </c>
    </row>
    <row r="1170" spans="1:2">
      <c r="A1170">
        <v>202405</v>
      </c>
      <c r="B1170">
        <v>5.62E-2</v>
      </c>
    </row>
    <row r="1171" spans="1:2">
      <c r="A1171">
        <v>202406</v>
      </c>
      <c r="B1171">
        <v>-2.4400000000000002E-2</v>
      </c>
    </row>
    <row r="1172" spans="1:2">
      <c r="A1172">
        <v>202407</v>
      </c>
      <c r="B1172">
        <v>0.12330000000000001</v>
      </c>
    </row>
    <row r="1173" spans="1:2">
      <c r="A1173">
        <v>202408</v>
      </c>
      <c r="B1173">
        <v>-2.5099999999999997E-2</v>
      </c>
    </row>
    <row r="1174" spans="1:2">
      <c r="A1174">
        <v>202409</v>
      </c>
      <c r="B1174">
        <v>4.2800000000000005E-2</v>
      </c>
    </row>
    <row r="1175" spans="1:2">
      <c r="A1175">
        <v>202410</v>
      </c>
      <c r="B1175">
        <v>-3.7700000000000004E-2</v>
      </c>
    </row>
    <row r="1176" spans="1:2">
      <c r="A1176">
        <v>202411</v>
      </c>
      <c r="B1176">
        <v>0.1241</v>
      </c>
    </row>
    <row r="1177" spans="1:2">
      <c r="A1177">
        <v>202412</v>
      </c>
      <c r="B1177">
        <v>-3.6299999999999999E-2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56840-A57A-4E3B-A7CB-CBE2F15BEA15}">
  <dimension ref="A2:H24"/>
  <sheetViews>
    <sheetView workbookViewId="0">
      <selection activeCell="J39" sqref="J39"/>
    </sheetView>
  </sheetViews>
  <sheetFormatPr defaultRowHeight="14.5"/>
  <cols>
    <col min="1" max="1" width="17" bestFit="1" customWidth="1"/>
    <col min="2" max="2" width="6.54296875" customWidth="1"/>
    <col min="3" max="3" width="18.81640625" bestFit="1" customWidth="1"/>
    <col min="4" max="4" width="11.453125" customWidth="1"/>
    <col min="5" max="5" width="12.1796875" bestFit="1" customWidth="1"/>
    <col min="6" max="6" width="3.453125" customWidth="1"/>
    <col min="8" max="8" width="9.1796875" customWidth="1"/>
    <col min="9" max="9" width="12.453125" bestFit="1" customWidth="1"/>
  </cols>
  <sheetData>
    <row r="2" spans="1:8" ht="15" thickBot="1">
      <c r="A2" s="21"/>
      <c r="B2" s="21"/>
      <c r="C2" s="21"/>
      <c r="D2" s="21"/>
      <c r="E2" s="21"/>
      <c r="F2" s="21"/>
      <c r="G2" s="21"/>
      <c r="H2" s="21"/>
    </row>
    <row r="3" spans="1:8" ht="15" thickBot="1">
      <c r="A3" s="179" t="s">
        <v>210</v>
      </c>
      <c r="B3" s="179" t="s">
        <v>558</v>
      </c>
      <c r="C3" s="179" t="s">
        <v>548</v>
      </c>
      <c r="D3" s="179" t="s">
        <v>549</v>
      </c>
      <c r="E3" s="179" t="s">
        <v>550</v>
      </c>
      <c r="F3" s="179"/>
      <c r="G3" s="180" t="s">
        <v>551</v>
      </c>
      <c r="H3" s="180" t="s">
        <v>552</v>
      </c>
    </row>
    <row r="4" spans="1:8">
      <c r="A4" s="171">
        <v>42825</v>
      </c>
      <c r="B4" s="184" t="s">
        <v>556</v>
      </c>
      <c r="C4" s="172">
        <v>-400</v>
      </c>
      <c r="D4" s="173">
        <f>-C4</f>
        <v>400</v>
      </c>
      <c r="E4" s="14">
        <v>1</v>
      </c>
      <c r="F4" s="171"/>
      <c r="G4">
        <f>C4/E4</f>
        <v>-400</v>
      </c>
    </row>
    <row r="5" spans="1:8">
      <c r="A5" s="171">
        <v>43465</v>
      </c>
      <c r="B5" s="184" t="s">
        <v>556</v>
      </c>
      <c r="C5" s="173">
        <v>-200</v>
      </c>
      <c r="D5" s="172">
        <f t="shared" ref="D5:D12" si="0">D4-C5</f>
        <v>600</v>
      </c>
      <c r="E5" s="14">
        <v>1.0995279490227576</v>
      </c>
      <c r="F5" s="171"/>
      <c r="G5">
        <f t="shared" ref="G5:G15" si="1">C5/E5</f>
        <v>-181.8962402708878</v>
      </c>
    </row>
    <row r="6" spans="1:8">
      <c r="A6" s="171">
        <v>43862</v>
      </c>
      <c r="B6" s="184" t="s">
        <v>556</v>
      </c>
      <c r="C6" s="173">
        <v>-300</v>
      </c>
      <c r="D6" s="172">
        <f t="shared" si="0"/>
        <v>900</v>
      </c>
      <c r="E6" s="14">
        <v>1.3276419532541912</v>
      </c>
      <c r="F6" s="171"/>
      <c r="G6">
        <f t="shared" si="1"/>
        <v>-225.9645375507065</v>
      </c>
    </row>
    <row r="7" spans="1:8">
      <c r="A7" s="171">
        <v>44012</v>
      </c>
      <c r="B7" s="184" t="s">
        <v>556</v>
      </c>
      <c r="C7" s="173">
        <v>-400</v>
      </c>
      <c r="D7" s="173">
        <f t="shared" si="0"/>
        <v>1300</v>
      </c>
      <c r="E7" s="14">
        <v>1.4068994625314917</v>
      </c>
      <c r="F7" s="171"/>
      <c r="G7">
        <f t="shared" si="1"/>
        <v>-284.31313725876595</v>
      </c>
    </row>
    <row r="8" spans="1:8">
      <c r="A8" s="171">
        <v>44165</v>
      </c>
      <c r="B8" s="184" t="s">
        <v>556</v>
      </c>
      <c r="C8" s="173">
        <v>-500</v>
      </c>
      <c r="D8" s="172">
        <f t="shared" si="0"/>
        <v>1800</v>
      </c>
      <c r="E8" s="14">
        <v>1.65613685062501</v>
      </c>
      <c r="F8" s="171"/>
      <c r="G8">
        <f t="shared" si="1"/>
        <v>-301.90741774226257</v>
      </c>
    </row>
    <row r="9" spans="1:8">
      <c r="A9" s="171">
        <v>44227</v>
      </c>
      <c r="B9" s="184" t="s">
        <v>556</v>
      </c>
      <c r="C9" s="173">
        <v>-100</v>
      </c>
      <c r="D9" s="172">
        <f t="shared" si="0"/>
        <v>1900</v>
      </c>
      <c r="E9" s="14">
        <v>1.707646204692111</v>
      </c>
      <c r="F9" s="171"/>
      <c r="G9">
        <f t="shared" si="1"/>
        <v>-58.560139521423892</v>
      </c>
    </row>
    <row r="10" spans="1:8">
      <c r="A10" s="171">
        <v>44651</v>
      </c>
      <c r="B10" s="184" t="s">
        <v>556</v>
      </c>
      <c r="C10" s="173">
        <v>-600</v>
      </c>
      <c r="D10" s="172">
        <f t="shared" si="0"/>
        <v>2500</v>
      </c>
      <c r="E10" s="14">
        <v>2.1161960835838807</v>
      </c>
      <c r="F10" s="171"/>
      <c r="G10">
        <f t="shared" si="1"/>
        <v>-283.52760155565119</v>
      </c>
      <c r="H10" s="170"/>
    </row>
    <row r="11" spans="1:8">
      <c r="A11" s="171">
        <v>44742</v>
      </c>
      <c r="B11" s="184" t="s">
        <v>556</v>
      </c>
      <c r="C11" s="173">
        <v>-100</v>
      </c>
      <c r="D11" s="172">
        <f t="shared" si="0"/>
        <v>2600</v>
      </c>
      <c r="E11" s="14">
        <v>1.7738107116633894</v>
      </c>
      <c r="F11" s="171"/>
      <c r="G11">
        <f t="shared" si="1"/>
        <v>-56.375801173409926</v>
      </c>
    </row>
    <row r="12" spans="1:8">
      <c r="A12" s="171">
        <v>45046</v>
      </c>
      <c r="B12" s="184" t="s">
        <v>556</v>
      </c>
      <c r="C12" s="173">
        <v>-200</v>
      </c>
      <c r="D12" s="172">
        <f t="shared" si="0"/>
        <v>2800</v>
      </c>
      <c r="E12" s="14">
        <v>1.9818286355377743</v>
      </c>
      <c r="F12" s="171"/>
      <c r="G12">
        <f t="shared" si="1"/>
        <v>-100.91689887492693</v>
      </c>
    </row>
    <row r="13" spans="1:8">
      <c r="A13" s="174">
        <v>45138</v>
      </c>
      <c r="B13" s="185" t="s">
        <v>557</v>
      </c>
      <c r="C13" s="175">
        <v>700</v>
      </c>
      <c r="D13" s="173"/>
      <c r="E13" s="14">
        <v>2.193122493527162</v>
      </c>
      <c r="F13" s="171"/>
      <c r="H13" s="2">
        <f>C13/E13</f>
        <v>319.1796181316812</v>
      </c>
    </row>
    <row r="14" spans="1:8">
      <c r="A14" s="171">
        <v>45230</v>
      </c>
      <c r="B14" s="184" t="s">
        <v>556</v>
      </c>
      <c r="C14" s="173">
        <v>-100</v>
      </c>
      <c r="D14" s="172">
        <f>D12-C14</f>
        <v>2900</v>
      </c>
      <c r="E14" s="14">
        <v>2.0133165968786741</v>
      </c>
      <c r="F14" s="171"/>
      <c r="G14">
        <f t="shared" si="1"/>
        <v>-49.669287063462363</v>
      </c>
      <c r="H14" s="2"/>
    </row>
    <row r="15" spans="1:8">
      <c r="A15" s="171">
        <v>45382</v>
      </c>
      <c r="B15" s="184" t="s">
        <v>556</v>
      </c>
      <c r="C15" s="173">
        <v>-100</v>
      </c>
      <c r="D15" s="172">
        <f>D14-C15</f>
        <v>3000</v>
      </c>
      <c r="E15" s="14">
        <v>2.5352256902236054</v>
      </c>
      <c r="F15" s="171"/>
      <c r="G15">
        <f t="shared" si="1"/>
        <v>-39.444220049371644</v>
      </c>
      <c r="H15" s="2"/>
    </row>
    <row r="16" spans="1:8">
      <c r="A16" s="174">
        <v>45565</v>
      </c>
      <c r="B16" s="185" t="s">
        <v>557</v>
      </c>
      <c r="C16" s="175">
        <v>900</v>
      </c>
      <c r="D16" s="173"/>
      <c r="E16" s="14">
        <v>2.8096869964660449</v>
      </c>
      <c r="F16" s="171"/>
      <c r="H16" s="2">
        <f>C16/E16</f>
        <v>320.32037772605912</v>
      </c>
    </row>
    <row r="17" spans="1:8" ht="15" thickBot="1">
      <c r="A17" s="183">
        <v>45657</v>
      </c>
      <c r="B17" s="182" t="s">
        <v>555</v>
      </c>
      <c r="C17" s="176">
        <v>3000</v>
      </c>
      <c r="D17" s="21"/>
      <c r="E17" s="177">
        <v>2.8843099546828985</v>
      </c>
      <c r="F17" s="21"/>
      <c r="G17" s="21"/>
      <c r="H17" s="178">
        <f>C17/E17</f>
        <v>1040.1101293324145</v>
      </c>
    </row>
    <row r="18" spans="1:8">
      <c r="H18" s="2"/>
    </row>
    <row r="19" spans="1:8">
      <c r="G19">
        <f>SUM(G4:G17)</f>
        <v>-1982.575281060869</v>
      </c>
      <c r="H19" s="2">
        <f>SUM(H13:H17)</f>
        <v>1679.6101251901548</v>
      </c>
    </row>
    <row r="20" spans="1:8">
      <c r="H20" s="2"/>
    </row>
    <row r="21" spans="1:8">
      <c r="G21" s="1" t="s">
        <v>554</v>
      </c>
      <c r="H21" s="181">
        <f>XIRR(C4:C17,A4:A17,0.1)</f>
        <v>0.11086307168006895</v>
      </c>
    </row>
    <row r="22" spans="1:8">
      <c r="G22" s="1" t="s">
        <v>560</v>
      </c>
      <c r="H22" s="181">
        <f>XNPV(H21,C4:C17,A4:A17)</f>
        <v>-2.1313886918505887E-5</v>
      </c>
    </row>
    <row r="23" spans="1:8">
      <c r="G23" s="1" t="s">
        <v>559</v>
      </c>
      <c r="H23" s="181">
        <f>SUM(C13,C16,C17)/-SUM(C4:C12,C14:C15)</f>
        <v>1.5333333333333334</v>
      </c>
    </row>
    <row r="24" spans="1:8">
      <c r="G24" s="1" t="s">
        <v>553</v>
      </c>
      <c r="H24" s="181">
        <f>H19/(-G19)</f>
        <v>0.84718605201785901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30"/>
  <dimension ref="A2:F63"/>
  <sheetViews>
    <sheetView workbookViewId="0">
      <selection activeCell="C8" sqref="C8"/>
    </sheetView>
  </sheetViews>
  <sheetFormatPr defaultRowHeight="14.5"/>
  <cols>
    <col min="1" max="1" width="13" customWidth="1"/>
    <col min="2" max="2" width="9.81640625" bestFit="1" customWidth="1"/>
    <col min="3" max="4" width="10.81640625" bestFit="1" customWidth="1"/>
  </cols>
  <sheetData>
    <row r="2" spans="1:6">
      <c r="A2" t="s">
        <v>467</v>
      </c>
      <c r="B2" t="s">
        <v>468</v>
      </c>
      <c r="C2" t="s">
        <v>469</v>
      </c>
      <c r="D2" t="s">
        <v>470</v>
      </c>
      <c r="F2" t="s">
        <v>471</v>
      </c>
    </row>
    <row r="3" spans="1:6">
      <c r="A3">
        <v>70</v>
      </c>
      <c r="B3">
        <f t="shared" ref="B3:B34" si="0">MAX(A3-80,0)-11.6</f>
        <v>-11.6</v>
      </c>
      <c r="C3">
        <f t="shared" ref="C3:C34" si="1">MAX(A3-100,0)-1.88</f>
        <v>-1.88</v>
      </c>
      <c r="D3">
        <f t="shared" ref="D3:D34" si="2">MAX(A3-120,0)-0.125</f>
        <v>-0.125</v>
      </c>
      <c r="F3">
        <f t="shared" ref="F3:F34" si="3">B3-2*C3+D3</f>
        <v>-7.9649999999999999</v>
      </c>
    </row>
    <row r="4" spans="1:6">
      <c r="A4">
        <f t="shared" ref="A4:A35" si="4">A3+1</f>
        <v>71</v>
      </c>
      <c r="B4">
        <f t="shared" si="0"/>
        <v>-11.6</v>
      </c>
      <c r="C4">
        <f t="shared" si="1"/>
        <v>-1.88</v>
      </c>
      <c r="D4">
        <f t="shared" si="2"/>
        <v>-0.125</v>
      </c>
      <c r="F4">
        <f t="shared" si="3"/>
        <v>-7.9649999999999999</v>
      </c>
    </row>
    <row r="5" spans="1:6">
      <c r="A5">
        <f t="shared" si="4"/>
        <v>72</v>
      </c>
      <c r="B5">
        <f t="shared" si="0"/>
        <v>-11.6</v>
      </c>
      <c r="C5">
        <f t="shared" si="1"/>
        <v>-1.88</v>
      </c>
      <c r="D5">
        <f t="shared" si="2"/>
        <v>-0.125</v>
      </c>
      <c r="F5">
        <f t="shared" si="3"/>
        <v>-7.9649999999999999</v>
      </c>
    </row>
    <row r="6" spans="1:6">
      <c r="A6">
        <f t="shared" si="4"/>
        <v>73</v>
      </c>
      <c r="B6">
        <f t="shared" si="0"/>
        <v>-11.6</v>
      </c>
      <c r="C6">
        <f t="shared" si="1"/>
        <v>-1.88</v>
      </c>
      <c r="D6">
        <f t="shared" si="2"/>
        <v>-0.125</v>
      </c>
      <c r="F6">
        <f t="shared" si="3"/>
        <v>-7.9649999999999999</v>
      </c>
    </row>
    <row r="7" spans="1:6">
      <c r="A7">
        <f t="shared" si="4"/>
        <v>74</v>
      </c>
      <c r="B7">
        <f t="shared" si="0"/>
        <v>-11.6</v>
      </c>
      <c r="C7">
        <f t="shared" si="1"/>
        <v>-1.88</v>
      </c>
      <c r="D7">
        <f t="shared" si="2"/>
        <v>-0.125</v>
      </c>
      <c r="F7">
        <f t="shared" si="3"/>
        <v>-7.9649999999999999</v>
      </c>
    </row>
    <row r="8" spans="1:6">
      <c r="A8">
        <f t="shared" si="4"/>
        <v>75</v>
      </c>
      <c r="B8">
        <f t="shared" si="0"/>
        <v>-11.6</v>
      </c>
      <c r="C8">
        <f t="shared" si="1"/>
        <v>-1.88</v>
      </c>
      <c r="D8">
        <f t="shared" si="2"/>
        <v>-0.125</v>
      </c>
      <c r="F8">
        <f t="shared" si="3"/>
        <v>-7.9649999999999999</v>
      </c>
    </row>
    <row r="9" spans="1:6">
      <c r="A9">
        <f t="shared" si="4"/>
        <v>76</v>
      </c>
      <c r="B9">
        <f t="shared" si="0"/>
        <v>-11.6</v>
      </c>
      <c r="C9">
        <f t="shared" si="1"/>
        <v>-1.88</v>
      </c>
      <c r="D9">
        <f t="shared" si="2"/>
        <v>-0.125</v>
      </c>
      <c r="F9">
        <f t="shared" si="3"/>
        <v>-7.9649999999999999</v>
      </c>
    </row>
    <row r="10" spans="1:6">
      <c r="A10">
        <f t="shared" si="4"/>
        <v>77</v>
      </c>
      <c r="B10">
        <f t="shared" si="0"/>
        <v>-11.6</v>
      </c>
      <c r="C10">
        <f t="shared" si="1"/>
        <v>-1.88</v>
      </c>
      <c r="D10">
        <f t="shared" si="2"/>
        <v>-0.125</v>
      </c>
      <c r="F10">
        <f t="shared" si="3"/>
        <v>-7.9649999999999999</v>
      </c>
    </row>
    <row r="11" spans="1:6">
      <c r="A11">
        <f t="shared" si="4"/>
        <v>78</v>
      </c>
      <c r="B11">
        <f t="shared" si="0"/>
        <v>-11.6</v>
      </c>
      <c r="C11">
        <f t="shared" si="1"/>
        <v>-1.88</v>
      </c>
      <c r="D11">
        <f t="shared" si="2"/>
        <v>-0.125</v>
      </c>
      <c r="F11">
        <f t="shared" si="3"/>
        <v>-7.9649999999999999</v>
      </c>
    </row>
    <row r="12" spans="1:6">
      <c r="A12">
        <f t="shared" si="4"/>
        <v>79</v>
      </c>
      <c r="B12">
        <f t="shared" si="0"/>
        <v>-11.6</v>
      </c>
      <c r="C12">
        <f t="shared" si="1"/>
        <v>-1.88</v>
      </c>
      <c r="D12">
        <f t="shared" si="2"/>
        <v>-0.125</v>
      </c>
      <c r="F12">
        <f t="shared" si="3"/>
        <v>-7.9649999999999999</v>
      </c>
    </row>
    <row r="13" spans="1:6">
      <c r="A13">
        <f t="shared" si="4"/>
        <v>80</v>
      </c>
      <c r="B13">
        <f t="shared" si="0"/>
        <v>-11.6</v>
      </c>
      <c r="C13">
        <f t="shared" si="1"/>
        <v>-1.88</v>
      </c>
      <c r="D13">
        <f t="shared" si="2"/>
        <v>-0.125</v>
      </c>
      <c r="F13">
        <f t="shared" si="3"/>
        <v>-7.9649999999999999</v>
      </c>
    </row>
    <row r="14" spans="1:6">
      <c r="A14">
        <f t="shared" si="4"/>
        <v>81</v>
      </c>
      <c r="B14">
        <f t="shared" si="0"/>
        <v>-10.6</v>
      </c>
      <c r="C14">
        <f t="shared" si="1"/>
        <v>-1.88</v>
      </c>
      <c r="D14">
        <f t="shared" si="2"/>
        <v>-0.125</v>
      </c>
      <c r="F14">
        <f t="shared" si="3"/>
        <v>-6.9649999999999999</v>
      </c>
    </row>
    <row r="15" spans="1:6">
      <c r="A15">
        <f t="shared" si="4"/>
        <v>82</v>
      </c>
      <c r="B15">
        <f t="shared" si="0"/>
        <v>-9.6</v>
      </c>
      <c r="C15">
        <f t="shared" si="1"/>
        <v>-1.88</v>
      </c>
      <c r="D15">
        <f t="shared" si="2"/>
        <v>-0.125</v>
      </c>
      <c r="F15">
        <f t="shared" si="3"/>
        <v>-5.9649999999999999</v>
      </c>
    </row>
    <row r="16" spans="1:6">
      <c r="A16">
        <f t="shared" si="4"/>
        <v>83</v>
      </c>
      <c r="B16">
        <f t="shared" si="0"/>
        <v>-8.6</v>
      </c>
      <c r="C16">
        <f t="shared" si="1"/>
        <v>-1.88</v>
      </c>
      <c r="D16">
        <f t="shared" si="2"/>
        <v>-0.125</v>
      </c>
      <c r="F16">
        <f t="shared" si="3"/>
        <v>-4.9649999999999999</v>
      </c>
    </row>
    <row r="17" spans="1:6">
      <c r="A17">
        <f t="shared" si="4"/>
        <v>84</v>
      </c>
      <c r="B17">
        <f t="shared" si="0"/>
        <v>-7.6</v>
      </c>
      <c r="C17">
        <f t="shared" si="1"/>
        <v>-1.88</v>
      </c>
      <c r="D17">
        <f t="shared" si="2"/>
        <v>-0.125</v>
      </c>
      <c r="F17">
        <f t="shared" si="3"/>
        <v>-3.9649999999999999</v>
      </c>
    </row>
    <row r="18" spans="1:6">
      <c r="A18">
        <f t="shared" si="4"/>
        <v>85</v>
      </c>
      <c r="B18">
        <f t="shared" si="0"/>
        <v>-6.6</v>
      </c>
      <c r="C18">
        <f t="shared" si="1"/>
        <v>-1.88</v>
      </c>
      <c r="D18">
        <f t="shared" si="2"/>
        <v>-0.125</v>
      </c>
      <c r="F18">
        <f t="shared" si="3"/>
        <v>-2.9649999999999999</v>
      </c>
    </row>
    <row r="19" spans="1:6">
      <c r="A19">
        <f t="shared" si="4"/>
        <v>86</v>
      </c>
      <c r="B19">
        <f t="shared" si="0"/>
        <v>-5.6</v>
      </c>
      <c r="C19">
        <f t="shared" si="1"/>
        <v>-1.88</v>
      </c>
      <c r="D19">
        <f t="shared" si="2"/>
        <v>-0.125</v>
      </c>
      <c r="F19">
        <f t="shared" si="3"/>
        <v>-1.9649999999999999</v>
      </c>
    </row>
    <row r="20" spans="1:6">
      <c r="A20">
        <f t="shared" si="4"/>
        <v>87</v>
      </c>
      <c r="B20">
        <f t="shared" si="0"/>
        <v>-4.5999999999999996</v>
      </c>
      <c r="C20">
        <f t="shared" si="1"/>
        <v>-1.88</v>
      </c>
      <c r="D20">
        <f t="shared" si="2"/>
        <v>-0.125</v>
      </c>
      <c r="F20">
        <f t="shared" si="3"/>
        <v>-0.96499999999999986</v>
      </c>
    </row>
    <row r="21" spans="1:6">
      <c r="A21">
        <f t="shared" si="4"/>
        <v>88</v>
      </c>
      <c r="B21">
        <f t="shared" si="0"/>
        <v>-3.5999999999999996</v>
      </c>
      <c r="C21">
        <f t="shared" si="1"/>
        <v>-1.88</v>
      </c>
      <c r="D21">
        <f t="shared" si="2"/>
        <v>-0.125</v>
      </c>
      <c r="F21">
        <f t="shared" si="3"/>
        <v>3.5000000000000142E-2</v>
      </c>
    </row>
    <row r="22" spans="1:6">
      <c r="A22">
        <f t="shared" si="4"/>
        <v>89</v>
      </c>
      <c r="B22">
        <f t="shared" si="0"/>
        <v>-2.5999999999999996</v>
      </c>
      <c r="C22">
        <f t="shared" si="1"/>
        <v>-1.88</v>
      </c>
      <c r="D22">
        <f t="shared" si="2"/>
        <v>-0.125</v>
      </c>
      <c r="F22">
        <f t="shared" si="3"/>
        <v>1.0350000000000001</v>
      </c>
    </row>
    <row r="23" spans="1:6">
      <c r="A23">
        <f t="shared" si="4"/>
        <v>90</v>
      </c>
      <c r="B23">
        <f t="shared" si="0"/>
        <v>-1.5999999999999996</v>
      </c>
      <c r="C23">
        <f t="shared" si="1"/>
        <v>-1.88</v>
      </c>
      <c r="D23">
        <f t="shared" si="2"/>
        <v>-0.125</v>
      </c>
      <c r="F23">
        <f t="shared" si="3"/>
        <v>2.0350000000000001</v>
      </c>
    </row>
    <row r="24" spans="1:6">
      <c r="A24">
        <f t="shared" si="4"/>
        <v>91</v>
      </c>
      <c r="B24">
        <f t="shared" si="0"/>
        <v>-0.59999999999999964</v>
      </c>
      <c r="C24">
        <f t="shared" si="1"/>
        <v>-1.88</v>
      </c>
      <c r="D24">
        <f t="shared" si="2"/>
        <v>-0.125</v>
      </c>
      <c r="F24">
        <f t="shared" si="3"/>
        <v>3.0350000000000001</v>
      </c>
    </row>
    <row r="25" spans="1:6">
      <c r="A25">
        <f t="shared" si="4"/>
        <v>92</v>
      </c>
      <c r="B25">
        <f t="shared" si="0"/>
        <v>0.40000000000000036</v>
      </c>
      <c r="C25">
        <f t="shared" si="1"/>
        <v>-1.88</v>
      </c>
      <c r="D25">
        <f t="shared" si="2"/>
        <v>-0.125</v>
      </c>
      <c r="F25">
        <f t="shared" si="3"/>
        <v>4.0350000000000001</v>
      </c>
    </row>
    <row r="26" spans="1:6">
      <c r="A26">
        <f t="shared" si="4"/>
        <v>93</v>
      </c>
      <c r="B26">
        <f t="shared" si="0"/>
        <v>1.4000000000000004</v>
      </c>
      <c r="C26">
        <f t="shared" si="1"/>
        <v>-1.88</v>
      </c>
      <c r="D26">
        <f t="shared" si="2"/>
        <v>-0.125</v>
      </c>
      <c r="F26">
        <f t="shared" si="3"/>
        <v>5.0350000000000001</v>
      </c>
    </row>
    <row r="27" spans="1:6">
      <c r="A27">
        <f t="shared" si="4"/>
        <v>94</v>
      </c>
      <c r="B27">
        <f t="shared" si="0"/>
        <v>2.4000000000000004</v>
      </c>
      <c r="C27">
        <f t="shared" si="1"/>
        <v>-1.88</v>
      </c>
      <c r="D27">
        <f t="shared" si="2"/>
        <v>-0.125</v>
      </c>
      <c r="F27">
        <f t="shared" si="3"/>
        <v>6.0350000000000001</v>
      </c>
    </row>
    <row r="28" spans="1:6">
      <c r="A28">
        <f t="shared" si="4"/>
        <v>95</v>
      </c>
      <c r="B28">
        <f t="shared" si="0"/>
        <v>3.4000000000000004</v>
      </c>
      <c r="C28">
        <f t="shared" si="1"/>
        <v>-1.88</v>
      </c>
      <c r="D28">
        <f t="shared" si="2"/>
        <v>-0.125</v>
      </c>
      <c r="F28">
        <f t="shared" si="3"/>
        <v>7.0350000000000001</v>
      </c>
    </row>
    <row r="29" spans="1:6">
      <c r="A29">
        <f t="shared" si="4"/>
        <v>96</v>
      </c>
      <c r="B29">
        <f t="shared" si="0"/>
        <v>4.4000000000000004</v>
      </c>
      <c r="C29">
        <f t="shared" si="1"/>
        <v>-1.88</v>
      </c>
      <c r="D29">
        <f t="shared" si="2"/>
        <v>-0.125</v>
      </c>
      <c r="F29">
        <f t="shared" si="3"/>
        <v>8.0350000000000001</v>
      </c>
    </row>
    <row r="30" spans="1:6">
      <c r="A30">
        <f t="shared" si="4"/>
        <v>97</v>
      </c>
      <c r="B30">
        <f t="shared" si="0"/>
        <v>5.4</v>
      </c>
      <c r="C30">
        <f t="shared" si="1"/>
        <v>-1.88</v>
      </c>
      <c r="D30">
        <f t="shared" si="2"/>
        <v>-0.125</v>
      </c>
      <c r="F30">
        <f t="shared" si="3"/>
        <v>9.0350000000000001</v>
      </c>
    </row>
    <row r="31" spans="1:6">
      <c r="A31">
        <f t="shared" si="4"/>
        <v>98</v>
      </c>
      <c r="B31">
        <f t="shared" si="0"/>
        <v>6.4</v>
      </c>
      <c r="C31">
        <f t="shared" si="1"/>
        <v>-1.88</v>
      </c>
      <c r="D31">
        <f t="shared" si="2"/>
        <v>-0.125</v>
      </c>
      <c r="F31">
        <f t="shared" si="3"/>
        <v>10.035</v>
      </c>
    </row>
    <row r="32" spans="1:6">
      <c r="A32">
        <f t="shared" si="4"/>
        <v>99</v>
      </c>
      <c r="B32">
        <f t="shared" si="0"/>
        <v>7.4</v>
      </c>
      <c r="C32">
        <f t="shared" si="1"/>
        <v>-1.88</v>
      </c>
      <c r="D32">
        <f t="shared" si="2"/>
        <v>-0.125</v>
      </c>
      <c r="F32">
        <f t="shared" si="3"/>
        <v>11.035</v>
      </c>
    </row>
    <row r="33" spans="1:6">
      <c r="A33">
        <f t="shared" si="4"/>
        <v>100</v>
      </c>
      <c r="B33">
        <f t="shared" si="0"/>
        <v>8.4</v>
      </c>
      <c r="C33">
        <f t="shared" si="1"/>
        <v>-1.88</v>
      </c>
      <c r="D33">
        <f t="shared" si="2"/>
        <v>-0.125</v>
      </c>
      <c r="F33">
        <f t="shared" si="3"/>
        <v>12.035</v>
      </c>
    </row>
    <row r="34" spans="1:6">
      <c r="A34">
        <f t="shared" si="4"/>
        <v>101</v>
      </c>
      <c r="B34">
        <f t="shared" si="0"/>
        <v>9.4</v>
      </c>
      <c r="C34">
        <f t="shared" si="1"/>
        <v>-0.87999999999999989</v>
      </c>
      <c r="D34">
        <f t="shared" si="2"/>
        <v>-0.125</v>
      </c>
      <c r="F34">
        <f t="shared" si="3"/>
        <v>11.035</v>
      </c>
    </row>
    <row r="35" spans="1:6">
      <c r="A35">
        <f t="shared" si="4"/>
        <v>102</v>
      </c>
      <c r="B35">
        <f t="shared" ref="B35:B63" si="5">MAX(A35-80,0)-11.6</f>
        <v>10.4</v>
      </c>
      <c r="C35">
        <f t="shared" ref="C35:C63" si="6">MAX(A35-100,0)-1.88</f>
        <v>0.12000000000000011</v>
      </c>
      <c r="D35">
        <f t="shared" ref="D35:D63" si="7">MAX(A35-120,0)-0.125</f>
        <v>-0.125</v>
      </c>
      <c r="F35">
        <f t="shared" ref="F35:F63" si="8">B35-2*C35+D35</f>
        <v>10.035</v>
      </c>
    </row>
    <row r="36" spans="1:6">
      <c r="A36">
        <f t="shared" ref="A36:A63" si="9">A35+1</f>
        <v>103</v>
      </c>
      <c r="B36">
        <f t="shared" si="5"/>
        <v>11.4</v>
      </c>
      <c r="C36">
        <f t="shared" si="6"/>
        <v>1.1200000000000001</v>
      </c>
      <c r="D36">
        <f t="shared" si="7"/>
        <v>-0.125</v>
      </c>
      <c r="F36">
        <f t="shared" si="8"/>
        <v>9.0350000000000001</v>
      </c>
    </row>
    <row r="37" spans="1:6">
      <c r="A37">
        <f t="shared" si="9"/>
        <v>104</v>
      </c>
      <c r="B37">
        <f t="shared" si="5"/>
        <v>12.4</v>
      </c>
      <c r="C37">
        <f t="shared" si="6"/>
        <v>2.12</v>
      </c>
      <c r="D37">
        <f t="shared" si="7"/>
        <v>-0.125</v>
      </c>
      <c r="F37">
        <f t="shared" si="8"/>
        <v>8.0350000000000001</v>
      </c>
    </row>
    <row r="38" spans="1:6">
      <c r="A38">
        <f t="shared" si="9"/>
        <v>105</v>
      </c>
      <c r="B38">
        <f t="shared" si="5"/>
        <v>13.4</v>
      </c>
      <c r="C38">
        <f t="shared" si="6"/>
        <v>3.12</v>
      </c>
      <c r="D38">
        <f t="shared" si="7"/>
        <v>-0.125</v>
      </c>
      <c r="F38">
        <f t="shared" si="8"/>
        <v>7.0350000000000001</v>
      </c>
    </row>
    <row r="39" spans="1:6">
      <c r="A39">
        <f t="shared" si="9"/>
        <v>106</v>
      </c>
      <c r="B39">
        <f t="shared" si="5"/>
        <v>14.4</v>
      </c>
      <c r="C39">
        <f t="shared" si="6"/>
        <v>4.12</v>
      </c>
      <c r="D39">
        <f t="shared" si="7"/>
        <v>-0.125</v>
      </c>
      <c r="F39">
        <f t="shared" si="8"/>
        <v>6.0350000000000001</v>
      </c>
    </row>
    <row r="40" spans="1:6">
      <c r="A40">
        <f t="shared" si="9"/>
        <v>107</v>
      </c>
      <c r="B40">
        <f t="shared" si="5"/>
        <v>15.4</v>
      </c>
      <c r="C40">
        <f t="shared" si="6"/>
        <v>5.12</v>
      </c>
      <c r="D40">
        <f t="shared" si="7"/>
        <v>-0.125</v>
      </c>
      <c r="F40">
        <f t="shared" si="8"/>
        <v>5.0350000000000001</v>
      </c>
    </row>
    <row r="41" spans="1:6">
      <c r="A41">
        <f t="shared" si="9"/>
        <v>108</v>
      </c>
      <c r="B41">
        <f t="shared" si="5"/>
        <v>16.399999999999999</v>
      </c>
      <c r="C41">
        <f t="shared" si="6"/>
        <v>6.12</v>
      </c>
      <c r="D41">
        <f t="shared" si="7"/>
        <v>-0.125</v>
      </c>
      <c r="F41">
        <f t="shared" si="8"/>
        <v>4.0349999999999984</v>
      </c>
    </row>
    <row r="42" spans="1:6">
      <c r="A42">
        <f t="shared" si="9"/>
        <v>109</v>
      </c>
      <c r="B42">
        <f t="shared" si="5"/>
        <v>17.399999999999999</v>
      </c>
      <c r="C42">
        <f t="shared" si="6"/>
        <v>7.12</v>
      </c>
      <c r="D42">
        <f t="shared" si="7"/>
        <v>-0.125</v>
      </c>
      <c r="F42">
        <f t="shared" si="8"/>
        <v>3.0349999999999984</v>
      </c>
    </row>
    <row r="43" spans="1:6">
      <c r="A43">
        <f t="shared" si="9"/>
        <v>110</v>
      </c>
      <c r="B43">
        <f t="shared" si="5"/>
        <v>18.399999999999999</v>
      </c>
      <c r="C43">
        <f t="shared" si="6"/>
        <v>8.120000000000001</v>
      </c>
      <c r="D43">
        <f t="shared" si="7"/>
        <v>-0.125</v>
      </c>
      <c r="F43">
        <f t="shared" si="8"/>
        <v>2.0349999999999966</v>
      </c>
    </row>
    <row r="44" spans="1:6">
      <c r="A44">
        <f t="shared" si="9"/>
        <v>111</v>
      </c>
      <c r="B44">
        <f t="shared" si="5"/>
        <v>19.399999999999999</v>
      </c>
      <c r="C44">
        <f t="shared" si="6"/>
        <v>9.120000000000001</v>
      </c>
      <c r="D44">
        <f t="shared" si="7"/>
        <v>-0.125</v>
      </c>
      <c r="F44">
        <f t="shared" si="8"/>
        <v>1.0349999999999966</v>
      </c>
    </row>
    <row r="45" spans="1:6">
      <c r="A45">
        <f t="shared" si="9"/>
        <v>112</v>
      </c>
      <c r="B45">
        <f t="shared" si="5"/>
        <v>20.399999999999999</v>
      </c>
      <c r="C45">
        <f t="shared" si="6"/>
        <v>10.120000000000001</v>
      </c>
      <c r="D45">
        <f t="shared" si="7"/>
        <v>-0.125</v>
      </c>
      <c r="F45">
        <f t="shared" si="8"/>
        <v>3.4999999999996589E-2</v>
      </c>
    </row>
    <row r="46" spans="1:6">
      <c r="A46">
        <f t="shared" si="9"/>
        <v>113</v>
      </c>
      <c r="B46">
        <f t="shared" si="5"/>
        <v>21.4</v>
      </c>
      <c r="C46">
        <f t="shared" si="6"/>
        <v>11.120000000000001</v>
      </c>
      <c r="D46">
        <f t="shared" si="7"/>
        <v>-0.125</v>
      </c>
      <c r="F46">
        <f t="shared" si="8"/>
        <v>-0.96500000000000341</v>
      </c>
    </row>
    <row r="47" spans="1:6">
      <c r="A47">
        <f t="shared" si="9"/>
        <v>114</v>
      </c>
      <c r="B47">
        <f t="shared" si="5"/>
        <v>22.4</v>
      </c>
      <c r="C47">
        <f t="shared" si="6"/>
        <v>12.120000000000001</v>
      </c>
      <c r="D47">
        <f t="shared" si="7"/>
        <v>-0.125</v>
      </c>
      <c r="F47">
        <f t="shared" si="8"/>
        <v>-1.9650000000000034</v>
      </c>
    </row>
    <row r="48" spans="1:6">
      <c r="A48">
        <f t="shared" si="9"/>
        <v>115</v>
      </c>
      <c r="B48">
        <f t="shared" si="5"/>
        <v>23.4</v>
      </c>
      <c r="C48">
        <f t="shared" si="6"/>
        <v>13.120000000000001</v>
      </c>
      <c r="D48">
        <f t="shared" si="7"/>
        <v>-0.125</v>
      </c>
      <c r="F48">
        <f t="shared" si="8"/>
        <v>-2.9650000000000034</v>
      </c>
    </row>
    <row r="49" spans="1:6">
      <c r="A49">
        <f t="shared" si="9"/>
        <v>116</v>
      </c>
      <c r="B49">
        <f t="shared" si="5"/>
        <v>24.4</v>
      </c>
      <c r="C49">
        <f t="shared" si="6"/>
        <v>14.120000000000001</v>
      </c>
      <c r="D49">
        <f t="shared" si="7"/>
        <v>-0.125</v>
      </c>
      <c r="F49">
        <f t="shared" si="8"/>
        <v>-3.9650000000000034</v>
      </c>
    </row>
    <row r="50" spans="1:6">
      <c r="A50">
        <f t="shared" si="9"/>
        <v>117</v>
      </c>
      <c r="B50">
        <f t="shared" si="5"/>
        <v>25.4</v>
      </c>
      <c r="C50">
        <f t="shared" si="6"/>
        <v>15.120000000000001</v>
      </c>
      <c r="D50">
        <f t="shared" si="7"/>
        <v>-0.125</v>
      </c>
      <c r="F50">
        <f t="shared" si="8"/>
        <v>-4.9650000000000034</v>
      </c>
    </row>
    <row r="51" spans="1:6">
      <c r="A51">
        <f t="shared" si="9"/>
        <v>118</v>
      </c>
      <c r="B51">
        <f t="shared" si="5"/>
        <v>26.4</v>
      </c>
      <c r="C51">
        <f t="shared" si="6"/>
        <v>16.12</v>
      </c>
      <c r="D51">
        <f t="shared" si="7"/>
        <v>-0.125</v>
      </c>
      <c r="F51">
        <f t="shared" si="8"/>
        <v>-5.9650000000000034</v>
      </c>
    </row>
    <row r="52" spans="1:6">
      <c r="A52">
        <f t="shared" si="9"/>
        <v>119</v>
      </c>
      <c r="B52">
        <f t="shared" si="5"/>
        <v>27.4</v>
      </c>
      <c r="C52">
        <f t="shared" si="6"/>
        <v>17.12</v>
      </c>
      <c r="D52">
        <f t="shared" si="7"/>
        <v>-0.125</v>
      </c>
      <c r="F52">
        <f t="shared" si="8"/>
        <v>-6.9650000000000034</v>
      </c>
    </row>
    <row r="53" spans="1:6">
      <c r="A53">
        <f t="shared" si="9"/>
        <v>120</v>
      </c>
      <c r="B53">
        <f t="shared" si="5"/>
        <v>28.4</v>
      </c>
      <c r="C53">
        <f t="shared" si="6"/>
        <v>18.12</v>
      </c>
      <c r="D53">
        <f t="shared" si="7"/>
        <v>-0.125</v>
      </c>
      <c r="F53">
        <f t="shared" si="8"/>
        <v>-7.9650000000000034</v>
      </c>
    </row>
    <row r="54" spans="1:6">
      <c r="A54">
        <f t="shared" si="9"/>
        <v>121</v>
      </c>
      <c r="B54">
        <f t="shared" si="5"/>
        <v>29.4</v>
      </c>
      <c r="C54">
        <f t="shared" si="6"/>
        <v>19.12</v>
      </c>
      <c r="D54">
        <f t="shared" si="7"/>
        <v>0.875</v>
      </c>
      <c r="F54">
        <f t="shared" si="8"/>
        <v>-7.9650000000000034</v>
      </c>
    </row>
    <row r="55" spans="1:6">
      <c r="A55">
        <f t="shared" si="9"/>
        <v>122</v>
      </c>
      <c r="B55">
        <f t="shared" si="5"/>
        <v>30.4</v>
      </c>
      <c r="C55">
        <f t="shared" si="6"/>
        <v>20.12</v>
      </c>
      <c r="D55">
        <f t="shared" si="7"/>
        <v>1.875</v>
      </c>
      <c r="F55">
        <f t="shared" si="8"/>
        <v>-7.9650000000000034</v>
      </c>
    </row>
    <row r="56" spans="1:6">
      <c r="A56">
        <f t="shared" si="9"/>
        <v>123</v>
      </c>
      <c r="B56">
        <f t="shared" si="5"/>
        <v>31.4</v>
      </c>
      <c r="C56">
        <f t="shared" si="6"/>
        <v>21.12</v>
      </c>
      <c r="D56">
        <f t="shared" si="7"/>
        <v>2.875</v>
      </c>
      <c r="F56">
        <f t="shared" si="8"/>
        <v>-7.9650000000000034</v>
      </c>
    </row>
    <row r="57" spans="1:6">
      <c r="A57">
        <f t="shared" si="9"/>
        <v>124</v>
      </c>
      <c r="B57">
        <f t="shared" si="5"/>
        <v>32.4</v>
      </c>
      <c r="C57">
        <f t="shared" si="6"/>
        <v>22.12</v>
      </c>
      <c r="D57">
        <f t="shared" si="7"/>
        <v>3.875</v>
      </c>
      <c r="F57">
        <f t="shared" si="8"/>
        <v>-7.9650000000000034</v>
      </c>
    </row>
    <row r="58" spans="1:6">
      <c r="A58">
        <f t="shared" si="9"/>
        <v>125</v>
      </c>
      <c r="B58">
        <f t="shared" si="5"/>
        <v>33.4</v>
      </c>
      <c r="C58">
        <f t="shared" si="6"/>
        <v>23.12</v>
      </c>
      <c r="D58">
        <f t="shared" si="7"/>
        <v>4.875</v>
      </c>
      <c r="F58">
        <f t="shared" si="8"/>
        <v>-7.9650000000000034</v>
      </c>
    </row>
    <row r="59" spans="1:6">
      <c r="A59">
        <f t="shared" si="9"/>
        <v>126</v>
      </c>
      <c r="B59">
        <f t="shared" si="5"/>
        <v>34.4</v>
      </c>
      <c r="C59">
        <f t="shared" si="6"/>
        <v>24.12</v>
      </c>
      <c r="D59">
        <f t="shared" si="7"/>
        <v>5.875</v>
      </c>
      <c r="F59">
        <f t="shared" si="8"/>
        <v>-7.9650000000000034</v>
      </c>
    </row>
    <row r="60" spans="1:6">
      <c r="A60">
        <f t="shared" si="9"/>
        <v>127</v>
      </c>
      <c r="B60">
        <f t="shared" si="5"/>
        <v>35.4</v>
      </c>
      <c r="C60">
        <f t="shared" si="6"/>
        <v>25.12</v>
      </c>
      <c r="D60">
        <f t="shared" si="7"/>
        <v>6.875</v>
      </c>
      <c r="F60">
        <f t="shared" si="8"/>
        <v>-7.9650000000000034</v>
      </c>
    </row>
    <row r="61" spans="1:6">
      <c r="A61">
        <f t="shared" si="9"/>
        <v>128</v>
      </c>
      <c r="B61">
        <f t="shared" si="5"/>
        <v>36.4</v>
      </c>
      <c r="C61">
        <f t="shared" si="6"/>
        <v>26.12</v>
      </c>
      <c r="D61">
        <f t="shared" si="7"/>
        <v>7.875</v>
      </c>
      <c r="F61">
        <f t="shared" si="8"/>
        <v>-7.9650000000000034</v>
      </c>
    </row>
    <row r="62" spans="1:6">
      <c r="A62">
        <f t="shared" si="9"/>
        <v>129</v>
      </c>
      <c r="B62">
        <f t="shared" si="5"/>
        <v>37.4</v>
      </c>
      <c r="C62">
        <f t="shared" si="6"/>
        <v>27.12</v>
      </c>
      <c r="D62">
        <f t="shared" si="7"/>
        <v>8.875</v>
      </c>
      <c r="F62">
        <f t="shared" si="8"/>
        <v>-7.9650000000000034</v>
      </c>
    </row>
    <row r="63" spans="1:6">
      <c r="A63">
        <f t="shared" si="9"/>
        <v>130</v>
      </c>
      <c r="B63">
        <f t="shared" si="5"/>
        <v>38.4</v>
      </c>
      <c r="C63">
        <f t="shared" si="6"/>
        <v>28.12</v>
      </c>
      <c r="D63">
        <f t="shared" si="7"/>
        <v>9.875</v>
      </c>
      <c r="F63">
        <f t="shared" si="8"/>
        <v>-7.9650000000000034</v>
      </c>
    </row>
  </sheetData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2B6AB-3A77-414B-B0D2-5AE40C29E6B0}">
  <dimension ref="A2:E7"/>
  <sheetViews>
    <sheetView workbookViewId="0">
      <selection activeCell="B9" sqref="B9"/>
    </sheetView>
  </sheetViews>
  <sheetFormatPr defaultRowHeight="14.5"/>
  <cols>
    <col min="4" max="4" width="3.81640625" customWidth="1"/>
    <col min="5" max="5" width="12" bestFit="1" customWidth="1"/>
  </cols>
  <sheetData>
    <row r="2" spans="1:5">
      <c r="A2" s="4" t="s">
        <v>673</v>
      </c>
    </row>
    <row r="3" spans="1:5">
      <c r="A3" s="61">
        <v>0</v>
      </c>
      <c r="B3">
        <v>-1074.69</v>
      </c>
      <c r="C3" t="s">
        <v>676</v>
      </c>
      <c r="E3" t="s">
        <v>674</v>
      </c>
    </row>
    <row r="4" spans="1:5">
      <c r="A4">
        <v>1</v>
      </c>
      <c r="B4">
        <v>100</v>
      </c>
      <c r="E4">
        <f>B4/(1+$B$7)^A4</f>
        <v>94.401855917914659</v>
      </c>
    </row>
    <row r="5" spans="1:5">
      <c r="A5">
        <v>2</v>
      </c>
      <c r="B5">
        <v>1100</v>
      </c>
      <c r="E5">
        <f>B5/(1+$B$7)^A5</f>
        <v>980.28814408213907</v>
      </c>
    </row>
    <row r="7" spans="1:5">
      <c r="A7" t="s">
        <v>675</v>
      </c>
      <c r="B7" s="196">
        <f>IRR(B3:B5)</f>
        <v>5.930120788041604E-2</v>
      </c>
      <c r="C7" s="196"/>
      <c r="E7">
        <f>SUM(E4:E5)</f>
        <v>1074.6900000000537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4DFD7-D96A-416C-BCF3-1D1E7E50B97B}">
  <dimension ref="A1:N15"/>
  <sheetViews>
    <sheetView workbookViewId="0">
      <selection activeCell="J15" sqref="J15"/>
    </sheetView>
  </sheetViews>
  <sheetFormatPr defaultRowHeight="14.5"/>
  <cols>
    <col min="1" max="1" width="17.7265625" bestFit="1" customWidth="1"/>
    <col min="3" max="3" width="10.26953125" bestFit="1" customWidth="1"/>
    <col min="4" max="4" width="14.1796875" bestFit="1" customWidth="1"/>
    <col min="5" max="5" width="3.54296875" customWidth="1"/>
    <col min="6" max="6" width="12" bestFit="1" customWidth="1"/>
    <col min="7" max="7" width="3.1796875" customWidth="1"/>
    <col min="8" max="8" width="10.54296875" bestFit="1" customWidth="1"/>
    <col min="9" max="9" width="11.54296875" bestFit="1" customWidth="1"/>
    <col min="10" max="10" width="24.81640625" bestFit="1" customWidth="1"/>
    <col min="11" max="11" width="25.453125" bestFit="1" customWidth="1"/>
    <col min="12" max="12" width="24.81640625" bestFit="1" customWidth="1"/>
    <col min="13" max="13" width="2.26953125" customWidth="1"/>
  </cols>
  <sheetData>
    <row r="1" spans="1:14">
      <c r="C1" s="1" t="s">
        <v>229</v>
      </c>
      <c r="H1" s="1" t="s">
        <v>726</v>
      </c>
      <c r="N1" s="3" t="s">
        <v>723</v>
      </c>
    </row>
    <row r="2" spans="1:14">
      <c r="A2" s="1" t="s">
        <v>724</v>
      </c>
      <c r="B2" s="1" t="s">
        <v>716</v>
      </c>
      <c r="C2" s="1" t="s">
        <v>717</v>
      </c>
      <c r="D2" s="1" t="s">
        <v>718</v>
      </c>
      <c r="H2" s="1" t="s">
        <v>727</v>
      </c>
      <c r="I2" s="1" t="s">
        <v>719</v>
      </c>
      <c r="K2" s="1" t="s">
        <v>679</v>
      </c>
      <c r="N2" s="3" t="s">
        <v>211</v>
      </c>
    </row>
    <row r="3" spans="1:14">
      <c r="A3">
        <v>0</v>
      </c>
      <c r="C3" s="1"/>
      <c r="D3" s="1"/>
      <c r="E3" s="1"/>
      <c r="F3" s="2">
        <f>-D10</f>
        <v>-1076.6608936632026</v>
      </c>
      <c r="G3" s="1"/>
      <c r="H3" s="1">
        <v>0</v>
      </c>
      <c r="I3" s="1"/>
    </row>
    <row r="4" spans="1:14">
      <c r="A4">
        <v>0.5</v>
      </c>
      <c r="B4">
        <v>50</v>
      </c>
      <c r="C4">
        <v>3.0224999999999724E-2</v>
      </c>
      <c r="D4">
        <f>B4/(1+C4)^A4</f>
        <v>49.26108374384237</v>
      </c>
      <c r="F4" s="2">
        <f>B4</f>
        <v>50</v>
      </c>
      <c r="H4">
        <v>1</v>
      </c>
      <c r="I4" s="2">
        <f>F4/(1+$F$10)^H4</f>
        <v>48.571726057877918</v>
      </c>
      <c r="K4" s="2">
        <f>F4*(1+$F$10)^3</f>
        <v>54.541792460575564</v>
      </c>
      <c r="N4" s="197">
        <f>K10/D10-1</f>
        <v>0.12291237901598295</v>
      </c>
    </row>
    <row r="5" spans="1:14">
      <c r="A5">
        <v>1</v>
      </c>
      <c r="B5">
        <v>50</v>
      </c>
      <c r="C5">
        <v>4.0399999999999991E-2</v>
      </c>
      <c r="D5">
        <f>B5/(1+C5)^A5</f>
        <v>48.058439061899271</v>
      </c>
      <c r="F5" s="2">
        <f>B5</f>
        <v>50</v>
      </c>
      <c r="H5">
        <v>2</v>
      </c>
      <c r="I5" s="2">
        <f>F5/(1+$F$10)^H5</f>
        <v>47.184251444830736</v>
      </c>
      <c r="K5" s="2">
        <f>F5*(1+$F$10)^2</f>
        <v>52.983780042014153</v>
      </c>
      <c r="L5" s="196"/>
    </row>
    <row r="6" spans="1:14">
      <c r="A6">
        <v>1.5</v>
      </c>
      <c r="B6">
        <v>50</v>
      </c>
      <c r="C6">
        <v>5.062499999999992E-2</v>
      </c>
      <c r="D6">
        <f>B6/(1+C6)^A6</f>
        <v>46.429970545987437</v>
      </c>
      <c r="F6" s="2">
        <f>B6</f>
        <v>50</v>
      </c>
      <c r="H6">
        <v>3</v>
      </c>
      <c r="I6" s="2">
        <f>F6/(1+$F$10)^H6</f>
        <v>45.836410708486973</v>
      </c>
      <c r="K6" s="2">
        <f>F6*(1+$F$10)^1</f>
        <v>51.470272994231415</v>
      </c>
      <c r="N6" s="1" t="s">
        <v>728</v>
      </c>
    </row>
    <row r="7" spans="1:14">
      <c r="A7">
        <v>2</v>
      </c>
      <c r="B7">
        <v>1050</v>
      </c>
      <c r="C7">
        <v>6.0899999999999954E-2</v>
      </c>
      <c r="D7">
        <f>B7/(1+C7)^A7</f>
        <v>932.91140031147347</v>
      </c>
      <c r="F7" s="2">
        <f>B7</f>
        <v>1050</v>
      </c>
      <c r="H7">
        <v>4</v>
      </c>
      <c r="I7" s="2">
        <f>F7/(1+$F$10)^H7</f>
        <v>935.06850545178474</v>
      </c>
      <c r="K7" s="2">
        <v>1050</v>
      </c>
      <c r="N7" s="223">
        <f>(1+N4)^(1/4)-1</f>
        <v>2.9405459884575214E-2</v>
      </c>
    </row>
    <row r="8" spans="1:14">
      <c r="G8" s="217"/>
      <c r="H8" s="217"/>
      <c r="I8" s="2"/>
    </row>
    <row r="9" spans="1:14">
      <c r="B9" s="196"/>
      <c r="C9" s="196"/>
      <c r="D9" s="196" t="s">
        <v>680</v>
      </c>
      <c r="F9" s="1" t="s">
        <v>725</v>
      </c>
      <c r="I9" s="181" t="s">
        <v>680</v>
      </c>
      <c r="K9" s="1" t="s">
        <v>679</v>
      </c>
    </row>
    <row r="10" spans="1:14">
      <c r="B10" s="196"/>
      <c r="C10" s="196"/>
      <c r="D10" s="2">
        <f>SUM(D4:D7)</f>
        <v>1076.6608936632026</v>
      </c>
      <c r="F10" s="222">
        <f>IRR(F3:F7)</f>
        <v>2.9405459884628282E-2</v>
      </c>
      <c r="I10" s="2">
        <f>SUM(I4:I7)</f>
        <v>1076.6608936629805</v>
      </c>
      <c r="J10" t="s">
        <v>720</v>
      </c>
      <c r="K10" s="2">
        <f>SUM(K4:K7)</f>
        <v>1208.9958454968212</v>
      </c>
      <c r="L10" t="s">
        <v>720</v>
      </c>
    </row>
    <row r="11" spans="1:14">
      <c r="B11" s="196"/>
      <c r="I11" s="2">
        <f>-PV(F10,4,50,1000)</f>
        <v>1076.6608936629802</v>
      </c>
      <c r="J11" t="s">
        <v>721</v>
      </c>
      <c r="K11" s="2">
        <f>FV(F10,4,-50)+1000</f>
        <v>1208.9958454968209</v>
      </c>
      <c r="L11" t="s">
        <v>722</v>
      </c>
    </row>
    <row r="12" spans="1:14">
      <c r="F12" s="1" t="s">
        <v>675</v>
      </c>
      <c r="I12" s="196"/>
    </row>
    <row r="13" spans="1:14">
      <c r="F13" s="224">
        <f>(1+F10)^2-1</f>
        <v>5.9675600840283005E-2</v>
      </c>
    </row>
    <row r="15" spans="1:14">
      <c r="G15" s="46"/>
      <c r="H15" s="46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A54EE-422E-48A3-B599-6FF7F9F5C313}">
  <dimension ref="A2:K12"/>
  <sheetViews>
    <sheetView workbookViewId="0">
      <selection activeCell="B12" sqref="B12"/>
    </sheetView>
  </sheetViews>
  <sheetFormatPr defaultRowHeight="14.5"/>
  <cols>
    <col min="1" max="1" width="17" bestFit="1" customWidth="1"/>
    <col min="2" max="2" width="21.1796875" bestFit="1" customWidth="1"/>
    <col min="3" max="3" width="21.453125" bestFit="1" customWidth="1"/>
    <col min="4" max="4" width="17.54296875" bestFit="1" customWidth="1"/>
    <col min="5" max="5" width="4.1796875" customWidth="1"/>
    <col min="7" max="8" width="11.54296875" customWidth="1"/>
    <col min="9" max="9" width="4.54296875" customWidth="1"/>
  </cols>
  <sheetData>
    <row r="2" spans="1:11">
      <c r="B2" s="1" t="s">
        <v>686</v>
      </c>
      <c r="C2" s="1" t="s">
        <v>687</v>
      </c>
      <c r="D2" s="1" t="s">
        <v>688</v>
      </c>
      <c r="F2" s="1"/>
      <c r="G2" s="1"/>
      <c r="H2" s="3"/>
      <c r="J2" s="1"/>
      <c r="K2" s="1"/>
    </row>
    <row r="3" spans="1:11">
      <c r="B3" s="1" t="s">
        <v>683</v>
      </c>
      <c r="C3" s="3" t="s">
        <v>685</v>
      </c>
      <c r="D3" s="1" t="s">
        <v>682</v>
      </c>
      <c r="F3" s="3"/>
      <c r="J3" s="1"/>
      <c r="K3" s="1"/>
    </row>
    <row r="5" spans="1:11">
      <c r="A5" t="s">
        <v>684</v>
      </c>
      <c r="B5" s="218">
        <v>0.05</v>
      </c>
      <c r="C5" s="218">
        <v>0.08</v>
      </c>
      <c r="D5" s="218">
        <v>0.06</v>
      </c>
      <c r="F5" s="218"/>
      <c r="J5" s="218"/>
    </row>
    <row r="6" spans="1:11">
      <c r="A6" t="s">
        <v>681</v>
      </c>
      <c r="B6">
        <f>B5*1000/2</f>
        <v>25</v>
      </c>
      <c r="C6">
        <f>C5*1000/2</f>
        <v>40</v>
      </c>
      <c r="D6">
        <f>D5*1000/2</f>
        <v>30</v>
      </c>
      <c r="F6" s="218"/>
      <c r="J6" s="218"/>
    </row>
    <row r="7" spans="1:11">
      <c r="A7" t="s">
        <v>678</v>
      </c>
      <c r="B7" s="188">
        <v>0.06</v>
      </c>
      <c r="C7" s="188">
        <v>0.06</v>
      </c>
      <c r="D7" s="188">
        <v>0.06</v>
      </c>
      <c r="F7" s="218"/>
      <c r="J7" s="218"/>
    </row>
    <row r="8" spans="1:11">
      <c r="A8" t="s">
        <v>677</v>
      </c>
      <c r="B8" s="189">
        <f>B7/2</f>
        <v>0.03</v>
      </c>
      <c r="C8" s="189">
        <f>C7/2</f>
        <v>0.03</v>
      </c>
      <c r="D8" s="189">
        <f>D7/2</f>
        <v>0.03</v>
      </c>
    </row>
    <row r="9" spans="1:11">
      <c r="A9" t="s">
        <v>689</v>
      </c>
      <c r="B9">
        <v>4</v>
      </c>
      <c r="C9">
        <v>4</v>
      </c>
      <c r="D9">
        <v>4</v>
      </c>
    </row>
    <row r="10" spans="1:11">
      <c r="A10" s="196" t="s">
        <v>680</v>
      </c>
      <c r="B10" s="46">
        <f>PV(B8,B9,B6,1000)</f>
        <v>-981.41450798594815</v>
      </c>
      <c r="C10" s="46">
        <f>PV(C8,C9,C6,1000)</f>
        <v>-1037.1709840281037</v>
      </c>
      <c r="D10" s="46">
        <f>PV(D8,D9,D6,1000)</f>
        <v>-999.99999999999989</v>
      </c>
    </row>
    <row r="11" spans="1:11">
      <c r="F11" s="196"/>
      <c r="G11" s="181"/>
      <c r="J11" s="196"/>
      <c r="K11" s="181"/>
    </row>
    <row r="12" spans="1:11">
      <c r="B12" s="196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BC5B9-D8DB-4158-86B1-93ACD983B8E6}">
  <dimension ref="A1:D27"/>
  <sheetViews>
    <sheetView workbookViewId="0">
      <selection activeCell="D23" sqref="D23:D27"/>
    </sheetView>
  </sheetViews>
  <sheetFormatPr defaultRowHeight="14.5"/>
  <cols>
    <col min="4" max="4" width="15.54296875" bestFit="1" customWidth="1"/>
  </cols>
  <sheetData>
    <row r="1" spans="1:4">
      <c r="A1" s="1" t="s">
        <v>690</v>
      </c>
      <c r="B1" s="1" t="s">
        <v>321</v>
      </c>
      <c r="C1" s="1" t="s">
        <v>691</v>
      </c>
      <c r="D1" s="1" t="s">
        <v>694</v>
      </c>
    </row>
    <row r="2" spans="1:4">
      <c r="A2">
        <v>1</v>
      </c>
      <c r="B2">
        <v>25</v>
      </c>
      <c r="C2">
        <f t="shared" ref="C2:C21" si="0">B2/(1+$B$24)^A2</f>
        <v>24.390243902439025</v>
      </c>
      <c r="D2">
        <f>C2/$C$24</f>
        <v>2.4390243902439008E-2</v>
      </c>
    </row>
    <row r="3" spans="1:4">
      <c r="A3">
        <v>2</v>
      </c>
      <c r="B3">
        <v>25</v>
      </c>
      <c r="C3">
        <f t="shared" si="0"/>
        <v>23.795359904818561</v>
      </c>
      <c r="D3">
        <f t="shared" ref="D3:D21" si="1">C3/$C$24</f>
        <v>2.3795359904818545E-2</v>
      </c>
    </row>
    <row r="4" spans="1:4">
      <c r="A4">
        <v>3</v>
      </c>
      <c r="B4">
        <v>25</v>
      </c>
      <c r="C4">
        <f t="shared" si="0"/>
        <v>23.214985272993719</v>
      </c>
      <c r="D4">
        <f t="shared" si="1"/>
        <v>2.3214985272993705E-2</v>
      </c>
    </row>
    <row r="5" spans="1:4">
      <c r="A5">
        <v>4</v>
      </c>
      <c r="B5">
        <v>25</v>
      </c>
      <c r="C5">
        <f t="shared" si="0"/>
        <v>22.648766119993876</v>
      </c>
      <c r="D5">
        <f t="shared" si="1"/>
        <v>2.2648766119993859E-2</v>
      </c>
    </row>
    <row r="6" spans="1:4">
      <c r="A6">
        <v>5</v>
      </c>
      <c r="B6">
        <v>25</v>
      </c>
      <c r="C6">
        <f t="shared" si="0"/>
        <v>22.096357190237928</v>
      </c>
      <c r="D6">
        <f t="shared" si="1"/>
        <v>2.2096357190237913E-2</v>
      </c>
    </row>
    <row r="7" spans="1:4">
      <c r="A7">
        <v>6</v>
      </c>
      <c r="B7">
        <v>25</v>
      </c>
      <c r="C7">
        <f t="shared" si="0"/>
        <v>21.557421649012614</v>
      </c>
      <c r="D7">
        <f t="shared" si="1"/>
        <v>2.1557421649012601E-2</v>
      </c>
    </row>
    <row r="8" spans="1:4">
      <c r="A8">
        <v>7</v>
      </c>
      <c r="B8">
        <v>25</v>
      </c>
      <c r="C8">
        <f t="shared" si="0"/>
        <v>21.031630877085476</v>
      </c>
      <c r="D8">
        <f t="shared" si="1"/>
        <v>2.1031630877085462E-2</v>
      </c>
    </row>
    <row r="9" spans="1:4">
      <c r="A9">
        <v>8</v>
      </c>
      <c r="B9">
        <v>25</v>
      </c>
      <c r="C9">
        <f t="shared" si="0"/>
        <v>20.518664270327296</v>
      </c>
      <c r="D9">
        <f t="shared" si="1"/>
        <v>2.051866427032728E-2</v>
      </c>
    </row>
    <row r="10" spans="1:4">
      <c r="A10">
        <v>9</v>
      </c>
      <c r="B10">
        <v>25</v>
      </c>
      <c r="C10">
        <f t="shared" si="0"/>
        <v>20.018209044221756</v>
      </c>
      <c r="D10">
        <f t="shared" si="1"/>
        <v>2.0018209044221743E-2</v>
      </c>
    </row>
    <row r="11" spans="1:4">
      <c r="A11">
        <v>10</v>
      </c>
      <c r="B11">
        <v>25</v>
      </c>
      <c r="C11">
        <f t="shared" si="0"/>
        <v>19.529960043143177</v>
      </c>
      <c r="D11">
        <f t="shared" si="1"/>
        <v>1.9529960043143165E-2</v>
      </c>
    </row>
    <row r="12" spans="1:4">
      <c r="A12">
        <v>11</v>
      </c>
      <c r="B12">
        <v>25</v>
      </c>
      <c r="C12">
        <f t="shared" si="0"/>
        <v>19.053619554286026</v>
      </c>
      <c r="D12">
        <f t="shared" si="1"/>
        <v>1.9053619554286014E-2</v>
      </c>
    </row>
    <row r="13" spans="1:4">
      <c r="A13">
        <v>12</v>
      </c>
      <c r="B13">
        <v>25</v>
      </c>
      <c r="C13">
        <f t="shared" si="0"/>
        <v>18.588897126132711</v>
      </c>
      <c r="D13">
        <f t="shared" si="1"/>
        <v>1.8588897126132698E-2</v>
      </c>
    </row>
    <row r="14" spans="1:4">
      <c r="A14">
        <v>13</v>
      </c>
      <c r="B14">
        <v>25</v>
      </c>
      <c r="C14">
        <f t="shared" si="0"/>
        <v>18.135509391348986</v>
      </c>
      <c r="D14">
        <f t="shared" si="1"/>
        <v>1.8135509391348975E-2</v>
      </c>
    </row>
    <row r="15" spans="1:4">
      <c r="A15">
        <v>14</v>
      </c>
      <c r="B15">
        <v>25</v>
      </c>
      <c r="C15">
        <f t="shared" si="0"/>
        <v>17.693179893999012</v>
      </c>
      <c r="D15">
        <f t="shared" si="1"/>
        <v>1.7693179893999E-2</v>
      </c>
    </row>
    <row r="16" spans="1:4">
      <c r="A16">
        <v>15</v>
      </c>
      <c r="B16">
        <v>25</v>
      </c>
      <c r="C16">
        <f t="shared" si="0"/>
        <v>17.261638920974644</v>
      </c>
      <c r="D16">
        <f t="shared" si="1"/>
        <v>1.7261638920974633E-2</v>
      </c>
    </row>
    <row r="17" spans="1:4">
      <c r="A17">
        <v>16</v>
      </c>
      <c r="B17">
        <v>25</v>
      </c>
      <c r="C17">
        <f t="shared" si="0"/>
        <v>16.84062333753624</v>
      </c>
      <c r="D17">
        <f t="shared" si="1"/>
        <v>1.6840623337536227E-2</v>
      </c>
    </row>
    <row r="18" spans="1:4">
      <c r="A18">
        <v>17</v>
      </c>
      <c r="B18">
        <v>25</v>
      </c>
      <c r="C18">
        <f t="shared" si="0"/>
        <v>16.429876426864627</v>
      </c>
      <c r="D18">
        <f t="shared" si="1"/>
        <v>1.6429876426864616E-2</v>
      </c>
    </row>
    <row r="19" spans="1:4">
      <c r="A19">
        <v>18</v>
      </c>
      <c r="B19">
        <v>25</v>
      </c>
      <c r="C19">
        <f t="shared" si="0"/>
        <v>16.029147733526464</v>
      </c>
      <c r="D19">
        <f t="shared" si="1"/>
        <v>1.6029147733526452E-2</v>
      </c>
    </row>
    <row r="20" spans="1:4">
      <c r="A20">
        <v>19</v>
      </c>
      <c r="B20">
        <v>25</v>
      </c>
      <c r="C20">
        <f t="shared" si="0"/>
        <v>15.638192910757526</v>
      </c>
      <c r="D20">
        <f t="shared" si="1"/>
        <v>1.5638192910757517E-2</v>
      </c>
    </row>
    <row r="21" spans="1:4">
      <c r="A21">
        <v>20</v>
      </c>
      <c r="B21">
        <v>1025</v>
      </c>
      <c r="C21">
        <f t="shared" si="0"/>
        <v>625.5277164303011</v>
      </c>
      <c r="D21">
        <f t="shared" si="1"/>
        <v>0.6255277164303007</v>
      </c>
    </row>
    <row r="23" spans="1:4">
      <c r="B23" t="s">
        <v>677</v>
      </c>
      <c r="C23" t="s">
        <v>680</v>
      </c>
      <c r="D23" t="s">
        <v>692</v>
      </c>
    </row>
    <row r="24" spans="1:4">
      <c r="B24">
        <v>2.5000000000000001E-2</v>
      </c>
      <c r="C24">
        <f>SUM(C2:C21)</f>
        <v>1000.0000000000007</v>
      </c>
      <c r="D24">
        <f>SUMPRODUCT(D2:D21,A2:A21)</f>
        <v>15.978891342787984</v>
      </c>
    </row>
    <row r="26" spans="1:4">
      <c r="D26" t="s">
        <v>693</v>
      </c>
    </row>
    <row r="27" spans="1:4">
      <c r="D27">
        <f>D24/(1+B24)</f>
        <v>15.589162285646815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7025B-6162-4AD3-A31B-C310BCF05E03}">
  <dimension ref="A1:R40"/>
  <sheetViews>
    <sheetView topLeftCell="A10" workbookViewId="0">
      <selection activeCell="J37" sqref="J37"/>
    </sheetView>
  </sheetViews>
  <sheetFormatPr defaultRowHeight="14.5"/>
  <cols>
    <col min="4" max="4" width="16.7265625" bestFit="1" customWidth="1"/>
    <col min="5" max="5" width="1.81640625" customWidth="1"/>
    <col min="6" max="6" width="15.1796875" bestFit="1" customWidth="1"/>
    <col min="7" max="7" width="10.1796875" bestFit="1" customWidth="1"/>
    <col min="9" max="9" width="16.7265625" bestFit="1" customWidth="1"/>
    <col min="11" max="11" width="10.81640625" bestFit="1" customWidth="1"/>
  </cols>
  <sheetData>
    <row r="1" spans="1:18">
      <c r="A1" s="1" t="s">
        <v>690</v>
      </c>
      <c r="B1" s="1" t="s">
        <v>321</v>
      </c>
      <c r="C1" s="1" t="s">
        <v>691</v>
      </c>
      <c r="D1" s="1" t="s">
        <v>444</v>
      </c>
      <c r="F1" s="1" t="s">
        <v>695</v>
      </c>
    </row>
    <row r="2" spans="1:18">
      <c r="A2">
        <v>1</v>
      </c>
      <c r="B2">
        <v>30</v>
      </c>
      <c r="C2">
        <f>B2/(1+$B$8)^A2</f>
        <v>29.126213592233007</v>
      </c>
      <c r="D2">
        <f>C2/$C$8</f>
        <v>2.9126213592233007E-2</v>
      </c>
      <c r="F2">
        <f>A2*(1+A2)</f>
        <v>2</v>
      </c>
    </row>
    <row r="3" spans="1:18">
      <c r="A3">
        <v>2</v>
      </c>
      <c r="B3">
        <v>30</v>
      </c>
      <c r="C3">
        <f>B3/(1+$B$8)^A3</f>
        <v>28.277877274012631</v>
      </c>
      <c r="D3">
        <f>C3/$C$8</f>
        <v>2.8277877274012632E-2</v>
      </c>
      <c r="F3">
        <f>A3*(1+A3)</f>
        <v>6</v>
      </c>
    </row>
    <row r="4" spans="1:18">
      <c r="A4">
        <v>3</v>
      </c>
      <c r="B4">
        <v>30</v>
      </c>
      <c r="C4">
        <f>B4/(1+$B$8)^A4</f>
        <v>27.454249780594786</v>
      </c>
      <c r="D4">
        <f>C4/$C$8</f>
        <v>2.7454249780594787E-2</v>
      </c>
      <c r="F4">
        <f>A4*(1+A4)</f>
        <v>12</v>
      </c>
    </row>
    <row r="5" spans="1:18">
      <c r="A5">
        <v>4</v>
      </c>
      <c r="B5">
        <v>1030</v>
      </c>
      <c r="C5">
        <f>B5/(1+$B$8)^A5</f>
        <v>915.14165935315964</v>
      </c>
      <c r="D5">
        <f>C5/$C$8</f>
        <v>0.91514165935315961</v>
      </c>
      <c r="F5">
        <f>A5*(1+A5)</f>
        <v>20</v>
      </c>
    </row>
    <row r="7" spans="1:18">
      <c r="B7" t="s">
        <v>677</v>
      </c>
      <c r="C7" t="s">
        <v>680</v>
      </c>
      <c r="D7" t="s">
        <v>692</v>
      </c>
      <c r="F7" t="s">
        <v>696</v>
      </c>
    </row>
    <row r="8" spans="1:18">
      <c r="B8">
        <v>0.03</v>
      </c>
      <c r="C8">
        <f>SUM(C2:C5)</f>
        <v>1000</v>
      </c>
      <c r="D8">
        <f>SUMPRODUCT(D2:D5,A2:A5)</f>
        <v>3.8286113548946812</v>
      </c>
      <c r="F8">
        <f>SUMPRODUCT(F2:F5,D2:D5)</f>
        <v>18.860203875258872</v>
      </c>
    </row>
    <row r="10" spans="1:18">
      <c r="D10" t="s">
        <v>693</v>
      </c>
    </row>
    <row r="11" spans="1:18">
      <c r="D11">
        <f>D8/(1+B8)</f>
        <v>3.71709840281037</v>
      </c>
    </row>
    <row r="13" spans="1:18">
      <c r="G13" s="46"/>
      <c r="J13" t="s">
        <v>697</v>
      </c>
      <c r="K13" t="s">
        <v>698</v>
      </c>
      <c r="N13">
        <v>1</v>
      </c>
      <c r="O13">
        <v>15</v>
      </c>
      <c r="P13">
        <f>O13/(1.015)^N13</f>
        <v>14.77832512315271</v>
      </c>
      <c r="Q13">
        <f>P13/$P$34</f>
        <v>1.4778325123152672E-2</v>
      </c>
      <c r="R13">
        <f>N13*(1+N13)</f>
        <v>2</v>
      </c>
    </row>
    <row r="14" spans="1:18">
      <c r="G14" s="197"/>
      <c r="I14" t="s">
        <v>699</v>
      </c>
      <c r="J14">
        <v>1000</v>
      </c>
      <c r="K14">
        <v>1000</v>
      </c>
      <c r="N14">
        <v>2</v>
      </c>
      <c r="O14">
        <v>15</v>
      </c>
      <c r="P14">
        <f t="shared" ref="P14:P32" si="0">O14/(1.015)^N14</f>
        <v>14.559926229707107</v>
      </c>
      <c r="Q14">
        <f t="shared" ref="Q14:Q32" si="1">P14/$P$34</f>
        <v>1.4559926229707072E-2</v>
      </c>
      <c r="R14">
        <f t="shared" ref="R14:R32" si="2">N14*(1+N14)</f>
        <v>6</v>
      </c>
    </row>
    <row r="15" spans="1:18">
      <c r="I15" t="s">
        <v>678</v>
      </c>
      <c r="J15">
        <v>0.03</v>
      </c>
      <c r="K15">
        <v>0.06</v>
      </c>
      <c r="N15">
        <v>3</v>
      </c>
      <c r="O15">
        <v>15</v>
      </c>
      <c r="P15">
        <f t="shared" si="0"/>
        <v>14.344754906115378</v>
      </c>
      <c r="Q15">
        <f t="shared" si="1"/>
        <v>1.4344754906115342E-2</v>
      </c>
      <c r="R15">
        <f t="shared" si="2"/>
        <v>12</v>
      </c>
    </row>
    <row r="16" spans="1:18">
      <c r="I16" t="s">
        <v>684</v>
      </c>
      <c r="J16">
        <v>0.03</v>
      </c>
      <c r="K16" s="2">
        <v>0</v>
      </c>
      <c r="N16">
        <v>4</v>
      </c>
      <c r="O16">
        <v>15</v>
      </c>
      <c r="P16">
        <f t="shared" si="0"/>
        <v>14.132763454300868</v>
      </c>
      <c r="Q16">
        <f t="shared" si="1"/>
        <v>1.4132763454300833E-2</v>
      </c>
      <c r="R16">
        <f t="shared" si="2"/>
        <v>20</v>
      </c>
    </row>
    <row r="17" spans="5:18">
      <c r="I17" t="s">
        <v>700</v>
      </c>
      <c r="J17">
        <v>10</v>
      </c>
      <c r="K17">
        <v>30</v>
      </c>
      <c r="N17">
        <v>5</v>
      </c>
      <c r="O17">
        <v>15</v>
      </c>
      <c r="P17">
        <f t="shared" si="0"/>
        <v>13.923904881084599</v>
      </c>
      <c r="Q17">
        <f t="shared" si="1"/>
        <v>1.3923904881084564E-2</v>
      </c>
      <c r="R17">
        <f t="shared" si="2"/>
        <v>30</v>
      </c>
    </row>
    <row r="18" spans="5:18">
      <c r="I18" t="s">
        <v>693</v>
      </c>
      <c r="J18">
        <v>16.920000000000002</v>
      </c>
      <c r="K18">
        <f>60/1.03</f>
        <v>58.252427184466015</v>
      </c>
      <c r="N18">
        <v>6</v>
      </c>
      <c r="O18">
        <v>15</v>
      </c>
      <c r="P18">
        <f t="shared" si="0"/>
        <v>13.718132887768082</v>
      </c>
      <c r="Q18">
        <f t="shared" si="1"/>
        <v>1.3718132887768048E-2</v>
      </c>
      <c r="R18">
        <f t="shared" si="2"/>
        <v>42</v>
      </c>
    </row>
    <row r="19" spans="5:18">
      <c r="I19" t="s">
        <v>696</v>
      </c>
      <c r="J19">
        <f>R36</f>
        <v>348.72152032246402</v>
      </c>
      <c r="K19">
        <f>60*61</f>
        <v>3660</v>
      </c>
      <c r="N19">
        <v>7</v>
      </c>
      <c r="O19">
        <v>15</v>
      </c>
      <c r="P19">
        <f t="shared" si="0"/>
        <v>13.515401859870034</v>
      </c>
      <c r="Q19">
        <f t="shared" si="1"/>
        <v>1.351540185987E-2</v>
      </c>
      <c r="R19">
        <f t="shared" si="2"/>
        <v>56</v>
      </c>
    </row>
    <row r="20" spans="5:18">
      <c r="I20" s="219"/>
      <c r="N20">
        <v>8</v>
      </c>
      <c r="O20">
        <v>15</v>
      </c>
      <c r="P20">
        <f t="shared" si="0"/>
        <v>13.315666857014811</v>
      </c>
      <c r="Q20">
        <f t="shared" si="1"/>
        <v>1.3315666857014779E-2</v>
      </c>
      <c r="R20">
        <f t="shared" si="2"/>
        <v>72</v>
      </c>
    </row>
    <row r="21" spans="5:18">
      <c r="I21" s="219"/>
      <c r="N21">
        <v>9</v>
      </c>
      <c r="O21">
        <v>15</v>
      </c>
      <c r="P21">
        <f t="shared" si="0"/>
        <v>13.118883602970259</v>
      </c>
      <c r="Q21">
        <f t="shared" si="1"/>
        <v>1.3118883602970225E-2</v>
      </c>
      <c r="R21">
        <f t="shared" si="2"/>
        <v>90</v>
      </c>
    </row>
    <row r="22" spans="5:18">
      <c r="J22" s="46">
        <f>-PV(0.031,20,30,1000)</f>
        <v>985.25914806851301</v>
      </c>
      <c r="K22">
        <f>1000/1.031^60</f>
        <v>160.13272088135972</v>
      </c>
      <c r="N22">
        <v>10</v>
      </c>
      <c r="O22">
        <v>15</v>
      </c>
      <c r="P22">
        <f t="shared" si="0"/>
        <v>12.925008475832769</v>
      </c>
      <c r="Q22">
        <f t="shared" si="1"/>
        <v>1.2925008475832736E-2</v>
      </c>
      <c r="R22">
        <f t="shared" si="2"/>
        <v>110</v>
      </c>
    </row>
    <row r="23" spans="5:18">
      <c r="J23" s="197">
        <f>J22/1000-1</f>
        <v>-1.4740851931486998E-2</v>
      </c>
      <c r="K23">
        <f>K22/169.73-1</f>
        <v>-5.6544388844872895E-2</v>
      </c>
      <c r="N23">
        <v>11</v>
      </c>
      <c r="O23">
        <v>15</v>
      </c>
      <c r="P23">
        <f t="shared" si="0"/>
        <v>12.73399849835741</v>
      </c>
      <c r="Q23">
        <f t="shared" si="1"/>
        <v>1.2733998498357378E-2</v>
      </c>
      <c r="R23">
        <f t="shared" si="2"/>
        <v>132</v>
      </c>
    </row>
    <row r="24" spans="5:18">
      <c r="N24">
        <v>12</v>
      </c>
      <c r="O24">
        <v>15</v>
      </c>
      <c r="P24">
        <f t="shared" si="0"/>
        <v>12.545811328430949</v>
      </c>
      <c r="Q24">
        <f t="shared" si="1"/>
        <v>1.2545811328430917E-2</v>
      </c>
      <c r="R24">
        <f t="shared" si="2"/>
        <v>156</v>
      </c>
    </row>
    <row r="25" spans="5:18">
      <c r="N25">
        <v>13</v>
      </c>
      <c r="O25">
        <v>15</v>
      </c>
      <c r="P25">
        <f t="shared" si="0"/>
        <v>12.360405249685664</v>
      </c>
      <c r="Q25">
        <f t="shared" si="1"/>
        <v>1.2360405249685633E-2</v>
      </c>
      <c r="R25">
        <f t="shared" si="2"/>
        <v>182</v>
      </c>
    </row>
    <row r="26" spans="5:18">
      <c r="K26">
        <f>160.13/169.73-1</f>
        <v>-5.6560419489777858E-2</v>
      </c>
      <c r="N26">
        <v>14</v>
      </c>
      <c r="O26">
        <v>15</v>
      </c>
      <c r="P26">
        <f t="shared" si="0"/>
        <v>12.177739162251889</v>
      </c>
      <c r="Q26">
        <f t="shared" si="1"/>
        <v>1.2177739162251859E-2</v>
      </c>
      <c r="R26">
        <f t="shared" si="2"/>
        <v>210</v>
      </c>
    </row>
    <row r="27" spans="5:18">
      <c r="N27">
        <v>15</v>
      </c>
      <c r="O27">
        <v>15</v>
      </c>
      <c r="P27">
        <f t="shared" si="0"/>
        <v>11.997772573647183</v>
      </c>
      <c r="Q27">
        <f t="shared" si="1"/>
        <v>1.1997772573647153E-2</v>
      </c>
      <c r="R27">
        <f t="shared" si="2"/>
        <v>240</v>
      </c>
    </row>
    <row r="28" spans="5:18">
      <c r="K28">
        <f>1.89*(-0.0147)-0.89*(-0.0566)</f>
        <v>2.2590999999999997E-2</v>
      </c>
      <c r="N28">
        <v>16</v>
      </c>
      <c r="O28">
        <v>15</v>
      </c>
      <c r="P28">
        <f t="shared" si="0"/>
        <v>11.820465589800182</v>
      </c>
      <c r="Q28">
        <f t="shared" si="1"/>
        <v>1.1820465589800154E-2</v>
      </c>
      <c r="R28">
        <f t="shared" si="2"/>
        <v>272</v>
      </c>
    </row>
    <row r="29" spans="5:18">
      <c r="E29">
        <v>1</v>
      </c>
      <c r="F29">
        <v>16.920000000000002</v>
      </c>
      <c r="G29">
        <v>4.5955447091860098</v>
      </c>
      <c r="N29">
        <v>17</v>
      </c>
      <c r="O29">
        <v>15</v>
      </c>
      <c r="P29">
        <f t="shared" si="0"/>
        <v>11.645778906207077</v>
      </c>
      <c r="Q29">
        <f t="shared" si="1"/>
        <v>1.1645778906207048E-2</v>
      </c>
      <c r="R29">
        <f t="shared" si="2"/>
        <v>306</v>
      </c>
    </row>
    <row r="30" spans="5:18">
      <c r="E30">
        <v>2</v>
      </c>
      <c r="F30">
        <v>58.25</v>
      </c>
      <c r="G30">
        <v>2.3145078929543752</v>
      </c>
      <c r="N30">
        <v>18</v>
      </c>
      <c r="O30">
        <v>15</v>
      </c>
      <c r="P30">
        <f t="shared" si="0"/>
        <v>11.473673799218796</v>
      </c>
      <c r="Q30">
        <f t="shared" si="1"/>
        <v>1.1473673799218768E-2</v>
      </c>
      <c r="R30">
        <f t="shared" si="2"/>
        <v>342</v>
      </c>
    </row>
    <row r="31" spans="5:18">
      <c r="E31">
        <v>3</v>
      </c>
      <c r="F31">
        <f>40/1.02</f>
        <v>39.215686274509807</v>
      </c>
      <c r="G31">
        <f>1-SUM(G29:G30)</f>
        <v>-5.910052602140385</v>
      </c>
      <c r="N31">
        <v>19</v>
      </c>
      <c r="O31">
        <v>15</v>
      </c>
      <c r="P31">
        <f t="shared" si="0"/>
        <v>11.304112117456944</v>
      </c>
      <c r="Q31">
        <f t="shared" si="1"/>
        <v>1.1304112117456916E-2</v>
      </c>
      <c r="R31">
        <f t="shared" si="2"/>
        <v>380</v>
      </c>
    </row>
    <row r="32" spans="5:18">
      <c r="N32">
        <v>20</v>
      </c>
      <c r="O32">
        <v>1015</v>
      </c>
      <c r="P32">
        <f t="shared" si="0"/>
        <v>753.60747449712972</v>
      </c>
      <c r="Q32">
        <f t="shared" si="1"/>
        <v>0.75360747449712784</v>
      </c>
      <c r="R32">
        <f t="shared" si="2"/>
        <v>420</v>
      </c>
    </row>
    <row r="33" spans="5:18">
      <c r="E33">
        <v>1</v>
      </c>
      <c r="F33">
        <v>348.72</v>
      </c>
      <c r="G33">
        <f>G29</f>
        <v>4.5955447091860098</v>
      </c>
    </row>
    <row r="34" spans="5:18">
      <c r="E34">
        <v>2</v>
      </c>
      <c r="F34" s="220">
        <v>3600</v>
      </c>
      <c r="G34">
        <f>G30</f>
        <v>2.3145078929543752</v>
      </c>
      <c r="P34">
        <f>SUM(P13:P32)</f>
        <v>1000.0000000000025</v>
      </c>
      <c r="Q34">
        <f>SUMPRODUCT(Q13:Q32,N13:N32)</f>
        <v>17.426168366858164</v>
      </c>
    </row>
    <row r="35" spans="5:18">
      <c r="E35">
        <v>3</v>
      </c>
      <c r="F35">
        <f>41*41</f>
        <v>1681</v>
      </c>
      <c r="G35">
        <f>G31</f>
        <v>-5.910052602140385</v>
      </c>
    </row>
    <row r="36" spans="5:18">
      <c r="Q36">
        <f>Q34/1.03</f>
        <v>16.918610064910837</v>
      </c>
      <c r="R36">
        <f>SUMPRODUCT(R13:R32,Q13:Q32)</f>
        <v>348.72152032246402</v>
      </c>
    </row>
    <row r="37" spans="5:18">
      <c r="F37">
        <f>SUMPRODUCT(F29:F31,G29:G31)</f>
        <v>-19.19006746736801</v>
      </c>
      <c r="G37" t="s">
        <v>701</v>
      </c>
      <c r="H37">
        <f>(F37+20)^2</f>
        <v>0.65599070741566945</v>
      </c>
      <c r="J37">
        <f>20*0.0015</f>
        <v>0.03</v>
      </c>
    </row>
    <row r="38" spans="5:18">
      <c r="F38">
        <f>SUMPRODUCT(F33:F35,G33:G35)</f>
        <v>-1.1658574891043827E-2</v>
      </c>
      <c r="G38" t="s">
        <v>702</v>
      </c>
      <c r="H38">
        <f>(F38-0)^2</f>
        <v>1.3592236849007758E-4</v>
      </c>
    </row>
    <row r="40" spans="5:18">
      <c r="F40">
        <f>-F37*0.001+0.5*F38*0.001^2</f>
        <v>1.9190061638080565E-2</v>
      </c>
      <c r="H40">
        <f>H37+H38</f>
        <v>0.65612662978415948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34D84-EADA-4362-87EF-841B59F9552C}">
  <dimension ref="A1:G15"/>
  <sheetViews>
    <sheetView workbookViewId="0">
      <selection activeCell="D15" sqref="D15"/>
    </sheetView>
  </sheetViews>
  <sheetFormatPr defaultRowHeight="14.5"/>
  <cols>
    <col min="3" max="3" width="15.81640625" bestFit="1" customWidth="1"/>
    <col min="6" max="6" width="11" customWidth="1"/>
    <col min="7" max="7" width="18.54296875" bestFit="1" customWidth="1"/>
  </cols>
  <sheetData>
    <row r="1" spans="1:7">
      <c r="A1" s="4" t="s">
        <v>703</v>
      </c>
      <c r="B1" s="4" t="s">
        <v>705</v>
      </c>
      <c r="C1" s="4" t="s">
        <v>711</v>
      </c>
      <c r="D1" s="4" t="s">
        <v>708</v>
      </c>
      <c r="E1" s="4" t="s">
        <v>713</v>
      </c>
    </row>
    <row r="2" spans="1:7">
      <c r="A2" s="4" t="s">
        <v>704</v>
      </c>
      <c r="B2" s="4" t="s">
        <v>706</v>
      </c>
      <c r="C2" s="4" t="s">
        <v>707</v>
      </c>
      <c r="D2" s="4" t="s">
        <v>709</v>
      </c>
      <c r="E2" s="4" t="s">
        <v>708</v>
      </c>
    </row>
    <row r="3" spans="1:7">
      <c r="A3" t="s">
        <v>710</v>
      </c>
      <c r="B3">
        <v>-970</v>
      </c>
      <c r="D3">
        <f>B3</f>
        <v>-970</v>
      </c>
    </row>
    <row r="4" spans="1:7">
      <c r="A4">
        <v>1</v>
      </c>
      <c r="B4">
        <v>20</v>
      </c>
      <c r="C4" s="4">
        <v>1.012</v>
      </c>
      <c r="D4">
        <f>B4/C4</f>
        <v>19.762845849802371</v>
      </c>
      <c r="E4">
        <f>D4*(1+$D$10)^(4-A4)</f>
        <v>20.581627145794204</v>
      </c>
    </row>
    <row r="5" spans="1:7">
      <c r="A5">
        <v>2</v>
      </c>
      <c r="B5">
        <v>20</v>
      </c>
      <c r="C5" s="4">
        <v>1.0149999999999999</v>
      </c>
      <c r="D5">
        <f>B5/(C5*C4)</f>
        <v>19.470784088475245</v>
      </c>
      <c r="E5">
        <f>D5*(1+$D$10)^(4-A5)</f>
        <v>20.004924792569497</v>
      </c>
    </row>
    <row r="6" spans="1:7">
      <c r="A6">
        <v>3</v>
      </c>
      <c r="B6">
        <v>20</v>
      </c>
      <c r="C6" s="4">
        <v>1.0129999999999999</v>
      </c>
      <c r="D6">
        <f>B6/(C6*C5*C4)</f>
        <v>19.220912229491852</v>
      </c>
      <c r="E6">
        <f>D6*(1+$D$10)^(4-A6)</f>
        <v>19.482771481383704</v>
      </c>
    </row>
    <row r="7" spans="1:7">
      <c r="A7">
        <v>4</v>
      </c>
      <c r="B7">
        <v>1020</v>
      </c>
      <c r="C7" s="4">
        <v>1.0169999999999999</v>
      </c>
      <c r="D7">
        <f>B7/(C7*C6*C5*C4)</f>
        <v>963.88055428130247</v>
      </c>
      <c r="E7">
        <f>D7*(1+$D$10)^(4-A7)</f>
        <v>963.88055428130247</v>
      </c>
    </row>
    <row r="9" spans="1:7">
      <c r="B9" t="s">
        <v>677</v>
      </c>
      <c r="D9" t="s">
        <v>712</v>
      </c>
      <c r="E9" t="s">
        <v>708</v>
      </c>
      <c r="F9" t="s">
        <v>714</v>
      </c>
      <c r="G9" t="s">
        <v>715</v>
      </c>
    </row>
    <row r="10" spans="1:7">
      <c r="B10" s="196">
        <f>IRR(B3:B7)</f>
        <v>2.8032880842573382E-2</v>
      </c>
      <c r="D10" s="217">
        <f>IRR(D3:D7)</f>
        <v>1.3623664099046584E-2</v>
      </c>
      <c r="E10">
        <f>SUM(E4:E7)</f>
        <v>1023.9498777010499</v>
      </c>
      <c r="F10">
        <f>E10/(-D3)-1</f>
        <v>5.5618430619639003E-2</v>
      </c>
      <c r="G10" s="221">
        <f>(1+F10)^0.25-1</f>
        <v>1.3623664097903498E-2</v>
      </c>
    </row>
    <row r="12" spans="1:7">
      <c r="C12">
        <f>GEOMEAN(C4:C7)-1</f>
        <v>1.42481827887464E-2</v>
      </c>
    </row>
    <row r="15" spans="1:7">
      <c r="D15">
        <f>0.01362+0.014248</f>
        <v>2.7868E-2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463D5-0623-4D89-B063-59069DF7A370}">
  <dimension ref="A1:G61"/>
  <sheetViews>
    <sheetView workbookViewId="0">
      <selection activeCell="G10" sqref="G10"/>
    </sheetView>
  </sheetViews>
  <sheetFormatPr defaultRowHeight="14.5"/>
  <cols>
    <col min="2" max="3" width="12.453125" bestFit="1" customWidth="1"/>
    <col min="4" max="4" width="10.453125" bestFit="1" customWidth="1"/>
    <col min="5" max="5" width="2.81640625" customWidth="1"/>
    <col min="6" max="6" width="15.81640625" bestFit="1" customWidth="1"/>
  </cols>
  <sheetData>
    <row r="1" spans="1:7">
      <c r="B1" s="273" t="s">
        <v>60</v>
      </c>
      <c r="C1" s="273"/>
    </row>
    <row r="2" spans="1:7">
      <c r="B2" s="3" t="s">
        <v>492</v>
      </c>
      <c r="C2" s="3" t="s">
        <v>172</v>
      </c>
    </row>
    <row r="3" spans="1:7">
      <c r="A3" s="150">
        <v>44227</v>
      </c>
      <c r="B3">
        <v>4.6406882339976571E-2</v>
      </c>
      <c r="C3" s="4">
        <v>1.5027057198686859E-2</v>
      </c>
      <c r="D3">
        <f>B3-C3</f>
        <v>3.1379825141289716E-2</v>
      </c>
      <c r="F3" s="1" t="s">
        <v>729</v>
      </c>
      <c r="G3">
        <f>INTERCEPT(B3:B61,C3:C61)</f>
        <v>1.2033600110203973E-2</v>
      </c>
    </row>
    <row r="4" spans="1:7">
      <c r="A4" s="150">
        <v>44255</v>
      </c>
      <c r="B4">
        <v>4.2003306865113534E-2</v>
      </c>
      <c r="C4" s="4">
        <v>2.9956429749007998E-2</v>
      </c>
      <c r="D4">
        <f t="shared" ref="D4:D61" si="0">B4-C4</f>
        <v>1.2046877116105536E-2</v>
      </c>
      <c r="F4" s="1" t="s">
        <v>730</v>
      </c>
      <c r="G4">
        <f>STDEVP(D3:D61)</f>
        <v>2.1315432589090039E-2</v>
      </c>
    </row>
    <row r="5" spans="1:7">
      <c r="A5" s="150">
        <v>44286</v>
      </c>
      <c r="B5">
        <v>2.1392478128750649E-2</v>
      </c>
      <c r="C5" s="4">
        <v>3.1379592828974694E-3</v>
      </c>
      <c r="D5">
        <f t="shared" si="0"/>
        <v>1.825451884585318E-2</v>
      </c>
      <c r="F5" s="1" t="s">
        <v>731</v>
      </c>
      <c r="G5">
        <f>G3/G4</f>
        <v>0.56454871651833971</v>
      </c>
    </row>
    <row r="6" spans="1:7">
      <c r="A6" s="150">
        <v>44316</v>
      </c>
      <c r="B6">
        <v>1.8358590903989343E-2</v>
      </c>
      <c r="C6" s="4">
        <v>1.794376030047666E-2</v>
      </c>
      <c r="D6">
        <f t="shared" si="0"/>
        <v>4.1483060351268225E-4</v>
      </c>
    </row>
    <row r="7" spans="1:7">
      <c r="A7" s="150">
        <v>44347</v>
      </c>
      <c r="B7">
        <v>9.8915347855179671E-4</v>
      </c>
      <c r="C7" s="4">
        <v>1.318613465613375E-2</v>
      </c>
      <c r="D7">
        <f t="shared" si="0"/>
        <v>-1.2196981177581953E-2</v>
      </c>
    </row>
    <row r="8" spans="1:7">
      <c r="A8" s="150">
        <v>44377</v>
      </c>
      <c r="B8">
        <v>4.9293154036286563E-2</v>
      </c>
      <c r="C8" s="4">
        <v>2.0704242643854079E-2</v>
      </c>
      <c r="D8">
        <f t="shared" si="0"/>
        <v>2.8588911392432484E-2</v>
      </c>
    </row>
    <row r="9" spans="1:7">
      <c r="A9" s="150">
        <v>44408</v>
      </c>
      <c r="B9">
        <v>2.7260303272740601E-2</v>
      </c>
      <c r="C9" s="4">
        <v>2.2045576248363709E-2</v>
      </c>
      <c r="D9">
        <f t="shared" si="0"/>
        <v>5.2147270243768917E-3</v>
      </c>
    </row>
    <row r="10" spans="1:7">
      <c r="A10" s="150">
        <v>44439</v>
      </c>
      <c r="B10">
        <v>1.5864788368056694E-2</v>
      </c>
      <c r="C10" s="4">
        <v>1.036834577673611E-2</v>
      </c>
      <c r="D10">
        <f t="shared" si="0"/>
        <v>5.4964425913205835E-3</v>
      </c>
    </row>
    <row r="11" spans="1:7">
      <c r="A11" s="150">
        <v>44469</v>
      </c>
      <c r="B11">
        <v>6.7585980709298721E-2</v>
      </c>
      <c r="C11" s="4">
        <v>4.1030082699793018E-2</v>
      </c>
      <c r="D11">
        <f t="shared" si="0"/>
        <v>2.6555898009505703E-2</v>
      </c>
    </row>
    <row r="12" spans="1:7">
      <c r="A12" s="150">
        <v>44500</v>
      </c>
      <c r="B12">
        <v>3.7097626721900222E-2</v>
      </c>
      <c r="C12" s="4">
        <v>2.9798915531911569E-2</v>
      </c>
      <c r="D12">
        <f t="shared" si="0"/>
        <v>7.2987111899886527E-3</v>
      </c>
    </row>
    <row r="13" spans="1:7">
      <c r="A13" s="150">
        <v>44530</v>
      </c>
      <c r="B13">
        <v>6.0977145491772231E-2</v>
      </c>
      <c r="C13" s="4">
        <v>4.0166272784708329E-2</v>
      </c>
      <c r="D13">
        <f t="shared" si="0"/>
        <v>2.0810872707063902E-2</v>
      </c>
    </row>
    <row r="14" spans="1:7">
      <c r="A14" s="150">
        <v>44561</v>
      </c>
      <c r="B14">
        <v>2.2998952073737589E-2</v>
      </c>
      <c r="C14" s="4">
        <v>1.388306537482261E-2</v>
      </c>
      <c r="D14">
        <f t="shared" si="0"/>
        <v>9.1158866989149781E-3</v>
      </c>
    </row>
    <row r="15" spans="1:7">
      <c r="A15" s="150">
        <v>44592</v>
      </c>
      <c r="B15">
        <v>5.3229700041933822E-2</v>
      </c>
      <c r="C15" s="4">
        <v>6.5278251466594384E-2</v>
      </c>
      <c r="D15">
        <f t="shared" si="0"/>
        <v>-1.2048551424660561E-2</v>
      </c>
    </row>
    <row r="16" spans="1:7">
      <c r="A16" s="150">
        <v>44620</v>
      </c>
      <c r="B16">
        <v>-1.2075248020869981E-2</v>
      </c>
      <c r="C16" s="4">
        <v>-3.1186461671909502E-2</v>
      </c>
      <c r="D16">
        <f t="shared" si="0"/>
        <v>1.9111213651039523E-2</v>
      </c>
    </row>
    <row r="17" spans="1:4">
      <c r="A17" s="150">
        <v>44651</v>
      </c>
      <c r="B17">
        <v>1.6348494232130438E-2</v>
      </c>
      <c r="C17" s="4">
        <v>-1.7102862911855001E-2</v>
      </c>
      <c r="D17">
        <f t="shared" si="0"/>
        <v>3.3451357143985436E-2</v>
      </c>
    </row>
    <row r="18" spans="1:4">
      <c r="A18" s="150">
        <v>44681</v>
      </c>
      <c r="B18">
        <v>1.9549239290376559E-2</v>
      </c>
      <c r="C18" s="4">
        <v>1.0314072096081098E-2</v>
      </c>
      <c r="D18">
        <f t="shared" si="0"/>
        <v>9.2351671942954607E-3</v>
      </c>
    </row>
    <row r="19" spans="1:4">
      <c r="A19" s="150">
        <v>44712</v>
      </c>
      <c r="B19">
        <v>7.2506315347609901E-2</v>
      </c>
      <c r="C19" s="4">
        <v>2.4795887870656497E-2</v>
      </c>
      <c r="D19">
        <f t="shared" si="0"/>
        <v>4.7710427476953407E-2</v>
      </c>
    </row>
    <row r="20" spans="1:4">
      <c r="A20" s="150">
        <v>44742</v>
      </c>
      <c r="B20">
        <v>2.5676807211442179E-2</v>
      </c>
      <c r="C20" s="4">
        <v>1.889638213341524E-2</v>
      </c>
      <c r="D20">
        <f t="shared" si="0"/>
        <v>6.7804250780269387E-3</v>
      </c>
    </row>
    <row r="21" spans="1:4">
      <c r="A21" s="150">
        <v>44773</v>
      </c>
      <c r="B21">
        <v>4.7207769101732779E-2</v>
      </c>
      <c r="C21" s="4">
        <v>7.7045124709978666E-2</v>
      </c>
      <c r="D21">
        <f t="shared" si="0"/>
        <v>-2.9837355608245887E-2</v>
      </c>
    </row>
    <row r="22" spans="1:4">
      <c r="A22" s="150">
        <v>44804</v>
      </c>
      <c r="B22">
        <v>5.5072876284257118E-2</v>
      </c>
      <c r="C22" s="4">
        <v>3.6500340866408007E-2</v>
      </c>
      <c r="D22">
        <f t="shared" si="0"/>
        <v>1.8572535417849111E-2</v>
      </c>
    </row>
    <row r="23" spans="1:4">
      <c r="A23" s="150">
        <v>44834</v>
      </c>
      <c r="B23">
        <v>-3.3076404614294595E-3</v>
      </c>
      <c r="C23" s="4">
        <v>8.8648634916479556E-3</v>
      </c>
      <c r="D23">
        <f t="shared" si="0"/>
        <v>-1.2172503953077415E-2</v>
      </c>
    </row>
    <row r="24" spans="1:4">
      <c r="A24" s="150">
        <v>44865</v>
      </c>
      <c r="B24">
        <v>-8.018575451593285E-2</v>
      </c>
      <c r="C24" s="4">
        <v>-5.8079838773318418E-2</v>
      </c>
      <c r="D24">
        <f t="shared" si="0"/>
        <v>-2.2105915742614432E-2</v>
      </c>
    </row>
    <row r="25" spans="1:4">
      <c r="A25" s="150">
        <v>44895</v>
      </c>
      <c r="B25">
        <v>3.7068455766481538E-2</v>
      </c>
      <c r="C25" s="4">
        <v>3.3615862838467479E-2</v>
      </c>
      <c r="D25">
        <f t="shared" si="0"/>
        <v>3.4525929280140588E-3</v>
      </c>
    </row>
    <row r="26" spans="1:4">
      <c r="A26" s="150">
        <v>44926</v>
      </c>
      <c r="B26">
        <v>-9.9211028569901105E-2</v>
      </c>
      <c r="C26" s="4">
        <v>-9.7340746727904603E-2</v>
      </c>
      <c r="D26">
        <f t="shared" si="0"/>
        <v>-1.8702818419965017E-3</v>
      </c>
    </row>
    <row r="27" spans="1:4">
      <c r="A27" s="150">
        <v>44957</v>
      </c>
      <c r="B27">
        <v>0.15246085418996611</v>
      </c>
      <c r="C27" s="4">
        <v>9.9066903555539099E-2</v>
      </c>
      <c r="D27">
        <f t="shared" si="0"/>
        <v>5.3393950634427007E-2</v>
      </c>
    </row>
    <row r="28" spans="1:4">
      <c r="A28" s="150">
        <v>44985</v>
      </c>
      <c r="B28">
        <v>7.3838824550135018E-2</v>
      </c>
      <c r="C28" s="4">
        <v>5.7027254394265071E-2</v>
      </c>
      <c r="D28">
        <f t="shared" si="0"/>
        <v>1.6811570155869947E-2</v>
      </c>
    </row>
    <row r="29" spans="1:4">
      <c r="A29" s="150">
        <v>45016</v>
      </c>
      <c r="B29">
        <v>6.5022269630817982E-3</v>
      </c>
      <c r="C29" s="4">
        <v>1.280161461405227E-2</v>
      </c>
      <c r="D29">
        <f t="shared" si="0"/>
        <v>-6.299387650970472E-3</v>
      </c>
    </row>
    <row r="30" spans="1:4">
      <c r="A30" s="150">
        <v>45046</v>
      </c>
      <c r="B30">
        <v>6.9242698969129365E-2</v>
      </c>
      <c r="C30" s="4">
        <v>5.3094783576043539E-2</v>
      </c>
      <c r="D30">
        <f t="shared" si="0"/>
        <v>1.6147915393085827E-2</v>
      </c>
    </row>
    <row r="31" spans="1:4">
      <c r="A31" s="150">
        <v>45077</v>
      </c>
      <c r="B31">
        <v>-4.8239837754769338E-2</v>
      </c>
      <c r="C31" s="4">
        <v>-5.4396628727814568E-2</v>
      </c>
      <c r="D31">
        <f t="shared" si="0"/>
        <v>6.15679097304523E-3</v>
      </c>
    </row>
    <row r="32" spans="1:4">
      <c r="A32" s="150">
        <v>45107</v>
      </c>
      <c r="B32">
        <v>9.8968310183936398E-2</v>
      </c>
      <c r="C32" s="4">
        <v>7.2701745332027945E-2</v>
      </c>
      <c r="D32">
        <f t="shared" si="0"/>
        <v>2.6266564851908453E-2</v>
      </c>
    </row>
    <row r="33" spans="1:4">
      <c r="A33" s="150">
        <v>45138</v>
      </c>
      <c r="B33">
        <v>2.6176910309131017E-2</v>
      </c>
      <c r="C33" s="4">
        <v>2.241888976307552E-2</v>
      </c>
      <c r="D33">
        <f t="shared" si="0"/>
        <v>3.7580205460554968E-3</v>
      </c>
    </row>
    <row r="34" spans="1:4">
      <c r="A34" s="150">
        <v>45169</v>
      </c>
      <c r="B34">
        <v>-1.860897999952723E-2</v>
      </c>
      <c r="C34" s="4">
        <v>-2.091506660870791E-2</v>
      </c>
      <c r="D34">
        <f t="shared" si="0"/>
        <v>2.3060866091806805E-3</v>
      </c>
    </row>
    <row r="35" spans="1:4">
      <c r="A35" s="150">
        <v>45199</v>
      </c>
      <c r="B35">
        <v>4.0934506723313259E-2</v>
      </c>
      <c r="C35" s="4">
        <v>4.9690399599471552E-2</v>
      </c>
      <c r="D35">
        <f t="shared" si="0"/>
        <v>-8.755892876158293E-3</v>
      </c>
    </row>
    <row r="36" spans="1:4">
      <c r="A36" s="150">
        <v>45230</v>
      </c>
      <c r="B36">
        <v>4.6793785341722204E-2</v>
      </c>
      <c r="C36" s="4">
        <v>2.226163449375922E-2</v>
      </c>
      <c r="D36">
        <f t="shared" si="0"/>
        <v>2.4532150847962984E-2</v>
      </c>
    </row>
    <row r="37" spans="1:4">
      <c r="A37" s="150">
        <v>45260</v>
      </c>
      <c r="B37">
        <v>6.5467149521676371E-2</v>
      </c>
      <c r="C37" s="4">
        <v>5.1320506797257276E-2</v>
      </c>
      <c r="D37">
        <f t="shared" si="0"/>
        <v>1.4146642724419095E-2</v>
      </c>
    </row>
    <row r="38" spans="1:4">
      <c r="A38" s="150">
        <v>45291</v>
      </c>
      <c r="B38">
        <v>5.0025681414097939E-2</v>
      </c>
      <c r="C38" s="4">
        <v>2.922090287583436E-2</v>
      </c>
      <c r="D38">
        <f t="shared" si="0"/>
        <v>2.0804778538263579E-2</v>
      </c>
    </row>
    <row r="39" spans="1:4">
      <c r="A39" s="150">
        <v>45322</v>
      </c>
      <c r="B39">
        <v>-2.0826228735037009E-3</v>
      </c>
      <c r="C39" s="4">
        <v>-1.1984221211968279E-2</v>
      </c>
      <c r="D39">
        <f t="shared" si="0"/>
        <v>9.9015983384645786E-3</v>
      </c>
    </row>
    <row r="40" spans="1:4">
      <c r="A40" s="150">
        <v>45350</v>
      </c>
      <c r="B40">
        <v>-7.3724074975737713E-2</v>
      </c>
      <c r="C40" s="4">
        <v>-8.4419313124761294E-2</v>
      </c>
      <c r="D40">
        <f t="shared" si="0"/>
        <v>1.0695238149023581E-2</v>
      </c>
    </row>
    <row r="41" spans="1:4">
      <c r="A41" s="150">
        <v>45382</v>
      </c>
      <c r="B41">
        <v>-0.18560373923925208</v>
      </c>
      <c r="C41" s="4">
        <v>-0.16176281455386571</v>
      </c>
      <c r="D41">
        <f t="shared" si="0"/>
        <v>-2.3840924685386372E-2</v>
      </c>
    </row>
    <row r="42" spans="1:4">
      <c r="A42" s="150">
        <v>45412</v>
      </c>
      <c r="B42">
        <v>0.1783266148525863</v>
      </c>
      <c r="C42" s="4">
        <v>0.17407544730376129</v>
      </c>
      <c r="D42">
        <f t="shared" si="0"/>
        <v>4.2511675488250134E-3</v>
      </c>
    </row>
    <row r="43" spans="1:4">
      <c r="A43" s="150">
        <v>45443</v>
      </c>
      <c r="B43">
        <v>0.11179527719583469</v>
      </c>
      <c r="C43" s="4">
        <v>4.1789791198676401E-2</v>
      </c>
      <c r="D43">
        <f t="shared" si="0"/>
        <v>7.0005485997158293E-2</v>
      </c>
    </row>
    <row r="44" spans="1:4">
      <c r="A44" s="150">
        <v>45473</v>
      </c>
      <c r="B44">
        <v>5.500199386186104E-2</v>
      </c>
      <c r="C44" s="4">
        <v>-1.2114089541183292E-3</v>
      </c>
      <c r="D44">
        <f t="shared" si="0"/>
        <v>5.621340281597937E-2</v>
      </c>
    </row>
    <row r="45" spans="1:4">
      <c r="A45" s="150">
        <v>45504</v>
      </c>
      <c r="B45">
        <v>5.9933118745561238E-2</v>
      </c>
      <c r="C45" s="4">
        <v>4.3207106749235211E-2</v>
      </c>
      <c r="D45">
        <f t="shared" si="0"/>
        <v>1.6726011996326028E-2</v>
      </c>
    </row>
    <row r="46" spans="1:4">
      <c r="A46" s="150">
        <v>45535</v>
      </c>
      <c r="B46">
        <v>8.7198671209930523E-2</v>
      </c>
      <c r="C46" s="4">
        <v>4.8343947206453027E-2</v>
      </c>
      <c r="D46">
        <f t="shared" si="0"/>
        <v>3.8854724003477496E-2</v>
      </c>
    </row>
    <row r="47" spans="1:4">
      <c r="A47" s="150">
        <v>45565</v>
      </c>
      <c r="B47">
        <v>-7.2008841314706706E-3</v>
      </c>
      <c r="C47" s="4">
        <v>-9.8414284636068258E-3</v>
      </c>
      <c r="D47">
        <f t="shared" si="0"/>
        <v>2.6405443321361553E-3</v>
      </c>
    </row>
    <row r="48" spans="1:4">
      <c r="A48" s="150">
        <v>45596</v>
      </c>
      <c r="B48">
        <v>5.2692342697910274E-2</v>
      </c>
      <c r="C48" s="4">
        <v>1.3095390111224898E-3</v>
      </c>
      <c r="D48">
        <f t="shared" si="0"/>
        <v>5.1382803686787784E-2</v>
      </c>
    </row>
    <row r="49" spans="1:4">
      <c r="A49" s="150">
        <v>45626</v>
      </c>
      <c r="B49">
        <v>0.1877461249305484</v>
      </c>
      <c r="C49" s="4">
        <v>0.15308795610704679</v>
      </c>
      <c r="D49">
        <f t="shared" si="0"/>
        <v>3.4658168823501617E-2</v>
      </c>
    </row>
    <row r="50" spans="1:4">
      <c r="A50" s="150">
        <v>45657</v>
      </c>
      <c r="B50">
        <v>0.11341339017418449</v>
      </c>
      <c r="C50" s="4">
        <v>5.2632977167595386E-2</v>
      </c>
      <c r="D50">
        <f t="shared" si="0"/>
        <v>6.0780413006589103E-2</v>
      </c>
    </row>
    <row r="51" spans="1:4">
      <c r="A51" s="150">
        <v>45688</v>
      </c>
      <c r="B51">
        <v>4.7333478578069563E-2</v>
      </c>
      <c r="C51" s="4">
        <v>4.1992136263190906E-3</v>
      </c>
      <c r="D51">
        <f t="shared" si="0"/>
        <v>4.3134264951750476E-2</v>
      </c>
    </row>
    <row r="52" spans="1:4">
      <c r="A52" s="150">
        <v>45716</v>
      </c>
      <c r="B52">
        <v>0.10132406414712102</v>
      </c>
      <c r="C52" s="4">
        <v>7.7652022646892402E-2</v>
      </c>
      <c r="D52">
        <f t="shared" si="0"/>
        <v>2.3672041500228613E-2</v>
      </c>
    </row>
    <row r="53" spans="1:4">
      <c r="A53" s="150">
        <v>45747</v>
      </c>
      <c r="B53">
        <v>4.1484093508839102E-2</v>
      </c>
      <c r="C53" s="4">
        <v>5.9653289144261726E-2</v>
      </c>
      <c r="D53">
        <f t="shared" si="0"/>
        <v>-1.8169195635422623E-2</v>
      </c>
    </row>
    <row r="54" spans="1:4">
      <c r="A54" s="150">
        <v>45777</v>
      </c>
      <c r="B54">
        <v>6.2439983381125538E-2</v>
      </c>
      <c r="C54" s="4">
        <v>4.6268386769371901E-2</v>
      </c>
      <c r="D54">
        <f t="shared" si="0"/>
        <v>1.6171596611753637E-2</v>
      </c>
    </row>
    <row r="55" spans="1:4">
      <c r="A55" s="150">
        <v>45808</v>
      </c>
      <c r="B55">
        <v>1.9232096966108621E-2</v>
      </c>
      <c r="C55" s="4">
        <v>2.048766818341981E-3</v>
      </c>
      <c r="D55">
        <f t="shared" si="0"/>
        <v>1.7183330147766639E-2</v>
      </c>
    </row>
    <row r="56" spans="1:4">
      <c r="A56" s="150">
        <v>45838</v>
      </c>
      <c r="B56">
        <v>3.3525390118283559E-2</v>
      </c>
      <c r="C56" s="4">
        <v>3.192558071520251E-2</v>
      </c>
      <c r="D56">
        <f t="shared" si="0"/>
        <v>1.5998094030810484E-3</v>
      </c>
    </row>
    <row r="57" spans="1:4">
      <c r="A57" s="150">
        <v>45869</v>
      </c>
      <c r="B57">
        <v>-8.1244841057695211E-3</v>
      </c>
      <c r="C57" s="4">
        <v>1.6598965539895719E-2</v>
      </c>
      <c r="D57">
        <f t="shared" si="0"/>
        <v>-2.4723449645665238E-2</v>
      </c>
    </row>
    <row r="58" spans="1:4">
      <c r="A58" s="150">
        <v>45900</v>
      </c>
      <c r="B58">
        <v>4.9357519800720263E-2</v>
      </c>
      <c r="C58" s="4">
        <v>2.559100282320426E-2</v>
      </c>
      <c r="D58">
        <f t="shared" si="0"/>
        <v>2.3766516977516004E-2</v>
      </c>
    </row>
    <row r="59" spans="1:4">
      <c r="A59" s="150">
        <v>45930</v>
      </c>
      <c r="B59">
        <v>-9.8609219404099408E-3</v>
      </c>
      <c r="C59" s="4">
        <v>-3.2096284108191778E-2</v>
      </c>
      <c r="D59">
        <f t="shared" si="0"/>
        <v>2.2235362167781839E-2</v>
      </c>
    </row>
    <row r="60" spans="1:4">
      <c r="A60" s="150">
        <v>45961</v>
      </c>
      <c r="B60">
        <v>6.1638184940862664E-2</v>
      </c>
      <c r="C60" s="4">
        <v>4.8684360835778942E-2</v>
      </c>
      <c r="D60">
        <f t="shared" si="0"/>
        <v>1.2953824105083722E-2</v>
      </c>
    </row>
    <row r="61" spans="1:4">
      <c r="A61" s="150">
        <v>45991</v>
      </c>
      <c r="B61">
        <v>-3.1956615356035591E-2</v>
      </c>
      <c r="C61" s="4">
        <v>-3.067594853037613E-2</v>
      </c>
      <c r="D61">
        <f t="shared" si="0"/>
        <v>-1.2806668256594607E-3</v>
      </c>
    </row>
  </sheetData>
  <mergeCells count="1">
    <mergeCell ref="B1:C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DF452-4428-40FF-A64B-678CFE28C5BE}">
  <dimension ref="B1:I32"/>
  <sheetViews>
    <sheetView workbookViewId="0">
      <selection activeCell="G10" sqref="G10"/>
    </sheetView>
  </sheetViews>
  <sheetFormatPr defaultRowHeight="14.5"/>
  <cols>
    <col min="2" max="2" width="11.1796875" customWidth="1"/>
    <col min="8" max="8" width="1.54296875" customWidth="1"/>
  </cols>
  <sheetData>
    <row r="1" spans="2:9">
      <c r="C1" s="273" t="s">
        <v>157</v>
      </c>
      <c r="D1" s="273"/>
      <c r="E1" s="273"/>
      <c r="F1" s="273"/>
      <c r="G1" s="273"/>
    </row>
    <row r="2" spans="2:9">
      <c r="C2" s="3" t="s">
        <v>0</v>
      </c>
      <c r="D2" s="3" t="s">
        <v>1</v>
      </c>
      <c r="E2" s="3" t="s">
        <v>2</v>
      </c>
      <c r="F2" s="3" t="s">
        <v>433</v>
      </c>
      <c r="G2" s="3" t="s">
        <v>434</v>
      </c>
    </row>
    <row r="3" spans="2:9">
      <c r="B3" s="164" t="s">
        <v>0</v>
      </c>
      <c r="C3" s="229">
        <v>2.5000000000000001E-3</v>
      </c>
      <c r="D3" s="229">
        <v>1.1999999999999999E-3</v>
      </c>
      <c r="E3" s="229">
        <v>8.0000000000000004E-4</v>
      </c>
      <c r="F3" s="229">
        <v>1E-3</v>
      </c>
      <c r="G3" s="229">
        <v>6.9999999999999999E-4</v>
      </c>
    </row>
    <row r="4" spans="2:9">
      <c r="B4" s="227" t="s">
        <v>1</v>
      </c>
      <c r="C4" s="229">
        <v>1.1999999999999999E-3</v>
      </c>
      <c r="D4" s="229">
        <v>3.0000000000000001E-3</v>
      </c>
      <c r="E4" s="229">
        <v>1.1000000000000001E-3</v>
      </c>
      <c r="F4" s="229">
        <v>1.2999999999999999E-3</v>
      </c>
      <c r="G4" s="229">
        <v>1E-3</v>
      </c>
    </row>
    <row r="5" spans="2:9">
      <c r="B5" s="227" t="s">
        <v>2</v>
      </c>
      <c r="C5" s="229">
        <v>8.0000000000000004E-4</v>
      </c>
      <c r="D5" s="229">
        <v>1.1000000000000001E-3</v>
      </c>
      <c r="E5" s="229">
        <v>2.2000000000000001E-3</v>
      </c>
      <c r="F5" s="229">
        <v>8.9999999999999998E-4</v>
      </c>
      <c r="G5" s="229">
        <v>5.9999999999999995E-4</v>
      </c>
    </row>
    <row r="6" spans="2:9">
      <c r="B6" s="227" t="s">
        <v>433</v>
      </c>
      <c r="C6" s="229">
        <v>1E-3</v>
      </c>
      <c r="D6" s="229">
        <v>1.2999999999999999E-3</v>
      </c>
      <c r="E6" s="229">
        <v>8.9999999999999998E-4</v>
      </c>
      <c r="F6" s="229">
        <v>2.8E-3</v>
      </c>
      <c r="G6" s="229">
        <v>1.1000000000000001E-3</v>
      </c>
    </row>
    <row r="7" spans="2:9">
      <c r="B7" s="227" t="s">
        <v>434</v>
      </c>
      <c r="C7" s="229">
        <v>6.9999999999999999E-4</v>
      </c>
      <c r="D7" s="229">
        <v>1E-3</v>
      </c>
      <c r="E7" s="229">
        <v>5.9999999999999995E-4</v>
      </c>
      <c r="F7" s="229">
        <v>1.1000000000000001E-3</v>
      </c>
      <c r="G7" s="229">
        <v>2E-3</v>
      </c>
    </row>
    <row r="8" spans="2:9">
      <c r="B8" s="227"/>
      <c r="C8" s="209"/>
      <c r="D8" s="209"/>
      <c r="E8" s="209"/>
      <c r="F8" s="209"/>
      <c r="G8" s="209"/>
    </row>
    <row r="9" spans="2:9">
      <c r="C9" s="273" t="s">
        <v>192</v>
      </c>
      <c r="D9" s="273"/>
      <c r="E9" s="273"/>
      <c r="F9" s="273"/>
      <c r="G9" s="273"/>
    </row>
    <row r="10" spans="2:9">
      <c r="C10" s="3" t="s">
        <v>0</v>
      </c>
      <c r="D10" s="3" t="s">
        <v>1</v>
      </c>
      <c r="E10" s="3" t="s">
        <v>2</v>
      </c>
      <c r="F10" s="3" t="s">
        <v>433</v>
      </c>
      <c r="G10" s="3" t="s">
        <v>434</v>
      </c>
    </row>
    <row r="11" spans="2:9">
      <c r="B11" s="227" t="s">
        <v>13</v>
      </c>
      <c r="C11" s="229">
        <v>0.25</v>
      </c>
      <c r="D11" s="229">
        <v>0.24</v>
      </c>
      <c r="E11" s="229">
        <v>0.17</v>
      </c>
      <c r="F11" s="229">
        <v>0.2</v>
      </c>
      <c r="G11" s="229">
        <v>0.18</v>
      </c>
    </row>
    <row r="13" spans="2:9">
      <c r="C13" s="273" t="s">
        <v>444</v>
      </c>
      <c r="D13" s="273"/>
      <c r="E13" s="273"/>
      <c r="F13" s="273"/>
      <c r="G13" s="273"/>
      <c r="I13" s="4" t="s">
        <v>7</v>
      </c>
    </row>
    <row r="14" spans="2:9">
      <c r="C14" s="3"/>
      <c r="D14" s="3"/>
      <c r="E14" s="3"/>
      <c r="F14" s="3"/>
      <c r="G14" s="3"/>
      <c r="I14" s="4"/>
    </row>
    <row r="15" spans="2:9">
      <c r="B15" s="226" t="s">
        <v>492</v>
      </c>
      <c r="C15" s="230">
        <v>0.15</v>
      </c>
      <c r="D15" s="230">
        <v>0.2</v>
      </c>
      <c r="E15" s="230">
        <v>0.35</v>
      </c>
      <c r="F15" s="230">
        <v>0.3</v>
      </c>
      <c r="G15" s="230">
        <v>0</v>
      </c>
      <c r="I15" s="4">
        <f>SUM(C15:G15)</f>
        <v>1</v>
      </c>
    </row>
    <row r="16" spans="2:9">
      <c r="B16" s="226" t="s">
        <v>172</v>
      </c>
      <c r="C16" s="6">
        <v>0</v>
      </c>
      <c r="D16" s="6">
        <v>0.24</v>
      </c>
      <c r="E16" s="6">
        <v>0.26</v>
      </c>
      <c r="F16" s="6">
        <v>0.22</v>
      </c>
      <c r="G16" s="6">
        <v>0.28000000000000003</v>
      </c>
      <c r="I16" s="4">
        <f>SUM(C16:G16)</f>
        <v>1</v>
      </c>
    </row>
    <row r="17" spans="2:9">
      <c r="B17" s="226" t="s">
        <v>228</v>
      </c>
      <c r="C17" s="6">
        <f>C15-C16</f>
        <v>0.15</v>
      </c>
      <c r="D17" s="6">
        <f>D15-D16</f>
        <v>-3.999999999999998E-2</v>
      </c>
      <c r="E17" s="6">
        <f>E15-E16</f>
        <v>8.9999999999999969E-2</v>
      </c>
      <c r="F17" s="6">
        <f>F15-F16</f>
        <v>7.9999999999999988E-2</v>
      </c>
      <c r="G17" s="6">
        <f>G15-G16</f>
        <v>-0.28000000000000003</v>
      </c>
      <c r="I17" s="6">
        <f>I15-I16</f>
        <v>0</v>
      </c>
    </row>
    <row r="18" spans="2:9">
      <c r="B18" s="226"/>
      <c r="C18" s="2"/>
      <c r="D18" s="2"/>
      <c r="E18" s="2"/>
      <c r="F18" s="2"/>
      <c r="G18" s="2"/>
    </row>
    <row r="19" spans="2:9">
      <c r="C19" s="1"/>
      <c r="D19" s="1"/>
      <c r="E19" s="1"/>
      <c r="F19" s="1"/>
      <c r="G19" s="1"/>
      <c r="H19" s="1"/>
    </row>
    <row r="20" spans="2:9">
      <c r="C20" s="1" t="s">
        <v>733</v>
      </c>
      <c r="D20" s="1" t="s">
        <v>69</v>
      </c>
      <c r="E20" s="1" t="s">
        <v>13</v>
      </c>
      <c r="F20" s="1" t="s">
        <v>66</v>
      </c>
      <c r="G20" s="1"/>
      <c r="H20" s="1"/>
    </row>
    <row r="21" spans="2:9">
      <c r="B21" s="1" t="s">
        <v>0</v>
      </c>
      <c r="C21" s="5">
        <f>SUMPRODUCT($C$16:$G$16,C3:G3)</f>
        <v>9.1199999999999994E-4</v>
      </c>
      <c r="D21" s="5">
        <f>C21/$C$28</f>
        <v>0.6762368015185668</v>
      </c>
      <c r="E21" s="5">
        <f>C11</f>
        <v>0.25</v>
      </c>
      <c r="F21" s="5">
        <f>E21-0.02-D21*($C$27-0.02)</f>
        <v>0.11084707557242852</v>
      </c>
      <c r="G21" s="2"/>
      <c r="H21" s="2"/>
    </row>
    <row r="22" spans="2:9">
      <c r="B22" s="1" t="s">
        <v>1</v>
      </c>
      <c r="C22" s="5">
        <f>SUMPRODUCT($C$16:$G$16,C4:G4)</f>
        <v>1.572E-3</v>
      </c>
      <c r="D22" s="5">
        <f>C22/$C$28</f>
        <v>1.1656186973543718</v>
      </c>
      <c r="E22" s="5">
        <f>D11</f>
        <v>0.24</v>
      </c>
      <c r="F22" s="5">
        <f>E22-0.02-D22*($C$27-0.02)</f>
        <v>1.4617985526159644E-2</v>
      </c>
      <c r="G22" s="2"/>
      <c r="H22" s="2"/>
    </row>
    <row r="23" spans="2:9">
      <c r="B23" s="1" t="s">
        <v>2</v>
      </c>
      <c r="C23" s="5">
        <f>SUMPRODUCT($C$16:$G$16,C5:G5)</f>
        <v>1.2019999999999999E-3</v>
      </c>
      <c r="D23" s="5">
        <f>C23/$C$28</f>
        <v>0.89126824059793552</v>
      </c>
      <c r="E23" s="5">
        <f>E11</f>
        <v>0.17</v>
      </c>
      <c r="F23" s="5">
        <f>E23-0.02-D23*($C$27-0.02)</f>
        <v>-7.0414639933562284E-3</v>
      </c>
      <c r="G23" s="2"/>
      <c r="H23" s="2"/>
    </row>
    <row r="24" spans="2:9">
      <c r="B24" s="1" t="s">
        <v>433</v>
      </c>
      <c r="C24" s="5">
        <f>SUMPRODUCT($C$16:$G$16,C6:G6)</f>
        <v>1.4700000000000002E-3</v>
      </c>
      <c r="D24" s="5">
        <f>C24/$C$28</f>
        <v>1.089986949816111</v>
      </c>
      <c r="E24" s="5">
        <f>F11</f>
        <v>0.2</v>
      </c>
      <c r="F24" s="5">
        <f>E24-0.02-D24*($C$27-0.02)</f>
        <v>-1.2055700557598775E-2</v>
      </c>
      <c r="G24" s="2"/>
      <c r="H24" s="2"/>
    </row>
    <row r="25" spans="2:9">
      <c r="B25" s="1" t="s">
        <v>434</v>
      </c>
      <c r="C25" s="5">
        <f>SUMPRODUCT($C$16:$G$16,C7:G7)</f>
        <v>1.1980000000000001E-3</v>
      </c>
      <c r="D25" s="5">
        <f>C25/$C$28</f>
        <v>0.88830228971408232</v>
      </c>
      <c r="E25" s="5">
        <f>G11</f>
        <v>0.18</v>
      </c>
      <c r="F25" s="5">
        <f>E25-0.02-D25*($C$27-0.02)</f>
        <v>3.4811365523786664E-3</v>
      </c>
      <c r="G25" s="2"/>
      <c r="H25" s="2"/>
    </row>
    <row r="27" spans="2:9">
      <c r="B27" s="1" t="s">
        <v>734</v>
      </c>
      <c r="C27" s="4">
        <f>SUMPRODUCT(C16:G16,C11:G11)</f>
        <v>0.19620000000000001</v>
      </c>
    </row>
    <row r="28" spans="2:9">
      <c r="B28" s="1" t="s">
        <v>735</v>
      </c>
      <c r="C28" s="29">
        <f>SUMPRODUCT(MMULT(C16:G16,C3:G7),C16:G16)</f>
        <v>1.3486400000000001E-3</v>
      </c>
    </row>
    <row r="30" spans="2:9">
      <c r="C30" s="1" t="s">
        <v>736</v>
      </c>
      <c r="D30" s="1" t="s">
        <v>737</v>
      </c>
    </row>
    <row r="31" spans="2:9">
      <c r="B31" s="1" t="s">
        <v>752</v>
      </c>
      <c r="C31" s="231" cm="1">
        <f t="array" ref="C31">MMULT(C15:G15,D21:D25)</f>
        <v>0.97349922885277018</v>
      </c>
      <c r="D31" s="231" cm="1">
        <f t="array" ref="D31">MMULT(C17:G17,D21:D25)</f>
        <v>-2.6500771147229873E-2</v>
      </c>
    </row>
    <row r="32" spans="2:9">
      <c r="B32" s="1" t="s">
        <v>738</v>
      </c>
      <c r="C32" s="232" cm="1">
        <f t="array" ref="C32">MMULT(C15:G15,F21:F25)</f>
        <v>1.3469435876141893E-2</v>
      </c>
      <c r="D32" s="232" cm="1">
        <f t="array" ref="D32">MMULT(C17:G17,F21:F25)</f>
        <v>1.3469435876141904E-2</v>
      </c>
    </row>
  </sheetData>
  <mergeCells count="3">
    <mergeCell ref="C13:G13"/>
    <mergeCell ref="C1:G1"/>
    <mergeCell ref="C9:G9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B9F06-4B28-4B84-A692-32259D659EB9}">
  <dimension ref="A1:N25"/>
  <sheetViews>
    <sheetView workbookViewId="0">
      <selection activeCell="G10" sqref="G10"/>
    </sheetView>
  </sheetViews>
  <sheetFormatPr defaultRowHeight="14.5"/>
  <cols>
    <col min="1" max="1" width="18.81640625" bestFit="1" customWidth="1"/>
    <col min="2" max="2" width="10.81640625" customWidth="1"/>
    <col min="3" max="4" width="12" bestFit="1" customWidth="1"/>
    <col min="7" max="7" width="2.54296875" customWidth="1"/>
    <col min="8" max="9" width="11.453125" bestFit="1" customWidth="1"/>
    <col min="10" max="10" width="11.54296875" bestFit="1" customWidth="1"/>
  </cols>
  <sheetData>
    <row r="1" spans="1:14">
      <c r="A1" s="31" t="s">
        <v>157</v>
      </c>
      <c r="B1" s="32"/>
      <c r="C1" s="20"/>
      <c r="D1" s="20"/>
      <c r="E1" s="20"/>
      <c r="H1" s="1"/>
      <c r="I1" s="1"/>
      <c r="J1" s="1"/>
      <c r="M1" s="1"/>
    </row>
    <row r="2" spans="1:14">
      <c r="A2" s="20"/>
      <c r="B2" s="166" t="s">
        <v>495</v>
      </c>
      <c r="C2" s="166" t="s">
        <v>496</v>
      </c>
      <c r="D2" s="166" t="s">
        <v>497</v>
      </c>
      <c r="E2" s="20"/>
      <c r="J2" s="1"/>
      <c r="M2" s="1"/>
    </row>
    <row r="3" spans="1:14">
      <c r="A3" s="166" t="s">
        <v>495</v>
      </c>
      <c r="B3" s="167">
        <v>0.04</v>
      </c>
      <c r="C3" s="167">
        <v>-0.02</v>
      </c>
      <c r="D3" s="167">
        <v>2.5000000000000001E-2</v>
      </c>
      <c r="E3" s="20"/>
      <c r="H3" s="1"/>
      <c r="I3" s="1"/>
      <c r="J3" s="1"/>
      <c r="M3" s="1"/>
      <c r="N3" s="1"/>
    </row>
    <row r="4" spans="1:14">
      <c r="A4" s="166" t="s">
        <v>496</v>
      </c>
      <c r="B4" s="51">
        <v>-0.02</v>
      </c>
      <c r="C4" s="51">
        <v>0.09</v>
      </c>
      <c r="D4" s="51">
        <v>0.04</v>
      </c>
      <c r="E4" s="20"/>
      <c r="H4" s="61"/>
    </row>
    <row r="5" spans="1:14">
      <c r="A5" s="166" t="s">
        <v>497</v>
      </c>
      <c r="B5" s="51">
        <v>2.5000000000000001E-2</v>
      </c>
      <c r="C5" s="51">
        <v>0.04</v>
      </c>
      <c r="D5" s="51">
        <v>0.25</v>
      </c>
      <c r="E5" s="20"/>
      <c r="H5" s="61"/>
    </row>
    <row r="6" spans="1:14">
      <c r="A6" s="34"/>
      <c r="B6" s="35"/>
      <c r="C6" s="35"/>
      <c r="D6" s="35"/>
      <c r="E6" s="20"/>
      <c r="H6" s="61"/>
    </row>
    <row r="7" spans="1:14">
      <c r="A7" s="20"/>
      <c r="B7" s="166" t="s">
        <v>495</v>
      </c>
      <c r="C7" s="166" t="s">
        <v>496</v>
      </c>
      <c r="D7" s="166" t="s">
        <v>497</v>
      </c>
      <c r="E7" s="31"/>
      <c r="G7" s="166"/>
    </row>
    <row r="8" spans="1:14">
      <c r="A8" s="186" t="s">
        <v>13</v>
      </c>
      <c r="B8" s="167">
        <v>0.12</v>
      </c>
      <c r="C8" s="167">
        <v>0.06</v>
      </c>
      <c r="D8" s="167">
        <v>0.08</v>
      </c>
      <c r="E8" s="51"/>
      <c r="G8" s="166"/>
    </row>
    <row r="9" spans="1:14">
      <c r="A9" s="1" t="s">
        <v>740</v>
      </c>
      <c r="B9" s="5">
        <v>0.10534574468085106</v>
      </c>
      <c r="C9" s="5">
        <v>-4.6808510638297877E-2</v>
      </c>
      <c r="D9" s="5">
        <v>-3.5186170212765933E-2</v>
      </c>
    </row>
    <row r="11" spans="1:14">
      <c r="B11" s="273" t="s">
        <v>444</v>
      </c>
      <c r="C11" s="273"/>
      <c r="D11" s="273"/>
      <c r="G11" s="1"/>
    </row>
    <row r="12" spans="1:14">
      <c r="B12" s="166" t="s">
        <v>495</v>
      </c>
      <c r="C12" s="166" t="s">
        <v>496</v>
      </c>
      <c r="D12" s="166" t="s">
        <v>497</v>
      </c>
      <c r="F12" s="166" t="s">
        <v>7</v>
      </c>
    </row>
    <row r="13" spans="1:14">
      <c r="A13" s="1" t="s">
        <v>172</v>
      </c>
      <c r="B13" s="5">
        <v>0.3</v>
      </c>
      <c r="C13" s="5">
        <v>0.6</v>
      </c>
      <c r="D13" s="5">
        <v>0.1</v>
      </c>
      <c r="F13">
        <f>SUM(B13:D13)</f>
        <v>0.99999999999999989</v>
      </c>
    </row>
    <row r="14" spans="1:14">
      <c r="A14" s="1" t="s">
        <v>492</v>
      </c>
      <c r="B14" s="5">
        <v>0.3083333333333097</v>
      </c>
      <c r="C14" s="5">
        <v>0.5</v>
      </c>
      <c r="D14" s="5">
        <f>1-SUM(B14:C14)</f>
        <v>0.1916666666666903</v>
      </c>
      <c r="F14">
        <f>SUM(B14:D14)</f>
        <v>1</v>
      </c>
      <c r="H14" s="1" t="s">
        <v>66</v>
      </c>
      <c r="I14" s="1" t="s">
        <v>739</v>
      </c>
      <c r="J14" s="1" t="s">
        <v>443</v>
      </c>
    </row>
    <row r="15" spans="1:14">
      <c r="A15" s="1" t="s">
        <v>228</v>
      </c>
      <c r="B15" s="5">
        <f>B14-B13</f>
        <v>8.3333333333097115E-3</v>
      </c>
      <c r="C15" s="5">
        <f>C14-C13</f>
        <v>-9.9999999999999978E-2</v>
      </c>
      <c r="D15" s="5">
        <f>D14-D13</f>
        <v>9.1666666666690294E-2</v>
      </c>
      <c r="F15">
        <f>SUM(B15:D15)</f>
        <v>0</v>
      </c>
      <c r="H15" s="29">
        <f>SUMPRODUCT(B15:D15,B9:D9)</f>
        <v>2.3333333333300154E-3</v>
      </c>
      <c r="I15" s="29">
        <f>SQRT(SUMPRODUCT(MMULT(B15:D15,$B$3:$D$5),B15:D15))</f>
        <v>4.8390770469866992E-2</v>
      </c>
      <c r="J15" s="29">
        <f>H15/I15</f>
        <v>4.8218561322204728E-2</v>
      </c>
    </row>
    <row r="17" spans="1:10">
      <c r="A17" s="1" t="s">
        <v>561</v>
      </c>
      <c r="B17">
        <v>10</v>
      </c>
      <c r="H17" s="1" t="s">
        <v>66</v>
      </c>
      <c r="I17" s="1" t="s">
        <v>739</v>
      </c>
      <c r="J17" s="1" t="s">
        <v>443</v>
      </c>
    </row>
    <row r="18" spans="1:10">
      <c r="A18" s="1" t="s">
        <v>562</v>
      </c>
      <c r="B18" s="5">
        <f>$B$17*B15</f>
        <v>8.3333333333097115E-2</v>
      </c>
      <c r="C18" s="5">
        <f>$B$17*C15</f>
        <v>-0.99999999999999978</v>
      </c>
      <c r="D18" s="5">
        <f>$B$17*D15</f>
        <v>0.916666666666903</v>
      </c>
      <c r="F18">
        <f>SUM(B18:D18)</f>
        <v>0</v>
      </c>
      <c r="H18" s="5">
        <f>SUMPRODUCT(B18:D18,B9:D9)</f>
        <v>2.3333333333300149E-2</v>
      </c>
      <c r="I18" s="5">
        <f>SQRT(SUMPRODUCT(MMULT(B18:D18,$B$3:$D$5),B18:D18))</f>
        <v>0.48390770469867</v>
      </c>
      <c r="J18" s="29">
        <f>H18/I18</f>
        <v>4.8218561322204714E-2</v>
      </c>
    </row>
    <row r="19" spans="1:10">
      <c r="A19" s="1" t="s">
        <v>741</v>
      </c>
      <c r="B19" s="5">
        <f>B18+B13</f>
        <v>0.3833333333330971</v>
      </c>
      <c r="C19" s="5">
        <f>C18+C13</f>
        <v>-0.3999999999999998</v>
      </c>
      <c r="D19" s="5">
        <f>D18+D13</f>
        <v>1.0166666666669031</v>
      </c>
      <c r="F19">
        <f>SUM(B19:D19)</f>
        <v>1.0000000000000004</v>
      </c>
    </row>
    <row r="20" spans="1:10">
      <c r="A20" s="1"/>
    </row>
    <row r="21" spans="1:10">
      <c r="A21" s="1"/>
    </row>
    <row r="22" spans="1:10">
      <c r="A22" s="1"/>
    </row>
    <row r="23" spans="1:10">
      <c r="A23" s="1"/>
      <c r="D23" s="40"/>
    </row>
    <row r="24" spans="1:10">
      <c r="D24" s="40"/>
    </row>
    <row r="25" spans="1:10">
      <c r="A25" s="1"/>
      <c r="D25" s="40"/>
    </row>
  </sheetData>
  <mergeCells count="1">
    <mergeCell ref="B11:D1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5F07B-6106-4AAB-9D2B-79111335BEB1}">
  <dimension ref="A1:S40"/>
  <sheetViews>
    <sheetView workbookViewId="0">
      <selection activeCell="G10" sqref="G10"/>
    </sheetView>
  </sheetViews>
  <sheetFormatPr defaultRowHeight="14.5"/>
  <cols>
    <col min="1" max="1" width="11.26953125" customWidth="1"/>
    <col min="2" max="2" width="11.81640625" bestFit="1" customWidth="1"/>
    <col min="3" max="3" width="12.7265625" bestFit="1" customWidth="1"/>
    <col min="6" max="6" width="13.453125" bestFit="1" customWidth="1"/>
    <col min="13" max="13" width="12" bestFit="1" customWidth="1"/>
    <col min="19" max="19" width="10.26953125" bestFit="1" customWidth="1"/>
  </cols>
  <sheetData>
    <row r="1" spans="1:11">
      <c r="B1" s="273" t="s">
        <v>157</v>
      </c>
      <c r="C1" s="273"/>
      <c r="D1" s="273"/>
      <c r="E1" s="273"/>
      <c r="F1" s="273"/>
      <c r="G1" s="273"/>
      <c r="H1" s="273"/>
      <c r="I1" s="273"/>
      <c r="J1" s="273"/>
      <c r="K1" s="273"/>
    </row>
    <row r="2" spans="1:11">
      <c r="B2" s="3" t="s">
        <v>0</v>
      </c>
      <c r="C2" s="3" t="s">
        <v>1</v>
      </c>
      <c r="D2" s="3" t="s">
        <v>2</v>
      </c>
      <c r="E2" s="3" t="s">
        <v>433</v>
      </c>
      <c r="F2" s="3" t="s">
        <v>434</v>
      </c>
      <c r="G2" s="3" t="s">
        <v>140</v>
      </c>
      <c r="H2" s="3" t="s">
        <v>742</v>
      </c>
      <c r="I2" s="3" t="s">
        <v>743</v>
      </c>
      <c r="J2" s="3" t="s">
        <v>744</v>
      </c>
      <c r="K2" s="3" t="s">
        <v>745</v>
      </c>
    </row>
    <row r="3" spans="1:11">
      <c r="A3" s="3" t="s">
        <v>0</v>
      </c>
      <c r="B3" s="5">
        <v>0.04</v>
      </c>
      <c r="C3" s="5">
        <v>0.03</v>
      </c>
      <c r="D3" s="5">
        <v>2.5000000000000001E-2</v>
      </c>
      <c r="E3" s="5">
        <v>0.02</v>
      </c>
      <c r="F3" s="5">
        <v>1.7999999999999999E-2</v>
      </c>
      <c r="G3" s="5">
        <v>1.4999999999999999E-2</v>
      </c>
      <c r="H3" s="5">
        <v>1.2999999999999999E-2</v>
      </c>
      <c r="I3" s="5">
        <v>0.01</v>
      </c>
      <c r="J3" s="5">
        <v>8.0000000000000002E-3</v>
      </c>
      <c r="K3" s="5">
        <v>5.0000000000000001E-3</v>
      </c>
    </row>
    <row r="4" spans="1:11">
      <c r="A4" s="3" t="s">
        <v>1</v>
      </c>
      <c r="B4" s="5">
        <v>0.03</v>
      </c>
      <c r="C4" s="5">
        <v>4.4999999999999998E-2</v>
      </c>
      <c r="D4" s="5">
        <v>2.8000000000000001E-2</v>
      </c>
      <c r="E4" s="5">
        <v>2.4E-2</v>
      </c>
      <c r="F4" s="5">
        <v>0.02</v>
      </c>
      <c r="G4" s="5">
        <v>1.7000000000000001E-2</v>
      </c>
      <c r="H4" s="5">
        <v>1.4E-2</v>
      </c>
      <c r="I4" s="5">
        <v>1.2E-2</v>
      </c>
      <c r="J4" s="5">
        <v>8.9999999999999993E-3</v>
      </c>
      <c r="K4" s="5">
        <v>6.0000000000000001E-3</v>
      </c>
    </row>
    <row r="5" spans="1:11">
      <c r="A5" s="3" t="s">
        <v>2</v>
      </c>
      <c r="B5" s="5">
        <v>2.5000000000000001E-2</v>
      </c>
      <c r="C5" s="5">
        <v>2.8000000000000001E-2</v>
      </c>
      <c r="D5" s="5">
        <v>0.05</v>
      </c>
      <c r="E5" s="5">
        <v>0.03</v>
      </c>
      <c r="F5" s="5">
        <v>2.5000000000000001E-2</v>
      </c>
      <c r="G5" s="5">
        <v>0.02</v>
      </c>
      <c r="H5" s="5">
        <v>1.7000000000000001E-2</v>
      </c>
      <c r="I5" s="5">
        <v>1.4E-2</v>
      </c>
      <c r="J5" s="5">
        <v>0.01</v>
      </c>
      <c r="K5" s="5">
        <v>7.0000000000000001E-3</v>
      </c>
    </row>
    <row r="6" spans="1:11">
      <c r="A6" s="3" t="s">
        <v>433</v>
      </c>
      <c r="B6" s="5">
        <v>0.02</v>
      </c>
      <c r="C6" s="5">
        <v>2.4E-2</v>
      </c>
      <c r="D6" s="5">
        <v>0.03</v>
      </c>
      <c r="E6" s="5">
        <v>5.5E-2</v>
      </c>
      <c r="F6" s="5">
        <v>2.8000000000000001E-2</v>
      </c>
      <c r="G6" s="5">
        <v>2.3E-2</v>
      </c>
      <c r="H6" s="5">
        <v>0.02</v>
      </c>
      <c r="I6" s="5">
        <v>1.6E-2</v>
      </c>
      <c r="J6" s="5">
        <v>1.2E-2</v>
      </c>
      <c r="K6" s="5">
        <v>8.0000000000000002E-3</v>
      </c>
    </row>
    <row r="7" spans="1:11">
      <c r="A7" s="3" t="s">
        <v>434</v>
      </c>
      <c r="B7" s="5">
        <v>1.7999999999999999E-2</v>
      </c>
      <c r="C7" s="5">
        <v>0.02</v>
      </c>
      <c r="D7" s="5">
        <v>2.5000000000000001E-2</v>
      </c>
      <c r="E7" s="5">
        <v>2.8000000000000001E-2</v>
      </c>
      <c r="F7" s="5">
        <v>0.06</v>
      </c>
      <c r="G7" s="5">
        <v>2.5000000000000001E-2</v>
      </c>
      <c r="H7" s="5">
        <v>2.1999999999999999E-2</v>
      </c>
      <c r="I7" s="5">
        <v>1.7999999999999999E-2</v>
      </c>
      <c r="J7" s="5">
        <v>1.2999999999999999E-2</v>
      </c>
      <c r="K7" s="5">
        <v>8.9999999999999993E-3</v>
      </c>
    </row>
    <row r="8" spans="1:11">
      <c r="A8" s="3" t="s">
        <v>140</v>
      </c>
      <c r="B8" s="5">
        <v>1.4999999999999999E-2</v>
      </c>
      <c r="C8" s="5">
        <v>1.7000000000000001E-2</v>
      </c>
      <c r="D8" s="5">
        <v>0.02</v>
      </c>
      <c r="E8" s="5">
        <v>2.3E-2</v>
      </c>
      <c r="F8" s="5">
        <v>2.5000000000000001E-2</v>
      </c>
      <c r="G8" s="5">
        <v>6.5000000000000002E-2</v>
      </c>
      <c r="H8" s="5">
        <v>2.5000000000000001E-2</v>
      </c>
      <c r="I8" s="5">
        <v>0.02</v>
      </c>
      <c r="J8" s="5">
        <v>1.4999999999999999E-2</v>
      </c>
      <c r="K8" s="5">
        <v>0.01</v>
      </c>
    </row>
    <row r="9" spans="1:11">
      <c r="A9" s="3" t="s">
        <v>742</v>
      </c>
      <c r="B9" s="5">
        <v>1.2999999999999999E-2</v>
      </c>
      <c r="C9" s="5">
        <v>1.4E-2</v>
      </c>
      <c r="D9" s="5">
        <v>1.7000000000000001E-2</v>
      </c>
      <c r="E9" s="5">
        <v>0.02</v>
      </c>
      <c r="F9" s="5">
        <v>2.1999999999999999E-2</v>
      </c>
      <c r="G9" s="5">
        <v>2.5000000000000001E-2</v>
      </c>
      <c r="H9" s="5">
        <v>7.0000000000000007E-2</v>
      </c>
      <c r="I9" s="5">
        <v>2.1999999999999999E-2</v>
      </c>
      <c r="J9" s="5">
        <v>1.7000000000000001E-2</v>
      </c>
      <c r="K9" s="5">
        <v>1.2E-2</v>
      </c>
    </row>
    <row r="10" spans="1:11">
      <c r="A10" s="3" t="s">
        <v>743</v>
      </c>
      <c r="B10" s="5">
        <v>0.01</v>
      </c>
      <c r="C10" s="5">
        <v>1.2E-2</v>
      </c>
      <c r="D10" s="5">
        <v>1.4E-2</v>
      </c>
      <c r="E10" s="5">
        <v>1.6E-2</v>
      </c>
      <c r="F10" s="5">
        <v>1.7999999999999999E-2</v>
      </c>
      <c r="G10" s="5">
        <v>0.02</v>
      </c>
      <c r="H10" s="5">
        <v>2.1999999999999999E-2</v>
      </c>
      <c r="I10" s="5">
        <v>7.4999999999999997E-2</v>
      </c>
      <c r="J10" s="5">
        <v>0.02</v>
      </c>
      <c r="K10" s="5">
        <v>1.4999999999999999E-2</v>
      </c>
    </row>
    <row r="11" spans="1:11">
      <c r="A11" s="3" t="s">
        <v>744</v>
      </c>
      <c r="B11" s="5">
        <v>8.0000000000000002E-3</v>
      </c>
      <c r="C11" s="5">
        <v>8.9999999999999993E-3</v>
      </c>
      <c r="D11" s="5">
        <v>0.01</v>
      </c>
      <c r="E11" s="5">
        <v>1.2E-2</v>
      </c>
      <c r="F11" s="5">
        <v>1.2999999999999999E-2</v>
      </c>
      <c r="G11" s="5">
        <v>1.4999999999999999E-2</v>
      </c>
      <c r="H11" s="5">
        <v>1.7000000000000001E-2</v>
      </c>
      <c r="I11" s="5">
        <v>0.02</v>
      </c>
      <c r="J11" s="5">
        <v>0.08</v>
      </c>
      <c r="K11" s="5">
        <v>1.7999999999999999E-2</v>
      </c>
    </row>
    <row r="12" spans="1:11">
      <c r="A12" s="3" t="s">
        <v>745</v>
      </c>
      <c r="B12" s="5">
        <v>5.0000000000000001E-3</v>
      </c>
      <c r="C12" s="5">
        <v>6.0000000000000001E-3</v>
      </c>
      <c r="D12" s="5">
        <v>7.0000000000000001E-3</v>
      </c>
      <c r="E12" s="5">
        <v>8.0000000000000002E-3</v>
      </c>
      <c r="F12" s="5">
        <v>8.9999999999999993E-3</v>
      </c>
      <c r="G12" s="5">
        <v>0.01</v>
      </c>
      <c r="H12" s="5">
        <v>1.2E-2</v>
      </c>
      <c r="I12" s="5">
        <v>1.4999999999999999E-2</v>
      </c>
      <c r="J12" s="5">
        <v>1.7999999999999999E-2</v>
      </c>
      <c r="K12" s="5">
        <v>8.5000000000000006E-2</v>
      </c>
    </row>
    <row r="13" spans="1:11">
      <c r="A13" s="3"/>
    </row>
    <row r="14" spans="1:11">
      <c r="B14" s="273" t="s">
        <v>192</v>
      </c>
      <c r="C14" s="273"/>
      <c r="D14" s="273"/>
      <c r="E14" s="273"/>
      <c r="F14" s="273"/>
      <c r="G14" s="273"/>
      <c r="H14" s="273"/>
      <c r="I14" s="273"/>
      <c r="J14" s="273"/>
      <c r="K14" s="273"/>
    </row>
    <row r="15" spans="1:11">
      <c r="B15" s="3" t="s">
        <v>0</v>
      </c>
      <c r="C15" s="3" t="s">
        <v>1</v>
      </c>
      <c r="D15" s="3" t="s">
        <v>2</v>
      </c>
      <c r="E15" s="3" t="s">
        <v>433</v>
      </c>
      <c r="F15" s="3" t="s">
        <v>434</v>
      </c>
      <c r="G15" s="3" t="s">
        <v>140</v>
      </c>
      <c r="H15" s="3" t="s">
        <v>742</v>
      </c>
      <c r="I15" s="3" t="s">
        <v>743</v>
      </c>
      <c r="J15" s="3" t="s">
        <v>744</v>
      </c>
      <c r="K15" s="3" t="s">
        <v>745</v>
      </c>
    </row>
    <row r="16" spans="1:11">
      <c r="A16" s="3" t="s">
        <v>13</v>
      </c>
      <c r="B16" s="5">
        <v>9.0809310134864318E-2</v>
      </c>
      <c r="C16" s="5">
        <v>0.24055491051035807</v>
      </c>
      <c r="D16" s="5">
        <v>0.13195093951515424</v>
      </c>
      <c r="E16" s="5">
        <v>0.17758941149382437</v>
      </c>
      <c r="F16" s="5">
        <v>0.3315832606128023</v>
      </c>
      <c r="G16" s="5">
        <v>0.16487253028733639</v>
      </c>
      <c r="H16" s="5">
        <v>5.4006303304853849E-2</v>
      </c>
      <c r="I16" s="5">
        <v>0.14352401885472385</v>
      </c>
      <c r="J16" s="5">
        <v>0.27689915176718943</v>
      </c>
      <c r="K16" s="5">
        <v>0.2332999272627205</v>
      </c>
    </row>
    <row r="17" spans="1:13">
      <c r="A17" s="3"/>
    </row>
    <row r="18" spans="1:13">
      <c r="A18" s="3"/>
      <c r="B18" s="273" t="s">
        <v>444</v>
      </c>
      <c r="C18" s="273"/>
      <c r="D18" s="273"/>
      <c r="E18" s="273"/>
      <c r="F18" s="273"/>
      <c r="G18" s="273"/>
      <c r="H18" s="273"/>
      <c r="I18" s="273"/>
      <c r="J18" s="273"/>
      <c r="K18" s="273"/>
      <c r="M18" t="s">
        <v>7</v>
      </c>
    </row>
    <row r="19" spans="1:13">
      <c r="B19" s="3" t="s">
        <v>0</v>
      </c>
      <c r="C19" s="3" t="s">
        <v>1</v>
      </c>
      <c r="D19" s="3" t="s">
        <v>2</v>
      </c>
      <c r="E19" s="3" t="s">
        <v>433</v>
      </c>
      <c r="F19" s="3" t="s">
        <v>434</v>
      </c>
      <c r="G19" s="3" t="s">
        <v>140</v>
      </c>
      <c r="H19" s="3" t="s">
        <v>742</v>
      </c>
      <c r="I19" s="3" t="s">
        <v>743</v>
      </c>
      <c r="J19" s="3" t="s">
        <v>744</v>
      </c>
      <c r="K19" s="3" t="s">
        <v>745</v>
      </c>
    </row>
    <row r="20" spans="1:13">
      <c r="A20" s="1" t="s">
        <v>492</v>
      </c>
      <c r="B20" s="5">
        <f>B21+B22</f>
        <v>-0.11882939085832869</v>
      </c>
      <c r="C20" s="5">
        <f t="shared" ref="C20:K20" si="0">C21+C22</f>
        <v>0.3043957589292855</v>
      </c>
      <c r="D20" s="5">
        <f t="shared" si="0"/>
        <v>5.5280366506288425E-2</v>
      </c>
      <c r="E20" s="5">
        <f t="shared" si="0"/>
        <v>9.9835961993086836E-2</v>
      </c>
      <c r="F20" s="5">
        <f t="shared" si="0"/>
        <v>0.283540452647569</v>
      </c>
      <c r="G20" s="5">
        <f t="shared" si="0"/>
        <v>5.1397672536988452E-2</v>
      </c>
      <c r="H20" s="5">
        <f t="shared" si="0"/>
        <v>-1.120476736454025E-2</v>
      </c>
      <c r="I20" s="5">
        <f t="shared" si="0"/>
        <v>0.10262556308367086</v>
      </c>
      <c r="J20" s="5">
        <f t="shared" si="0"/>
        <v>7.0833019962257812E-2</v>
      </c>
      <c r="K20" s="5">
        <f t="shared" si="0"/>
        <v>0.16212536256372179</v>
      </c>
      <c r="M20" s="5">
        <f>SUM(B20:K20)</f>
        <v>0.99999999999999978</v>
      </c>
    </row>
    <row r="21" spans="1:13">
      <c r="A21" s="1" t="s">
        <v>172</v>
      </c>
      <c r="B21" s="5">
        <v>5.8000000000000003E-2</v>
      </c>
      <c r="C21" s="5">
        <v>0.105</v>
      </c>
      <c r="D21" s="5">
        <v>0.1466049260563845</v>
      </c>
      <c r="E21" s="5">
        <v>0.12924367752404323</v>
      </c>
      <c r="F21" s="5">
        <v>0.14373776951051659</v>
      </c>
      <c r="G21" s="5">
        <v>6.26658399405461E-2</v>
      </c>
      <c r="H21" s="5">
        <v>7.7190714282573236E-2</v>
      </c>
      <c r="I21" s="5">
        <v>0.13700000000000001</v>
      </c>
      <c r="J21" s="5">
        <v>0</v>
      </c>
      <c r="K21" s="5">
        <f>1-SUM(B21:J21)</f>
        <v>0.1405570726859362</v>
      </c>
      <c r="M21" s="5">
        <f>SUM(B21:K21)</f>
        <v>1</v>
      </c>
    </row>
    <row r="22" spans="1:13">
      <c r="A22" s="1" t="s">
        <v>228</v>
      </c>
      <c r="B22" s="5">
        <v>-0.17682939085832869</v>
      </c>
      <c r="C22" s="5">
        <v>0.19939575892928552</v>
      </c>
      <c r="D22" s="5">
        <v>-9.1324559550096079E-2</v>
      </c>
      <c r="E22" s="5">
        <v>-2.9407715530956391E-2</v>
      </c>
      <c r="F22" s="5">
        <v>0.13980268313705244</v>
      </c>
      <c r="G22" s="5">
        <v>-1.126816740355765E-2</v>
      </c>
      <c r="H22" s="5">
        <v>-8.8395481647113486E-2</v>
      </c>
      <c r="I22" s="5">
        <v>-3.4374436916329146E-2</v>
      </c>
      <c r="J22" s="5">
        <v>7.0833019962257812E-2</v>
      </c>
      <c r="K22" s="5">
        <v>2.1568289877785599E-2</v>
      </c>
      <c r="M22" s="5">
        <f>SUM(B22:K22)</f>
        <v>-8.3266726846886741E-17</v>
      </c>
    </row>
    <row r="24" spans="1:13">
      <c r="B24" s="3" t="s">
        <v>749</v>
      </c>
      <c r="C24" s="3" t="s">
        <v>746</v>
      </c>
      <c r="D24" s="3" t="s">
        <v>13</v>
      </c>
      <c r="E24" s="3" t="s">
        <v>66</v>
      </c>
      <c r="F24" s="3" t="s">
        <v>511</v>
      </c>
    </row>
    <row r="25" spans="1:13">
      <c r="A25" s="3" t="s">
        <v>0</v>
      </c>
      <c r="B25" s="29">
        <f>SUMPRODUCT($B$21:$K$21,B3:K3)</f>
        <v>1.8323528801291098E-2</v>
      </c>
      <c r="C25" s="29">
        <f>B25/$B$36</f>
        <v>0.7929416917907659</v>
      </c>
      <c r="D25" s="29">
        <f>B16</f>
        <v>9.0809310134864318E-2</v>
      </c>
      <c r="E25" s="228">
        <f>D25-0.02-C25*($B$37-0.02)</f>
        <v>-6.1959749607669715E-2</v>
      </c>
      <c r="F25" s="29">
        <f>B22</f>
        <v>-0.17682939085832869</v>
      </c>
      <c r="H25" s="273" t="s">
        <v>751</v>
      </c>
      <c r="I25" s="273"/>
      <c r="J25" s="273"/>
    </row>
    <row r="26" spans="1:13">
      <c r="A26" s="3" t="s">
        <v>1</v>
      </c>
      <c r="B26" s="29">
        <f t="shared" ref="B26:B34" si="1">SUMPRODUCT($B$21:$K$21,B4:K4)</f>
        <v>2.1179873295427063E-2</v>
      </c>
      <c r="C26" s="29">
        <f t="shared" ref="C26:C34" si="2">B26/$B$36</f>
        <v>0.91654859415543621</v>
      </c>
      <c r="D26" s="29">
        <f>C16</f>
        <v>0.24055491051035807</v>
      </c>
      <c r="E26" s="228">
        <f t="shared" ref="E26:E34" si="3">D26-0.02-C26*($B$37-0.02)</f>
        <v>6.7089282061010613E-2</v>
      </c>
      <c r="F26" s="29">
        <f>C22</f>
        <v>0.19939575892928552</v>
      </c>
      <c r="H26" s="3" t="s">
        <v>66</v>
      </c>
      <c r="I26" s="3" t="s">
        <v>739</v>
      </c>
      <c r="J26" s="3" t="s">
        <v>443</v>
      </c>
    </row>
    <row r="27" spans="1:13">
      <c r="A27" s="3" t="s">
        <v>2</v>
      </c>
      <c r="B27" s="29">
        <f t="shared" si="1"/>
        <v>2.4658459316719658E-2</v>
      </c>
      <c r="C27" s="29">
        <f t="shared" si="2"/>
        <v>1.0670826924001533</v>
      </c>
      <c r="D27" s="29">
        <f>D16</f>
        <v>0.13195093951515424</v>
      </c>
      <c r="E27" s="228">
        <f t="shared" si="3"/>
        <v>-6.6719910062123453E-2</v>
      </c>
      <c r="F27" s="29">
        <f>D22</f>
        <v>-9.1324559550096079E-2</v>
      </c>
      <c r="H27" cm="1">
        <f t="array" ref="H27">MMULT(B22:K22,E25:E34)</f>
        <v>7.4071444947161225E-2</v>
      </c>
      <c r="I27">
        <f>SQRT(SUMPRODUCT(MMULT(B22:K22,B3:K12),B22:K22))</f>
        <v>5.0000000975558012E-2</v>
      </c>
      <c r="J27">
        <f>H27/I27</f>
        <v>1.4814288700388285</v>
      </c>
    </row>
    <row r="28" spans="1:13">
      <c r="A28" s="3" t="s">
        <v>433</v>
      </c>
      <c r="B28" s="29">
        <f t="shared" si="1"/>
        <v>2.5512792777579892E-2</v>
      </c>
      <c r="C28" s="29">
        <f t="shared" si="2"/>
        <v>1.1040535524978132</v>
      </c>
      <c r="D28" s="29">
        <f>E16</f>
        <v>0.17758941149382437</v>
      </c>
      <c r="E28" s="228">
        <f t="shared" si="3"/>
        <v>-2.7271787744540754E-2</v>
      </c>
      <c r="F28" s="29">
        <f>E22</f>
        <v>-2.9407715530956391E-2</v>
      </c>
    </row>
    <row r="29" spans="1:13">
      <c r="A29" s="3" t="s">
        <v>434</v>
      </c>
      <c r="B29" s="29">
        <f t="shared" si="1"/>
        <v>2.6048067659617508E-2</v>
      </c>
      <c r="C29" s="29">
        <f t="shared" si="2"/>
        <v>1.1272173096069844</v>
      </c>
      <c r="D29" s="29">
        <f>F16</f>
        <v>0.3315832606128023</v>
      </c>
      <c r="E29" s="228">
        <f t="shared" si="3"/>
        <v>0.12284355393394225</v>
      </c>
      <c r="F29" s="29">
        <f>F22</f>
        <v>0.13980268313705244</v>
      </c>
    </row>
    <row r="30" spans="1:13">
      <c r="A30" s="3" t="s">
        <v>140</v>
      </c>
      <c r="B30" s="29">
        <f t="shared" si="1"/>
        <v>2.2301765522002789E-2</v>
      </c>
      <c r="C30" s="29">
        <f t="shared" si="2"/>
        <v>0.96509792817264706</v>
      </c>
      <c r="D30" s="29">
        <f>G16</f>
        <v>0.16487253028733639</v>
      </c>
      <c r="E30" s="228">
        <f t="shared" si="3"/>
        <v>-1.672213147596649E-2</v>
      </c>
      <c r="F30" s="29">
        <f>G22</f>
        <v>-1.126816740355765E-2</v>
      </c>
    </row>
    <row r="31" spans="1:13">
      <c r="A31" s="3" t="s">
        <v>742</v>
      </c>
      <c r="B31" s="29">
        <f t="shared" si="1"/>
        <v>2.213406909319578E-2</v>
      </c>
      <c r="C31" s="29">
        <f t="shared" si="2"/>
        <v>0.95784094774013728</v>
      </c>
      <c r="D31" s="29">
        <f>H16</f>
        <v>5.4006303304853849E-2</v>
      </c>
      <c r="E31" s="228">
        <f t="shared" si="3"/>
        <v>-0.12637325969574137</v>
      </c>
      <c r="F31" s="29">
        <f>H22</f>
        <v>-8.8395481647113486E-2</v>
      </c>
    </row>
    <row r="32" spans="1:13">
      <c r="A32" s="3" t="s">
        <v>743</v>
      </c>
      <c r="B32" s="29">
        <f t="shared" si="1"/>
        <v>2.3882516259679947E-2</v>
      </c>
      <c r="C32" s="29">
        <f t="shared" si="2"/>
        <v>1.0335041384515813</v>
      </c>
      <c r="D32" s="29">
        <f>I16</f>
        <v>0.14352401885472385</v>
      </c>
      <c r="E32" s="228">
        <f t="shared" si="3"/>
        <v>-4.9524484109403064E-2</v>
      </c>
      <c r="F32" s="29">
        <f>I22</f>
        <v>-3.4374436916329146E-2</v>
      </c>
    </row>
    <row r="33" spans="1:19">
      <c r="A33" s="3" t="s">
        <v>744</v>
      </c>
      <c r="B33" s="29">
        <f t="shared" si="1"/>
        <v>1.3816821444747867E-2</v>
      </c>
      <c r="C33" s="29">
        <f t="shared" si="2"/>
        <v>0.59791614870588361</v>
      </c>
      <c r="D33" s="29">
        <f>J16</f>
        <v>0.27689915176718943</v>
      </c>
      <c r="E33" s="228">
        <f t="shared" si="3"/>
        <v>0.15678489911731786</v>
      </c>
      <c r="F33" s="29">
        <f>J22</f>
        <v>7.0833019962257812E-2</v>
      </c>
    </row>
    <row r="34" spans="1:19">
      <c r="A34" s="3" t="s">
        <v>745</v>
      </c>
      <c r="B34" s="29">
        <f t="shared" si="1"/>
        <v>1.9829121977282604E-2</v>
      </c>
      <c r="C34" s="29">
        <f t="shared" si="2"/>
        <v>0.85809549557310383</v>
      </c>
      <c r="D34" s="29">
        <f>K16</f>
        <v>0.2332999272627205</v>
      </c>
      <c r="E34" s="228">
        <f t="shared" si="3"/>
        <v>6.9621604763054068E-2</v>
      </c>
      <c r="F34" s="29">
        <f>K22</f>
        <v>2.1568289877785599E-2</v>
      </c>
      <c r="S34" s="162"/>
    </row>
    <row r="36" spans="1:19">
      <c r="A36" s="1" t="s">
        <v>747</v>
      </c>
      <c r="B36" s="29">
        <f>SUMPRODUCT(MMULT(B21:K21,B3:K12),B21:K21)</f>
        <v>2.3108292817734875E-2</v>
      </c>
      <c r="S36" s="162"/>
    </row>
    <row r="37" spans="1:19">
      <c r="A37" s="1" t="s">
        <v>748</v>
      </c>
      <c r="B37" s="29">
        <f>SUMPRODUCT(B21:K21,B16:K16)</f>
        <v>0.18743861637882939</v>
      </c>
    </row>
    <row r="39" spans="1:19">
      <c r="C39" s="3" t="s">
        <v>750</v>
      </c>
    </row>
    <row r="40" spans="1:19">
      <c r="C40" cm="1">
        <f t="array" ref="C40">MMULT(B22:K22,C25:C34)</f>
        <v>-4.0618897134692133E-13</v>
      </c>
    </row>
  </sheetData>
  <mergeCells count="4">
    <mergeCell ref="B1:K1"/>
    <mergeCell ref="B14:K14"/>
    <mergeCell ref="B18:K18"/>
    <mergeCell ref="H25:J2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CBDEF-CE22-4BC6-BD1D-35847B56C097}">
  <dimension ref="A1:N39"/>
  <sheetViews>
    <sheetView topLeftCell="A10" workbookViewId="0">
      <selection activeCell="L24" sqref="L24"/>
    </sheetView>
  </sheetViews>
  <sheetFormatPr defaultRowHeight="14.5"/>
  <cols>
    <col min="1" max="1" width="11.1796875" bestFit="1" customWidth="1"/>
    <col min="2" max="2" width="10.7265625" bestFit="1" customWidth="1"/>
    <col min="3" max="3" width="11.7265625" bestFit="1" customWidth="1"/>
    <col min="4" max="4" width="5.81640625" bestFit="1" customWidth="1"/>
    <col min="12" max="12" width="11.1796875" bestFit="1" customWidth="1"/>
    <col min="13" max="13" width="2.81640625" customWidth="1"/>
  </cols>
  <sheetData>
    <row r="1" spans="1:12">
      <c r="B1" s="273" t="s">
        <v>157</v>
      </c>
      <c r="C1" s="273"/>
      <c r="D1" s="273"/>
      <c r="E1" s="273"/>
      <c r="F1" s="273"/>
      <c r="G1" s="273"/>
      <c r="H1" s="273"/>
      <c r="I1" s="273"/>
      <c r="J1" s="273"/>
      <c r="K1" s="273"/>
      <c r="L1" s="273"/>
    </row>
    <row r="2" spans="1:12">
      <c r="B2" s="3" t="s">
        <v>0</v>
      </c>
      <c r="C2" s="3" t="s">
        <v>1</v>
      </c>
      <c r="D2" s="3" t="s">
        <v>2</v>
      </c>
      <c r="E2" s="3" t="s">
        <v>433</v>
      </c>
      <c r="F2" s="3" t="s">
        <v>434</v>
      </c>
      <c r="G2" s="3" t="s">
        <v>140</v>
      </c>
      <c r="H2" s="3" t="s">
        <v>742</v>
      </c>
      <c r="I2" s="3" t="s">
        <v>743</v>
      </c>
      <c r="J2" s="3" t="s">
        <v>744</v>
      </c>
      <c r="K2" s="3" t="s">
        <v>745</v>
      </c>
      <c r="L2" s="3" t="s">
        <v>753</v>
      </c>
    </row>
    <row r="3" spans="1:12">
      <c r="A3" s="3" t="s">
        <v>0</v>
      </c>
      <c r="B3">
        <v>0.17299</v>
      </c>
      <c r="C3">
        <v>0.12052</v>
      </c>
      <c r="D3">
        <v>5.5730000000000002E-2</v>
      </c>
      <c r="E3">
        <v>0.1268</v>
      </c>
      <c r="F3">
        <v>0.14338000000000001</v>
      </c>
      <c r="G3">
        <v>8.974E-2</v>
      </c>
      <c r="H3">
        <v>0.15725</v>
      </c>
      <c r="I3">
        <v>7.6219999999999996E-2</v>
      </c>
      <c r="J3">
        <v>0.12442</v>
      </c>
      <c r="K3">
        <v>5.5669999999999997E-2</v>
      </c>
      <c r="L3">
        <v>5.3839999999999999E-2</v>
      </c>
    </row>
    <row r="4" spans="1:12">
      <c r="A4" s="3" t="s">
        <v>1</v>
      </c>
      <c r="B4">
        <v>0.12052</v>
      </c>
      <c r="C4">
        <v>0.13338</v>
      </c>
      <c r="D4">
        <v>4.7300000000000002E-2</v>
      </c>
      <c r="E4">
        <v>0.13214999999999999</v>
      </c>
      <c r="F4">
        <v>0.1239</v>
      </c>
      <c r="G4">
        <v>9.8280000000000006E-2</v>
      </c>
      <c r="H4">
        <v>0.11119</v>
      </c>
      <c r="I4">
        <v>5.6320000000000002E-2</v>
      </c>
      <c r="J4">
        <v>0.13220999999999999</v>
      </c>
      <c r="K4">
        <v>3.95E-2</v>
      </c>
      <c r="L4">
        <v>4.5039999999999997E-2</v>
      </c>
    </row>
    <row r="5" spans="1:12">
      <c r="A5" s="3" t="s">
        <v>2</v>
      </c>
      <c r="B5">
        <v>5.5730000000000002E-2</v>
      </c>
      <c r="C5">
        <v>4.7300000000000002E-2</v>
      </c>
      <c r="D5">
        <v>3.6360000000000003E-2</v>
      </c>
      <c r="E5">
        <v>6.4589999999999995E-2</v>
      </c>
      <c r="F5">
        <v>6.3390000000000002E-2</v>
      </c>
      <c r="G5">
        <v>3.4290000000000001E-2</v>
      </c>
      <c r="H5">
        <v>5.8909999999999997E-2</v>
      </c>
      <c r="I5">
        <v>3.4419999999999999E-2</v>
      </c>
      <c r="J5">
        <v>6.794E-2</v>
      </c>
      <c r="K5">
        <v>3.1419999999999997E-2</v>
      </c>
      <c r="L5">
        <v>3.397E-2</v>
      </c>
    </row>
    <row r="6" spans="1:12">
      <c r="A6" s="3" t="s">
        <v>433</v>
      </c>
      <c r="B6">
        <v>0.1268</v>
      </c>
      <c r="C6">
        <v>0.13214999999999999</v>
      </c>
      <c r="D6">
        <v>6.4589999999999995E-2</v>
      </c>
      <c r="E6">
        <v>0.20826</v>
      </c>
      <c r="F6">
        <v>0.13119</v>
      </c>
      <c r="G6">
        <v>0.11187</v>
      </c>
      <c r="H6">
        <v>0.12764</v>
      </c>
      <c r="I6">
        <v>6.812E-2</v>
      </c>
      <c r="J6">
        <v>0.13278999999999999</v>
      </c>
      <c r="K6">
        <v>5.833E-2</v>
      </c>
      <c r="L6">
        <v>7.1230000000000002E-2</v>
      </c>
    </row>
    <row r="7" spans="1:12">
      <c r="A7" s="3" t="s">
        <v>434</v>
      </c>
      <c r="B7">
        <v>0.14338000000000001</v>
      </c>
      <c r="C7">
        <v>0.1239</v>
      </c>
      <c r="D7">
        <v>6.3390000000000002E-2</v>
      </c>
      <c r="E7">
        <v>0.13119</v>
      </c>
      <c r="F7">
        <v>0.18618000000000001</v>
      </c>
      <c r="G7">
        <v>0.10576000000000001</v>
      </c>
      <c r="H7">
        <v>0.17186999999999999</v>
      </c>
      <c r="I7">
        <v>9.0260000000000007E-2</v>
      </c>
      <c r="J7">
        <v>0.15075</v>
      </c>
      <c r="K7">
        <v>6.1609999999999998E-2</v>
      </c>
      <c r="L7">
        <v>7.1319999999999995E-2</v>
      </c>
    </row>
    <row r="8" spans="1:12">
      <c r="A8" s="3" t="s">
        <v>140</v>
      </c>
      <c r="B8">
        <v>8.974E-2</v>
      </c>
      <c r="C8">
        <v>9.8280000000000006E-2</v>
      </c>
      <c r="D8">
        <v>3.4290000000000001E-2</v>
      </c>
      <c r="E8">
        <v>0.11187</v>
      </c>
      <c r="F8">
        <v>0.10576000000000001</v>
      </c>
      <c r="G8">
        <v>0.11598</v>
      </c>
      <c r="H8">
        <v>0.10279000000000001</v>
      </c>
      <c r="I8">
        <v>5.1659999999999998E-2</v>
      </c>
      <c r="J8">
        <v>0.11136</v>
      </c>
      <c r="K8">
        <v>4.4429999999999997E-2</v>
      </c>
      <c r="L8">
        <v>4.4659999999999998E-2</v>
      </c>
    </row>
    <row r="9" spans="1:12">
      <c r="A9" s="3" t="s">
        <v>742</v>
      </c>
      <c r="B9">
        <v>0.15725</v>
      </c>
      <c r="C9">
        <v>0.11119</v>
      </c>
      <c r="D9">
        <v>5.8909999999999997E-2</v>
      </c>
      <c r="E9">
        <v>0.12764</v>
      </c>
      <c r="F9">
        <v>0.17186999999999999</v>
      </c>
      <c r="G9">
        <v>0.10279000000000001</v>
      </c>
      <c r="H9">
        <v>0.21934999999999999</v>
      </c>
      <c r="I9">
        <v>0.11567</v>
      </c>
      <c r="J9">
        <v>0.14513000000000001</v>
      </c>
      <c r="K9">
        <v>5.9540000000000003E-2</v>
      </c>
      <c r="L9">
        <v>6.7250000000000004E-2</v>
      </c>
    </row>
    <row r="10" spans="1:12">
      <c r="A10" s="3" t="s">
        <v>743</v>
      </c>
      <c r="B10">
        <v>7.6219999999999996E-2</v>
      </c>
      <c r="C10">
        <v>5.6320000000000002E-2</v>
      </c>
      <c r="D10">
        <v>3.4419999999999999E-2</v>
      </c>
      <c r="E10">
        <v>6.812E-2</v>
      </c>
      <c r="F10">
        <v>9.0260000000000007E-2</v>
      </c>
      <c r="G10">
        <v>5.1659999999999998E-2</v>
      </c>
      <c r="H10">
        <v>0.11567</v>
      </c>
      <c r="I10">
        <v>6.8459999999999993E-2</v>
      </c>
      <c r="J10">
        <v>8.0100000000000005E-2</v>
      </c>
      <c r="K10">
        <v>3.4279999999999998E-2</v>
      </c>
      <c r="L10">
        <v>4.1399999999999999E-2</v>
      </c>
    </row>
    <row r="11" spans="1:12">
      <c r="A11" s="3" t="s">
        <v>744</v>
      </c>
      <c r="B11">
        <v>0.12442</v>
      </c>
      <c r="C11">
        <v>0.13220999999999999</v>
      </c>
      <c r="D11">
        <v>6.794E-2</v>
      </c>
      <c r="E11">
        <v>0.13278999999999999</v>
      </c>
      <c r="F11">
        <v>0.15075</v>
      </c>
      <c r="G11">
        <v>0.11136</v>
      </c>
      <c r="H11">
        <v>0.14513000000000001</v>
      </c>
      <c r="I11">
        <v>8.0100000000000005E-2</v>
      </c>
      <c r="J11">
        <v>0.17866000000000001</v>
      </c>
      <c r="K11">
        <v>6.3270000000000007E-2</v>
      </c>
      <c r="L11">
        <v>6.5689999999999998E-2</v>
      </c>
    </row>
    <row r="12" spans="1:12">
      <c r="A12" s="3" t="s">
        <v>745</v>
      </c>
      <c r="B12">
        <v>5.5669999999999997E-2</v>
      </c>
      <c r="C12">
        <v>3.95E-2</v>
      </c>
      <c r="D12">
        <v>3.1419999999999997E-2</v>
      </c>
      <c r="E12">
        <v>5.833E-2</v>
      </c>
      <c r="F12">
        <v>6.1609999999999998E-2</v>
      </c>
      <c r="G12">
        <v>4.4429999999999997E-2</v>
      </c>
      <c r="H12">
        <v>5.9540000000000003E-2</v>
      </c>
      <c r="I12">
        <v>3.4279999999999998E-2</v>
      </c>
      <c r="J12">
        <v>6.3270000000000007E-2</v>
      </c>
      <c r="K12">
        <v>4.2479999999999997E-2</v>
      </c>
      <c r="L12">
        <v>3.6080000000000001E-2</v>
      </c>
    </row>
    <row r="13" spans="1:12">
      <c r="A13" s="3" t="s">
        <v>753</v>
      </c>
      <c r="B13">
        <v>5.3839999999999999E-2</v>
      </c>
      <c r="C13">
        <v>4.5039999999999997E-2</v>
      </c>
      <c r="D13">
        <v>3.397E-2</v>
      </c>
      <c r="E13">
        <v>7.1230000000000002E-2</v>
      </c>
      <c r="F13">
        <v>7.1319999999999995E-2</v>
      </c>
      <c r="G13">
        <v>4.4659999999999998E-2</v>
      </c>
      <c r="H13">
        <v>6.7250000000000004E-2</v>
      </c>
      <c r="I13">
        <v>4.1399999999999999E-2</v>
      </c>
      <c r="J13">
        <v>6.5689999999999998E-2</v>
      </c>
      <c r="K13">
        <v>3.6080000000000001E-2</v>
      </c>
      <c r="L13" s="19">
        <v>4.9789319999999998E-2</v>
      </c>
    </row>
    <row r="15" spans="1:12">
      <c r="B15" s="273" t="s">
        <v>192</v>
      </c>
      <c r="C15" s="273"/>
      <c r="D15" s="273"/>
      <c r="E15" s="273"/>
      <c r="F15" s="273"/>
      <c r="G15" s="273"/>
      <c r="H15" s="273"/>
      <c r="I15" s="273"/>
      <c r="J15" s="273"/>
      <c r="K15" s="273"/>
      <c r="L15" s="273"/>
    </row>
    <row r="16" spans="1:12">
      <c r="B16" s="3" t="s">
        <v>0</v>
      </c>
      <c r="C16" s="3" t="s">
        <v>1</v>
      </c>
      <c r="D16" s="3" t="s">
        <v>2</v>
      </c>
      <c r="E16" s="3" t="s">
        <v>433</v>
      </c>
      <c r="F16" s="3" t="s">
        <v>434</v>
      </c>
      <c r="G16" s="3" t="s">
        <v>140</v>
      </c>
      <c r="H16" s="3" t="s">
        <v>742</v>
      </c>
      <c r="I16" s="3" t="s">
        <v>743</v>
      </c>
      <c r="J16" s="3" t="s">
        <v>744</v>
      </c>
      <c r="K16" s="3" t="s">
        <v>745</v>
      </c>
      <c r="L16" s="3" t="s">
        <v>753</v>
      </c>
    </row>
    <row r="17" spans="1:14">
      <c r="A17" s="1" t="s">
        <v>13</v>
      </c>
      <c r="B17" s="5">
        <v>0.25262367625964999</v>
      </c>
      <c r="C17" s="5">
        <v>0.26112991729483898</v>
      </c>
      <c r="D17" s="5">
        <v>0.15809802545243701</v>
      </c>
      <c r="E17" s="5">
        <v>0.22860377819147301</v>
      </c>
      <c r="F17" s="5">
        <v>0.20246314889980799</v>
      </c>
      <c r="G17" s="5">
        <v>0.24689687795648099</v>
      </c>
      <c r="H17" s="5">
        <v>0.27602771080660399</v>
      </c>
      <c r="I17" s="5">
        <v>0.19486404004028399</v>
      </c>
      <c r="J17" s="5">
        <v>0.26414319284646098</v>
      </c>
      <c r="K17" s="5">
        <v>0.15483749562999999</v>
      </c>
      <c r="L17" s="5">
        <v>0.1</v>
      </c>
    </row>
    <row r="19" spans="1:14">
      <c r="B19" s="273" t="s">
        <v>444</v>
      </c>
      <c r="C19" s="273"/>
      <c r="D19" s="273"/>
      <c r="E19" s="273"/>
      <c r="F19" s="273"/>
      <c r="G19" s="273"/>
      <c r="H19" s="273"/>
      <c r="I19" s="273"/>
      <c r="J19" s="273"/>
      <c r="K19" s="273"/>
      <c r="L19" s="273"/>
      <c r="N19" t="s">
        <v>7</v>
      </c>
    </row>
    <row r="20" spans="1:14">
      <c r="A20" s="1" t="s">
        <v>492</v>
      </c>
      <c r="B20" s="5">
        <f>B21+B22</f>
        <v>-1.6138867116493457E-3</v>
      </c>
      <c r="C20" s="5">
        <f t="shared" ref="C20:L20" si="0">C21+C22</f>
        <v>-4.5886514899770218E-4</v>
      </c>
      <c r="D20" s="5">
        <f t="shared" si="0"/>
        <v>2.2927097976823522E-2</v>
      </c>
      <c r="E20" s="5">
        <f t="shared" si="0"/>
        <v>4.2188698182130585E-2</v>
      </c>
      <c r="F20" s="5">
        <f t="shared" si="0"/>
        <v>-5.8827698263969538E-2</v>
      </c>
      <c r="G20" s="5">
        <f t="shared" si="0"/>
        <v>4.1926169080082606E-2</v>
      </c>
      <c r="H20" s="5">
        <f t="shared" si="0"/>
        <v>5.6724475000721697E-2</v>
      </c>
      <c r="I20" s="5">
        <f t="shared" si="0"/>
        <v>4.8550086994594142E-2</v>
      </c>
      <c r="J20" s="5">
        <f t="shared" si="0"/>
        <v>6.8633942988324967E-2</v>
      </c>
      <c r="K20" s="5">
        <f t="shared" si="0"/>
        <v>5.3272095671180138E-2</v>
      </c>
      <c r="L20" s="5">
        <f t="shared" si="0"/>
        <v>0.72667788423075885</v>
      </c>
      <c r="N20" s="14">
        <f>SUM(B20:L20)</f>
        <v>1</v>
      </c>
    </row>
    <row r="21" spans="1:14">
      <c r="A21" s="1" t="s">
        <v>172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1</v>
      </c>
      <c r="N21" s="14">
        <f>SUM(B21:L21)</f>
        <v>1</v>
      </c>
    </row>
    <row r="22" spans="1:14">
      <c r="A22" s="1" t="s">
        <v>228</v>
      </c>
      <c r="B22" s="5">
        <v>-1.6138867116493457E-3</v>
      </c>
      <c r="C22" s="5">
        <v>-4.5886514899770218E-4</v>
      </c>
      <c r="D22" s="5">
        <v>2.2927097976823522E-2</v>
      </c>
      <c r="E22" s="5">
        <v>4.2188698182130585E-2</v>
      </c>
      <c r="F22" s="5">
        <v>-5.8827698263969538E-2</v>
      </c>
      <c r="G22" s="5">
        <v>4.1926169080082606E-2</v>
      </c>
      <c r="H22" s="5">
        <v>5.6724475000721697E-2</v>
      </c>
      <c r="I22" s="5">
        <v>4.8550086994594142E-2</v>
      </c>
      <c r="J22" s="5">
        <v>6.8633942988324967E-2</v>
      </c>
      <c r="K22" s="5">
        <v>5.3272095671180138E-2</v>
      </c>
      <c r="L22" s="5">
        <f>0-SUM(B22:K22)</f>
        <v>-0.27332211576924109</v>
      </c>
      <c r="N22" s="14">
        <f>SUM(B22:L22)</f>
        <v>0</v>
      </c>
    </row>
    <row r="24" spans="1:14">
      <c r="B24" s="3" t="s">
        <v>749</v>
      </c>
      <c r="C24" s="3" t="s">
        <v>746</v>
      </c>
      <c r="D24" s="3" t="s">
        <v>13</v>
      </c>
      <c r="E24" s="3" t="s">
        <v>66</v>
      </c>
    </row>
    <row r="25" spans="1:14">
      <c r="A25" s="3" t="s">
        <v>0</v>
      </c>
      <c r="B25" s="5">
        <f>L3</f>
        <v>5.3839999999999999E-2</v>
      </c>
      <c r="C25" s="5">
        <f>B25/$L$13</f>
        <v>1.0813564033411183</v>
      </c>
      <c r="D25">
        <f t="array" ref="D25:D35">TRANSPOSE(B17:L17)</f>
        <v>0.25262367625964999</v>
      </c>
      <c r="E25">
        <f>D25-0.02-C25*($L$17-0.02)</f>
        <v>0.14611516399236052</v>
      </c>
      <c r="G25" s="273" t="s">
        <v>751</v>
      </c>
      <c r="H25" s="273"/>
      <c r="I25" s="273"/>
    </row>
    <row r="26" spans="1:14">
      <c r="A26" s="3" t="s">
        <v>1</v>
      </c>
      <c r="B26" s="5">
        <f t="shared" ref="B26:B34" si="1">L4</f>
        <v>4.5039999999999997E-2</v>
      </c>
      <c r="C26" s="5">
        <f t="shared" ref="C26:C35" si="2">B26/$L$13</f>
        <v>0.90461167174004387</v>
      </c>
      <c r="D26">
        <v>0.26112991729483898</v>
      </c>
      <c r="E26">
        <f t="shared" ref="E26:E35" si="3">D26-0.02-C26*($L$17-0.02)</f>
        <v>0.16876098355563546</v>
      </c>
      <c r="G26" s="3" t="s">
        <v>66</v>
      </c>
      <c r="H26" s="3" t="s">
        <v>739</v>
      </c>
      <c r="I26" s="3" t="s">
        <v>443</v>
      </c>
    </row>
    <row r="27" spans="1:14">
      <c r="A27" s="3" t="s">
        <v>2</v>
      </c>
      <c r="B27" s="5">
        <f t="shared" si="1"/>
        <v>3.397E-2</v>
      </c>
      <c r="C27" s="5">
        <f t="shared" si="2"/>
        <v>0.68227483323732885</v>
      </c>
      <c r="D27">
        <v>0.15809802545243701</v>
      </c>
      <c r="E27">
        <f t="shared" si="3"/>
        <v>8.3516038793450709E-2</v>
      </c>
      <c r="G27" cm="1">
        <f t="array" ref="G27">MMULT(B22:L22,E25:E35)</f>
        <v>3.5346382744065055E-2</v>
      </c>
      <c r="H27">
        <f>SQRT(SUMPRODUCT(MMULT(B22:L22,B3:L13),B22:L22))</f>
        <v>5.0000999999999997E-2</v>
      </c>
      <c r="I27">
        <f>G27/H27</f>
        <v>0.70691351661096891</v>
      </c>
    </row>
    <row r="28" spans="1:14">
      <c r="A28" s="3" t="s">
        <v>433</v>
      </c>
      <c r="B28" s="5">
        <f t="shared" si="1"/>
        <v>7.1230000000000002E-2</v>
      </c>
      <c r="C28" s="5">
        <f t="shared" si="2"/>
        <v>1.4306280945391503</v>
      </c>
      <c r="D28">
        <v>0.22860377819147301</v>
      </c>
      <c r="E28">
        <f t="shared" si="3"/>
        <v>9.415353062834099E-2</v>
      </c>
    </row>
    <row r="29" spans="1:14">
      <c r="A29" s="3" t="s">
        <v>434</v>
      </c>
      <c r="B29" s="5">
        <f t="shared" si="1"/>
        <v>7.1319999999999995E-2</v>
      </c>
      <c r="C29" s="5">
        <f t="shared" si="2"/>
        <v>1.4324357111123429</v>
      </c>
      <c r="D29">
        <v>0.20246314889980799</v>
      </c>
      <c r="E29">
        <f t="shared" si="3"/>
        <v>6.7868292010820563E-2</v>
      </c>
    </row>
    <row r="30" spans="1:14">
      <c r="A30" s="3" t="s">
        <v>140</v>
      </c>
      <c r="B30" s="5">
        <f t="shared" si="1"/>
        <v>4.4659999999999998E-2</v>
      </c>
      <c r="C30" s="5">
        <f t="shared" si="2"/>
        <v>0.89697951287545197</v>
      </c>
      <c r="D30">
        <v>0.24689687795648099</v>
      </c>
      <c r="E30">
        <f t="shared" si="3"/>
        <v>0.15513851692644484</v>
      </c>
    </row>
    <row r="31" spans="1:14">
      <c r="A31" s="3" t="s">
        <v>742</v>
      </c>
      <c r="B31" s="5">
        <f t="shared" si="1"/>
        <v>6.7250000000000004E-2</v>
      </c>
      <c r="C31" s="5">
        <f t="shared" si="2"/>
        <v>1.3506912727468463</v>
      </c>
      <c r="D31">
        <v>0.27602771080660399</v>
      </c>
      <c r="E31">
        <f t="shared" si="3"/>
        <v>0.14797240898685626</v>
      </c>
    </row>
    <row r="32" spans="1:14">
      <c r="A32" s="3" t="s">
        <v>743</v>
      </c>
      <c r="B32" s="5">
        <f t="shared" si="1"/>
        <v>4.1399999999999999E-2</v>
      </c>
      <c r="C32" s="5">
        <f t="shared" si="2"/>
        <v>0.83150362366869046</v>
      </c>
      <c r="D32">
        <v>0.19486404004028399</v>
      </c>
      <c r="E32">
        <f t="shared" si="3"/>
        <v>0.10834375014678876</v>
      </c>
    </row>
    <row r="33" spans="1:6">
      <c r="A33" s="3" t="s">
        <v>744</v>
      </c>
      <c r="B33" s="5">
        <f t="shared" si="1"/>
        <v>6.5689999999999998E-2</v>
      </c>
      <c r="C33" s="5">
        <f t="shared" si="2"/>
        <v>1.3193592521448374</v>
      </c>
      <c r="D33">
        <v>0.26414319284646098</v>
      </c>
      <c r="E33">
        <f t="shared" si="3"/>
        <v>0.138594452674874</v>
      </c>
    </row>
    <row r="34" spans="1:6">
      <c r="A34" s="3" t="s">
        <v>745</v>
      </c>
      <c r="B34" s="5">
        <f t="shared" si="1"/>
        <v>3.6080000000000001E-2</v>
      </c>
      <c r="C34" s="5">
        <f t="shared" si="2"/>
        <v>0.72465339956440467</v>
      </c>
      <c r="D34">
        <v>0.15483749562999999</v>
      </c>
      <c r="E34">
        <f t="shared" si="3"/>
        <v>7.6865223664847632E-2</v>
      </c>
    </row>
    <row r="35" spans="1:6">
      <c r="A35" s="3" t="s">
        <v>753</v>
      </c>
      <c r="B35" s="5">
        <f>L13</f>
        <v>4.9789319999999998E-2</v>
      </c>
      <c r="C35" s="5">
        <f t="shared" si="2"/>
        <v>1</v>
      </c>
      <c r="D35" s="14">
        <v>0.1</v>
      </c>
      <c r="E35">
        <f t="shared" si="3"/>
        <v>0</v>
      </c>
    </row>
    <row r="37" spans="1:6">
      <c r="A37" s="1"/>
    </row>
    <row r="38" spans="1:6">
      <c r="C38" s="3" t="s">
        <v>750</v>
      </c>
      <c r="F38" s="3" t="s">
        <v>840</v>
      </c>
    </row>
    <row r="39" spans="1:6">
      <c r="C39" cm="1">
        <f t="array" ref="C39">MMULT(B22:L22,C25:C35)</f>
        <v>1.6713797013068188E-11</v>
      </c>
      <c r="F39" s="40">
        <f>C39+1</f>
        <v>1.0000000000167137</v>
      </c>
    </row>
  </sheetData>
  <mergeCells count="4">
    <mergeCell ref="B1:L1"/>
    <mergeCell ref="B15:L15"/>
    <mergeCell ref="B19:L19"/>
    <mergeCell ref="G25:I2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E4F4B-F1A4-43D3-96C6-E1E9F97ED5F0}">
  <dimension ref="A1:X42"/>
  <sheetViews>
    <sheetView workbookViewId="0">
      <selection activeCell="G10" sqref="G10"/>
    </sheetView>
  </sheetViews>
  <sheetFormatPr defaultRowHeight="14.5"/>
  <cols>
    <col min="1" max="1" width="8.453125" customWidth="1"/>
    <col min="2" max="2" width="10.26953125" customWidth="1"/>
    <col min="3" max="3" width="10.453125" bestFit="1" customWidth="1"/>
    <col min="5" max="5" width="10" customWidth="1"/>
    <col min="6" max="6" width="7" customWidth="1"/>
    <col min="7" max="7" width="12.54296875" customWidth="1"/>
    <col min="8" max="8" width="11.81640625" customWidth="1"/>
    <col min="9" max="9" width="3.81640625" customWidth="1"/>
    <col min="10" max="10" width="13.453125" bestFit="1" customWidth="1"/>
    <col min="11" max="11" width="9.453125" customWidth="1"/>
    <col min="12" max="12" width="10.453125" bestFit="1" customWidth="1"/>
    <col min="13" max="13" width="2.81640625" customWidth="1"/>
    <col min="14" max="14" width="11.7265625" customWidth="1"/>
    <col min="15" max="15" width="9" customWidth="1"/>
    <col min="16" max="16" width="2.81640625" customWidth="1"/>
    <col min="17" max="17" width="11.81640625" customWidth="1"/>
    <col min="18" max="18" width="12.81640625" customWidth="1"/>
    <col min="19" max="19" width="2.7265625" customWidth="1"/>
    <col min="20" max="20" width="11.81640625" customWidth="1"/>
    <col min="21" max="21" width="12.81640625" customWidth="1"/>
    <col min="24" max="24" width="8.26953125" customWidth="1"/>
    <col min="26" max="26" width="12" customWidth="1"/>
  </cols>
  <sheetData>
    <row r="1" spans="1:21">
      <c r="A1" s="234"/>
      <c r="B1" s="234"/>
      <c r="C1" s="236" t="s">
        <v>544</v>
      </c>
      <c r="D1" s="281" t="s">
        <v>754</v>
      </c>
      <c r="E1" s="281"/>
      <c r="F1" s="3"/>
      <c r="G1" s="273" t="s">
        <v>762</v>
      </c>
      <c r="H1" s="273"/>
      <c r="I1" s="3"/>
      <c r="J1" s="282" t="s">
        <v>762</v>
      </c>
      <c r="K1" s="282"/>
      <c r="M1" s="3"/>
      <c r="N1" s="3"/>
      <c r="O1" s="3"/>
    </row>
    <row r="2" spans="1:21">
      <c r="A2" s="237" t="s">
        <v>516</v>
      </c>
      <c r="B2" s="237" t="s">
        <v>767</v>
      </c>
      <c r="C2" s="236" t="s">
        <v>212</v>
      </c>
      <c r="D2" s="236" t="s">
        <v>17</v>
      </c>
      <c r="E2" s="238" t="s">
        <v>172</v>
      </c>
      <c r="F2" s="1"/>
      <c r="G2" s="1" t="s">
        <v>17</v>
      </c>
      <c r="H2" s="1" t="s">
        <v>172</v>
      </c>
      <c r="I2" s="1"/>
      <c r="J2" s="273" t="s">
        <v>755</v>
      </c>
      <c r="K2" s="273"/>
      <c r="M2" s="1"/>
      <c r="N2" s="1"/>
      <c r="O2" s="1"/>
    </row>
    <row r="3" spans="1:21">
      <c r="A3" s="239" t="s">
        <v>0</v>
      </c>
      <c r="B3" s="239">
        <v>1</v>
      </c>
      <c r="C3" s="243">
        <v>1.3631031661925469E-2</v>
      </c>
      <c r="D3" s="240">
        <v>0.23</v>
      </c>
      <c r="E3" s="240">
        <v>0.25</v>
      </c>
      <c r="F3" s="2"/>
      <c r="G3" s="14">
        <f>D3/$G$11</f>
        <v>0.43396226415094341</v>
      </c>
      <c r="H3" s="14">
        <f>E3/$H$11</f>
        <v>0.41666666666666669</v>
      </c>
      <c r="J3" s="4">
        <f>SUM(G3:G5)</f>
        <v>1</v>
      </c>
      <c r="K3" s="4">
        <f>SUM(H3:H5)</f>
        <v>1</v>
      </c>
    </row>
    <row r="4" spans="1:21">
      <c r="A4" s="239" t="s">
        <v>1</v>
      </c>
      <c r="B4" s="239">
        <v>1</v>
      </c>
      <c r="C4" s="243">
        <v>-1.30175915692063E-2</v>
      </c>
      <c r="D4" s="240">
        <v>0.21</v>
      </c>
      <c r="E4" s="240">
        <v>0.18</v>
      </c>
      <c r="F4" s="2"/>
      <c r="G4" s="14">
        <f>D4/$G$11</f>
        <v>0.39622641509433959</v>
      </c>
      <c r="H4" s="14">
        <f>E4/$H$11</f>
        <v>0.3</v>
      </c>
      <c r="J4" s="4"/>
      <c r="K4" s="4"/>
    </row>
    <row r="5" spans="1:21">
      <c r="A5" s="239" t="s">
        <v>2</v>
      </c>
      <c r="B5" s="239">
        <v>1</v>
      </c>
      <c r="C5" s="243">
        <v>1.1811999923555E-3</v>
      </c>
      <c r="D5" s="240">
        <v>0.09</v>
      </c>
      <c r="E5" s="240">
        <v>0.17</v>
      </c>
      <c r="F5" s="2"/>
      <c r="G5" s="14">
        <f>D5/$G$11</f>
        <v>0.16981132075471697</v>
      </c>
      <c r="H5" s="14">
        <f>E5/$H$11</f>
        <v>0.28333333333333338</v>
      </c>
    </row>
    <row r="6" spans="1:21">
      <c r="A6" s="239" t="s">
        <v>433</v>
      </c>
      <c r="B6" s="239">
        <v>2</v>
      </c>
      <c r="C6" s="243">
        <v>4.6045465053296292E-2</v>
      </c>
      <c r="D6" s="240">
        <v>0.35</v>
      </c>
      <c r="E6" s="240">
        <v>0.19</v>
      </c>
      <c r="F6" s="2"/>
      <c r="G6" s="14">
        <f>D6/$G$12</f>
        <v>0.74468085106382975</v>
      </c>
      <c r="H6" s="14">
        <f>E6/$H$12</f>
        <v>0.47500000000000003</v>
      </c>
      <c r="J6" s="4">
        <f>SUM(G6:G7)</f>
        <v>1</v>
      </c>
      <c r="K6" s="4">
        <f>SUM(H6:H7)</f>
        <v>1</v>
      </c>
    </row>
    <row r="7" spans="1:21">
      <c r="A7" s="239" t="s">
        <v>434</v>
      </c>
      <c r="B7" s="239">
        <v>2</v>
      </c>
      <c r="C7" s="243">
        <v>9.7110800474578002E-3</v>
      </c>
      <c r="D7" s="240">
        <f>1-SUM(D3:D6)</f>
        <v>0.12</v>
      </c>
      <c r="E7" s="240">
        <f>1-SUM(E3:E6)</f>
        <v>0.20999999999999996</v>
      </c>
      <c r="F7" s="2"/>
      <c r="G7" s="14">
        <f>D7/$G$12</f>
        <v>0.25531914893617019</v>
      </c>
      <c r="H7" s="14">
        <f>E7/$H$12</f>
        <v>0.52499999999999991</v>
      </c>
      <c r="J7" s="1"/>
    </row>
    <row r="8" spans="1:21">
      <c r="A8" s="150"/>
      <c r="B8" s="150"/>
    </row>
    <row r="9" spans="1:21">
      <c r="B9" s="1" t="s">
        <v>61</v>
      </c>
      <c r="G9" s="273" t="s">
        <v>764</v>
      </c>
      <c r="H9" s="273"/>
      <c r="I9" s="3"/>
      <c r="J9" s="273" t="s">
        <v>763</v>
      </c>
      <c r="K9" s="273"/>
    </row>
    <row r="10" spans="1:21">
      <c r="B10" s="3" t="s">
        <v>17</v>
      </c>
      <c r="C10" s="3" t="s">
        <v>172</v>
      </c>
      <c r="D10" s="1" t="s">
        <v>757</v>
      </c>
      <c r="G10" s="1" t="s">
        <v>17</v>
      </c>
      <c r="H10" s="1" t="s">
        <v>172</v>
      </c>
      <c r="I10" s="1"/>
      <c r="J10" s="3" t="s">
        <v>17</v>
      </c>
      <c r="K10" s="225" t="s">
        <v>172</v>
      </c>
    </row>
    <row r="11" spans="1:21">
      <c r="A11" s="1" t="s">
        <v>544</v>
      </c>
      <c r="B11" s="197">
        <f>SUMPRODUCT(C3:C7,D3:D7)</f>
        <v>1.7788993426370168E-2</v>
      </c>
      <c r="C11" s="197">
        <f>SUMPRODUCT(E3:E7,C3:C7)</f>
        <v>1.2053360601817102E-2</v>
      </c>
      <c r="D11" s="241">
        <f>B11-C11</f>
        <v>5.7356328245530656E-3</v>
      </c>
      <c r="F11" s="1">
        <v>1</v>
      </c>
      <c r="G11">
        <f>SUM(D3:D5)</f>
        <v>0.53</v>
      </c>
      <c r="H11" s="2">
        <f>SUM(E3:E5)</f>
        <v>0.6</v>
      </c>
      <c r="I11" s="1">
        <v>1</v>
      </c>
      <c r="J11" s="197">
        <f>SUMPRODUCT(G3:G5,C3:C5)</f>
        <v>9.580208528708117E-4</v>
      </c>
      <c r="K11" s="197">
        <f>SUMPRODUCT(H3:H5,C3:C5)</f>
        <v>2.1089923862077807E-3</v>
      </c>
    </row>
    <row r="12" spans="1:21">
      <c r="A12" s="233" t="s">
        <v>769</v>
      </c>
      <c r="B12" s="197">
        <f>B11*12</f>
        <v>0.21346792111644203</v>
      </c>
      <c r="C12" s="197">
        <f>C11*12</f>
        <v>0.14464032722180523</v>
      </c>
      <c r="D12" s="242">
        <f>D11*12</f>
        <v>6.8827593894636788E-2</v>
      </c>
      <c r="F12" s="1">
        <v>2</v>
      </c>
      <c r="G12">
        <f>SUM(D6:D7)</f>
        <v>0.47</v>
      </c>
      <c r="H12" s="2">
        <f>SUM(E6:E7)</f>
        <v>0.39999999999999997</v>
      </c>
      <c r="I12" s="1">
        <v>2</v>
      </c>
      <c r="J12" s="197">
        <f>SUMPRODUCT(G6:G7,C6:C7)</f>
        <v>3.6768600796486459E-2</v>
      </c>
      <c r="K12" s="197">
        <f>SUMPRODUCT(H6:H7,C6:C7)</f>
        <v>2.6969912925231085E-2</v>
      </c>
    </row>
    <row r="13" spans="1:21">
      <c r="A13" s="233"/>
      <c r="B13" s="150"/>
      <c r="T13" s="273"/>
      <c r="U13" s="273"/>
    </row>
    <row r="14" spans="1:21">
      <c r="A14" s="233" t="s">
        <v>756</v>
      </c>
      <c r="B14" s="150"/>
      <c r="I14" s="4"/>
      <c r="J14" s="273" t="s">
        <v>776</v>
      </c>
      <c r="K14" s="273"/>
      <c r="P14" s="4"/>
    </row>
    <row r="15" spans="1:21">
      <c r="B15" s="1">
        <v>1</v>
      </c>
      <c r="C15" s="1">
        <v>2</v>
      </c>
      <c r="D15" s="1" t="s">
        <v>7</v>
      </c>
      <c r="I15" s="164">
        <v>1</v>
      </c>
      <c r="J15" s="197">
        <f>J11*12</f>
        <v>1.149625023444974E-2</v>
      </c>
      <c r="K15" s="197">
        <f>K11*12</f>
        <v>2.5307908634493368E-2</v>
      </c>
      <c r="P15" s="4"/>
    </row>
    <row r="16" spans="1:21">
      <c r="A16" s="1" t="s">
        <v>544</v>
      </c>
      <c r="B16" s="197">
        <f>(G11-H11)*(K11-$C$11)</f>
        <v>6.9610577509265198E-4</v>
      </c>
      <c r="C16" s="197">
        <f>(G12-H12)*(K12-$C$11)</f>
        <v>1.044158662638979E-3</v>
      </c>
      <c r="D16" s="197">
        <f>SUM(B16:C16)</f>
        <v>1.7402644377316309E-3</v>
      </c>
      <c r="I16" s="164">
        <v>2</v>
      </c>
      <c r="J16" s="197">
        <f>J12*12</f>
        <v>0.4412232095578375</v>
      </c>
      <c r="K16" s="197">
        <f>K12*12</f>
        <v>0.32363895510277302</v>
      </c>
    </row>
    <row r="17" spans="1:24">
      <c r="A17" s="1" t="s">
        <v>769</v>
      </c>
      <c r="B17" s="197">
        <f>B16*12</f>
        <v>8.3532693011118229E-3</v>
      </c>
      <c r="C17" s="197">
        <f>C16*12</f>
        <v>1.2529903951667747E-2</v>
      </c>
      <c r="D17" s="197">
        <f>D16*12</f>
        <v>2.0883173252779573E-2</v>
      </c>
    </row>
    <row r="18" spans="1:24">
      <c r="A18" s="150"/>
      <c r="B18" s="150"/>
      <c r="U18" s="150"/>
      <c r="V18" s="197"/>
      <c r="W18" s="197"/>
      <c r="X18" s="197"/>
    </row>
    <row r="19" spans="1:24">
      <c r="A19" s="233" t="s">
        <v>758</v>
      </c>
      <c r="B19" s="150"/>
      <c r="V19" s="197"/>
      <c r="W19" s="197"/>
      <c r="X19" s="197"/>
    </row>
    <row r="20" spans="1:24">
      <c r="A20" s="233"/>
      <c r="B20" s="1">
        <v>1</v>
      </c>
      <c r="C20" s="1">
        <v>2</v>
      </c>
      <c r="D20" s="1" t="s">
        <v>7</v>
      </c>
      <c r="V20" s="197"/>
      <c r="W20" s="197"/>
      <c r="X20" s="197"/>
    </row>
    <row r="21" spans="1:24">
      <c r="A21" s="1" t="s">
        <v>544</v>
      </c>
      <c r="B21" s="197">
        <f>H11*(J11-K11)</f>
        <v>-6.9058292000218134E-4</v>
      </c>
      <c r="C21" s="197">
        <f>H12*(J12-K12)</f>
        <v>3.9194751485021493E-3</v>
      </c>
      <c r="D21" s="197">
        <f>SUM(B21:C21)</f>
        <v>3.2288922284999678E-3</v>
      </c>
    </row>
    <row r="22" spans="1:24">
      <c r="A22" s="1" t="s">
        <v>769</v>
      </c>
      <c r="B22" s="197">
        <f>B21*12</f>
        <v>-8.2869950400261752E-3</v>
      </c>
      <c r="C22" s="197">
        <f>C21*12</f>
        <v>4.7033701782025789E-2</v>
      </c>
      <c r="D22" s="197">
        <f>D21*12</f>
        <v>3.8746706741999613E-2</v>
      </c>
      <c r="G22">
        <f>4.7+1.25</f>
        <v>5.95</v>
      </c>
    </row>
    <row r="23" spans="1:24">
      <c r="A23" s="150"/>
      <c r="B23" s="150"/>
      <c r="G23">
        <f>G22/6.88</f>
        <v>0.86482558139534893</v>
      </c>
    </row>
    <row r="24" spans="1:24">
      <c r="A24" s="233" t="s">
        <v>759</v>
      </c>
      <c r="B24" s="150"/>
      <c r="G24">
        <v>86.2</v>
      </c>
    </row>
    <row r="25" spans="1:24">
      <c r="A25" s="233"/>
      <c r="B25" s="1">
        <v>1</v>
      </c>
      <c r="C25" s="1">
        <v>2</v>
      </c>
      <c r="D25" s="1" t="s">
        <v>7</v>
      </c>
    </row>
    <row r="26" spans="1:24">
      <c r="A26" s="1" t="s">
        <v>544</v>
      </c>
      <c r="B26" s="197">
        <f>(G11-H11)*(J11-K11)</f>
        <v>8.0568007333587776E-5</v>
      </c>
      <c r="C26" s="197">
        <f>(G12-H12)*(J12-K12)</f>
        <v>6.8590815098787622E-4</v>
      </c>
      <c r="D26" s="196">
        <f>SUM(B26:C26)</f>
        <v>7.66476158321464E-4</v>
      </c>
    </row>
    <row r="27" spans="1:24">
      <c r="A27" s="1" t="s">
        <v>769</v>
      </c>
      <c r="B27" s="197">
        <f>B26*12</f>
        <v>9.6681608800305331E-4</v>
      </c>
      <c r="C27" s="197">
        <f>C26*12</f>
        <v>8.2308978118545151E-3</v>
      </c>
      <c r="D27" s="197">
        <f>D26*12</f>
        <v>9.1977138998575684E-3</v>
      </c>
    </row>
    <row r="28" spans="1:24">
      <c r="A28" s="150"/>
      <c r="B28" s="197"/>
    </row>
    <row r="29" spans="1:24">
      <c r="B29" s="150"/>
    </row>
    <row r="30" spans="1:24">
      <c r="A30" s="1" t="s">
        <v>760</v>
      </c>
      <c r="B30" s="150"/>
    </row>
    <row r="31" spans="1:24">
      <c r="A31" s="1"/>
      <c r="B31" s="150"/>
    </row>
    <row r="32" spans="1:24">
      <c r="A32" s="1" t="s">
        <v>544</v>
      </c>
      <c r="B32" s="242">
        <f>D16+D21+D26</f>
        <v>5.7356328245530622E-3</v>
      </c>
    </row>
    <row r="33" spans="1:7">
      <c r="A33" s="1" t="s">
        <v>769</v>
      </c>
      <c r="B33" s="242">
        <f>B32*12</f>
        <v>6.8827593894636746E-2</v>
      </c>
    </row>
    <row r="34" spans="1:7">
      <c r="B34" s="150"/>
    </row>
    <row r="35" spans="1:7">
      <c r="A35" s="1" t="s">
        <v>761</v>
      </c>
      <c r="B35" s="150"/>
    </row>
    <row r="36" spans="1:7">
      <c r="A36" s="1"/>
      <c r="B36" s="233" t="s">
        <v>0</v>
      </c>
      <c r="C36" s="1" t="s">
        <v>1</v>
      </c>
      <c r="D36" s="1" t="s">
        <v>2</v>
      </c>
      <c r="E36" s="1" t="s">
        <v>433</v>
      </c>
      <c r="F36" s="1" t="s">
        <v>434</v>
      </c>
      <c r="G36" s="1" t="s">
        <v>7</v>
      </c>
    </row>
    <row r="37" spans="1:7">
      <c r="A37" s="1" t="s">
        <v>544</v>
      </c>
      <c r="B37" s="197">
        <f>(D3-E3)*(C3-$C$11)</f>
        <v>-3.1553421202167329E-5</v>
      </c>
      <c r="C37" s="197">
        <f>(D4-E4)*(C4-$C$11)</f>
        <v>-7.5212856513070213E-4</v>
      </c>
      <c r="D37" s="197">
        <f>(D5-E5)*(C5-$C$11)</f>
        <v>8.6977284875692834E-4</v>
      </c>
      <c r="E37" s="197">
        <f>(D6-E6)*(C6-$C$11)</f>
        <v>5.4387367122366694E-3</v>
      </c>
      <c r="F37" s="197">
        <f>(D7-E7)*(C7-$C$11)</f>
        <v>2.108052498923371E-4</v>
      </c>
      <c r="G37" s="241">
        <f>SUM(B37:F37)</f>
        <v>5.7356328245530656E-3</v>
      </c>
    </row>
    <row r="38" spans="1:7">
      <c r="A38" s="1" t="s">
        <v>769</v>
      </c>
      <c r="B38" s="197">
        <f>B37*12</f>
        <v>-3.7864105442600795E-4</v>
      </c>
      <c r="C38" s="197">
        <f>C37*12</f>
        <v>-9.0255427815684255E-3</v>
      </c>
      <c r="D38" s="197">
        <f>D37*12</f>
        <v>1.043727418508314E-2</v>
      </c>
      <c r="E38" s="197">
        <f>E37*12</f>
        <v>6.5264840546840036E-2</v>
      </c>
      <c r="F38" s="197">
        <f>F37*12</f>
        <v>2.5296629987080453E-3</v>
      </c>
      <c r="G38" s="241">
        <f>SUM(B38:F38)</f>
        <v>6.8827593894636788E-2</v>
      </c>
    </row>
    <row r="40" spans="1:7">
      <c r="B40" s="242"/>
    </row>
    <row r="41" spans="1:7">
      <c r="A41" s="1"/>
    </row>
    <row r="42" spans="1:7">
      <c r="A42" s="1"/>
      <c r="B42" s="150"/>
    </row>
  </sheetData>
  <mergeCells count="8">
    <mergeCell ref="T13:U13"/>
    <mergeCell ref="J14:K14"/>
    <mergeCell ref="J9:K9"/>
    <mergeCell ref="D1:E1"/>
    <mergeCell ref="G9:H9"/>
    <mergeCell ref="G1:H1"/>
    <mergeCell ref="J2:K2"/>
    <mergeCell ref="J1:K1"/>
  </mergeCells>
  <pageMargins left="0.7" right="0.7" top="0.75" bottom="0.75" header="0.3" footer="0.3"/>
  <ignoredErrors>
    <ignoredError sqref="J11:J12 G11:H11 K11:K12" formulaRange="1"/>
  </ignoredError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97DC7-E2BE-489E-9E49-E879DAA22D85}">
  <dimension ref="A1:BC76"/>
  <sheetViews>
    <sheetView workbookViewId="0">
      <selection activeCell="G10" sqref="G10"/>
    </sheetView>
  </sheetViews>
  <sheetFormatPr defaultRowHeight="14.5"/>
  <cols>
    <col min="7" max="7" width="7.1796875" customWidth="1"/>
    <col min="13" max="13" width="3.1796875" customWidth="1"/>
    <col min="19" max="19" width="8.54296875" bestFit="1" customWidth="1"/>
    <col min="20" max="20" width="12.7265625" bestFit="1" customWidth="1"/>
    <col min="21" max="21" width="12.7265625" customWidth="1"/>
    <col min="22" max="22" width="12.7265625" bestFit="1" customWidth="1"/>
    <col min="23" max="23" width="2.1796875" customWidth="1"/>
    <col min="24" max="24" width="11.81640625" customWidth="1"/>
    <col min="25" max="25" width="9.81640625" customWidth="1"/>
    <col min="26" max="26" width="8.453125" bestFit="1" customWidth="1"/>
    <col min="27" max="31" width="9.54296875" bestFit="1" customWidth="1"/>
    <col min="32" max="32" width="1.453125" customWidth="1"/>
    <col min="38" max="38" width="1.453125" customWidth="1"/>
    <col min="41" max="41" width="1.453125" customWidth="1"/>
    <col min="44" max="44" width="1.7265625" customWidth="1"/>
    <col min="47" max="47" width="1.54296875" customWidth="1"/>
    <col min="50" max="50" width="1.453125" customWidth="1"/>
    <col min="51" max="51" width="13.1796875" customWidth="1"/>
    <col min="52" max="52" width="12.7265625" bestFit="1" customWidth="1"/>
    <col min="53" max="53" width="1.7265625" customWidth="1"/>
    <col min="54" max="54" width="19.54296875" bestFit="1" customWidth="1"/>
    <col min="55" max="55" width="20.81640625" bestFit="1" customWidth="1"/>
  </cols>
  <sheetData>
    <row r="1" spans="1:55">
      <c r="A1" s="236"/>
      <c r="B1" s="272" t="s">
        <v>775</v>
      </c>
      <c r="C1" s="272"/>
      <c r="D1" s="272"/>
      <c r="E1" s="272"/>
      <c r="F1" s="272"/>
      <c r="G1" s="235"/>
      <c r="H1" s="272" t="s">
        <v>766</v>
      </c>
      <c r="I1" s="272"/>
      <c r="J1" s="272"/>
      <c r="K1" s="272"/>
      <c r="L1" s="272"/>
      <c r="M1" s="236"/>
      <c r="N1" s="272" t="s">
        <v>768</v>
      </c>
      <c r="O1" s="272"/>
      <c r="P1" s="272"/>
      <c r="Q1" s="272"/>
      <c r="R1" s="272"/>
      <c r="T1" s="273" t="s">
        <v>212</v>
      </c>
      <c r="U1" s="273"/>
      <c r="V1" s="273"/>
      <c r="X1" s="273" t="s">
        <v>60</v>
      </c>
      <c r="Y1" s="273"/>
      <c r="AA1" s="273" t="s">
        <v>770</v>
      </c>
      <c r="AB1" s="273"/>
      <c r="AC1" s="273"/>
      <c r="AD1" s="273"/>
      <c r="AE1" s="273"/>
      <c r="AG1" s="273"/>
      <c r="AH1" s="273"/>
      <c r="AI1" s="273"/>
      <c r="AJ1" s="273"/>
      <c r="AK1" s="273"/>
      <c r="AM1" s="273"/>
      <c r="AN1" s="273"/>
      <c r="AP1" s="273"/>
      <c r="AQ1" s="273"/>
      <c r="AS1" s="1"/>
      <c r="AV1" s="1"/>
      <c r="AY1" s="273"/>
      <c r="AZ1" s="273"/>
      <c r="BB1" s="1"/>
      <c r="BC1" s="1"/>
    </row>
    <row r="2" spans="1:55">
      <c r="A2" s="248" t="s">
        <v>210</v>
      </c>
      <c r="B2" s="239" t="s">
        <v>0</v>
      </c>
      <c r="C2" s="239" t="s">
        <v>1</v>
      </c>
      <c r="D2" s="239" t="s">
        <v>2</v>
      </c>
      <c r="E2" s="239" t="s">
        <v>433</v>
      </c>
      <c r="F2" s="239" t="s">
        <v>434</v>
      </c>
      <c r="G2" s="235"/>
      <c r="H2" s="239" t="s">
        <v>0</v>
      </c>
      <c r="I2" s="239" t="s">
        <v>1</v>
      </c>
      <c r="J2" s="239" t="s">
        <v>2</v>
      </c>
      <c r="K2" s="239" t="s">
        <v>433</v>
      </c>
      <c r="L2" s="239" t="s">
        <v>434</v>
      </c>
      <c r="M2" s="239"/>
      <c r="N2" s="239" t="s">
        <v>0</v>
      </c>
      <c r="O2" s="239" t="s">
        <v>1</v>
      </c>
      <c r="P2" s="239" t="s">
        <v>2</v>
      </c>
      <c r="Q2" s="239" t="s">
        <v>433</v>
      </c>
      <c r="R2" s="239" t="s">
        <v>434</v>
      </c>
      <c r="T2" s="1" t="s">
        <v>172</v>
      </c>
      <c r="U2" s="1" t="s">
        <v>17</v>
      </c>
      <c r="V2" s="1" t="s">
        <v>765</v>
      </c>
      <c r="X2" s="1" t="s">
        <v>172</v>
      </c>
      <c r="Y2" s="1" t="s">
        <v>17</v>
      </c>
      <c r="AA2" s="244" t="s">
        <v>0</v>
      </c>
      <c r="AB2" s="244" t="s">
        <v>1</v>
      </c>
      <c r="AC2" s="244" t="s">
        <v>2</v>
      </c>
      <c r="AD2" s="244" t="s">
        <v>433</v>
      </c>
      <c r="AE2" s="244" t="s">
        <v>434</v>
      </c>
      <c r="AG2" s="244" t="s">
        <v>755</v>
      </c>
      <c r="BB2" s="1"/>
      <c r="BC2" s="1"/>
    </row>
    <row r="3" spans="1:55">
      <c r="A3" s="234">
        <v>44227</v>
      </c>
      <c r="B3" s="249">
        <v>-2.5249999999999999E-3</v>
      </c>
      <c r="C3" s="249">
        <v>6.471563881394104E-3</v>
      </c>
      <c r="D3" s="249">
        <v>-3.8583333333333334E-3</v>
      </c>
      <c r="E3" s="249">
        <v>-8.7735389038784591E-3</v>
      </c>
      <c r="F3" s="235">
        <v>2.3797183607428452E-3</v>
      </c>
      <c r="G3" s="250"/>
      <c r="H3" s="249">
        <v>0.22097187842590618</v>
      </c>
      <c r="I3" s="249">
        <v>0.15034550496306842</v>
      </c>
      <c r="J3" s="249">
        <v>0.36630222879224561</v>
      </c>
      <c r="K3" s="249">
        <v>7.3121549290883922E-2</v>
      </c>
      <c r="L3" s="249">
        <v>0.18925883852789588</v>
      </c>
      <c r="M3" s="249"/>
      <c r="N3" s="249">
        <v>0.21892707629244659</v>
      </c>
      <c r="O3" s="249">
        <v>0.35485153512260514</v>
      </c>
      <c r="P3" s="249">
        <f t="shared" ref="P3:P61" si="0">1-N3-O3-Q3-R3</f>
        <v>0.31529549642456789</v>
      </c>
      <c r="Q3" s="249">
        <v>0.30888241565721075</v>
      </c>
      <c r="R3" s="249">
        <v>-0.19795652349683035</v>
      </c>
      <c r="S3" s="14"/>
      <c r="T3" s="14">
        <f t="shared" ref="T3:T34" si="1">SUMPRODUCT(H3:L3,B3:F3)</f>
        <v>-1.1894515772376132E-3</v>
      </c>
      <c r="U3" s="14">
        <f t="shared" ref="U3:U34" si="2">SUMPRODUCT(N3:R3,B3:F3)</f>
        <v>-2.6539342774732412E-3</v>
      </c>
      <c r="V3" s="245">
        <f t="shared" ref="V3:V34" si="3">SUMPRODUCT(N3:R3,B3:F3)-T3</f>
        <v>-1.464482700235628E-3</v>
      </c>
      <c r="W3" s="14"/>
      <c r="X3" s="14">
        <f>T3-0.0025</f>
        <v>-3.6894515772376135E-3</v>
      </c>
      <c r="Y3" s="14">
        <f>U3-0.0025</f>
        <v>-5.1539342774732412E-3</v>
      </c>
      <c r="Z3" s="14"/>
      <c r="AA3" s="14">
        <f t="shared" ref="AA3:AA34" si="4">(N3-H3)*(B3-$T3)</f>
        <v>2.7309322642031174E-6</v>
      </c>
      <c r="AB3" s="14">
        <f t="shared" ref="AB3:AB34" si="5">(O3-I3)*(C3-$T3)</f>
        <v>1.566723858435615E-3</v>
      </c>
      <c r="AC3" s="14">
        <f t="shared" ref="AC3:AC34" si="6">(P3-J3)*(D3-$T3)</f>
        <v>1.3613093745415213E-4</v>
      </c>
      <c r="AD3" s="14">
        <f t="shared" ref="AD3:AD34" si="7">(Q3-K3)*(E3-$T3)</f>
        <v>-1.7880309987267254E-3</v>
      </c>
      <c r="AE3" s="14">
        <f t="shared" ref="AE3:AE34" si="8">(R3-L3)*(F3-$T3)</f>
        <v>-1.382037429662873E-3</v>
      </c>
      <c r="AF3" s="14"/>
      <c r="AG3" s="245">
        <f>SUM(AA3:AE3)</f>
        <v>-1.464482700235628E-3</v>
      </c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B3" s="19"/>
      <c r="BC3" s="19"/>
    </row>
    <row r="4" spans="1:55">
      <c r="A4" s="234">
        <v>44255</v>
      </c>
      <c r="B4" s="249">
        <v>-8.0000000000000004E-4</v>
      </c>
      <c r="C4" s="249">
        <v>1.819773646866088E-2</v>
      </c>
      <c r="D4" s="249">
        <v>2.5841666666666666E-2</v>
      </c>
      <c r="E4" s="249">
        <v>6.5288062706550867E-3</v>
      </c>
      <c r="F4" s="235">
        <v>3.0568633695744214E-3</v>
      </c>
      <c r="G4" s="250"/>
      <c r="H4" s="249">
        <v>0.21240500696561546</v>
      </c>
      <c r="I4" s="249">
        <v>0.14991969847052533</v>
      </c>
      <c r="J4" s="249">
        <v>0.38974372703432986</v>
      </c>
      <c r="K4" s="249">
        <v>7.924176231430051E-2</v>
      </c>
      <c r="L4" s="249">
        <v>0.16868980521522892</v>
      </c>
      <c r="M4" s="249"/>
      <c r="N4" s="249">
        <v>0.20811338912089603</v>
      </c>
      <c r="O4" s="249">
        <v>0.26253256675020964</v>
      </c>
      <c r="P4" s="249">
        <f t="shared" si="0"/>
        <v>0.27268012162847388</v>
      </c>
      <c r="Q4" s="249">
        <v>0.24814840163740468</v>
      </c>
      <c r="R4" s="249">
        <v>8.5255208630157231E-3</v>
      </c>
      <c r="S4" s="14"/>
      <c r="T4" s="14">
        <f t="shared" si="1"/>
        <v>1.3662918439179146E-2</v>
      </c>
      <c r="U4" s="14">
        <f t="shared" si="2"/>
        <v>1.3303690755709885E-2</v>
      </c>
      <c r="V4" s="245">
        <f t="shared" si="3"/>
        <v>-3.5922768346926051E-4</v>
      </c>
      <c r="W4" s="14"/>
      <c r="X4" s="14">
        <f t="shared" ref="X4:X62" si="9">T4-0.0025</f>
        <v>1.1162918439179145E-2</v>
      </c>
      <c r="Y4" s="14">
        <f t="shared" ref="Y4:Y62" si="10">U4-0.0025</f>
        <v>1.0803690755709885E-2</v>
      </c>
      <c r="Z4" s="14"/>
      <c r="AA4" s="14">
        <f t="shared" si="4"/>
        <v>6.2069318860302926E-5</v>
      </c>
      <c r="AB4" s="14">
        <f t="shared" si="5"/>
        <v>5.1067886542636412E-4</v>
      </c>
      <c r="AC4" s="14">
        <f t="shared" si="6"/>
        <v>-1.4256881768398668E-3</v>
      </c>
      <c r="AD4" s="14">
        <f t="shared" si="7"/>
        <v>-1.2049989109394618E-3</v>
      </c>
      <c r="AE4" s="14">
        <f t="shared" si="8"/>
        <v>1.6987112200234035E-3</v>
      </c>
      <c r="AF4" s="14"/>
      <c r="AG4" s="245">
        <f t="shared" ref="AG4:AG62" si="11">SUM(AA4:AE4)</f>
        <v>-3.5922768346925791E-4</v>
      </c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B4" s="19"/>
      <c r="BC4" s="19"/>
    </row>
    <row r="5" spans="1:55">
      <c r="A5" s="234">
        <v>44286</v>
      </c>
      <c r="B5" s="249">
        <v>2.225E-3</v>
      </c>
      <c r="C5" s="249">
        <v>1.8306919284992909E-2</v>
      </c>
      <c r="D5" s="249">
        <v>1.8191666666666665E-2</v>
      </c>
      <c r="E5" s="249">
        <v>2.4721719033191508E-3</v>
      </c>
      <c r="F5" s="235">
        <v>2.4506622112136396E-3</v>
      </c>
      <c r="G5" s="250"/>
      <c r="H5" s="249">
        <v>0.20824763079398931</v>
      </c>
      <c r="I5" s="249">
        <v>0.1461354884834605</v>
      </c>
      <c r="J5" s="249">
        <v>0.40630447118100188</v>
      </c>
      <c r="K5" s="249">
        <v>8.1956873935074809E-2</v>
      </c>
      <c r="L5" s="249">
        <v>0.15735553560647336</v>
      </c>
      <c r="M5" s="249"/>
      <c r="N5" s="249">
        <v>0.20391845081808666</v>
      </c>
      <c r="O5" s="249">
        <v>0.41153719114755455</v>
      </c>
      <c r="P5" s="249">
        <f t="shared" si="0"/>
        <v>0.26856884701171146</v>
      </c>
      <c r="Q5" s="249">
        <v>0.15060843435285873</v>
      </c>
      <c r="R5" s="249">
        <v>-3.4632923330211396E-2</v>
      </c>
      <c r="S5" s="14"/>
      <c r="T5" s="14">
        <f t="shared" si="1"/>
        <v>1.1118233821619635E-2</v>
      </c>
      <c r="U5" s="14">
        <f t="shared" si="2"/>
        <v>1.3160867979410087E-2</v>
      </c>
      <c r="V5" s="245">
        <f t="shared" si="3"/>
        <v>2.0426341577904523E-3</v>
      </c>
      <c r="W5" s="14"/>
      <c r="X5" s="14">
        <f t="shared" si="9"/>
        <v>8.6182338216196346E-3</v>
      </c>
      <c r="Y5" s="14">
        <f t="shared" si="10"/>
        <v>1.0660867979410087E-2</v>
      </c>
      <c r="Z5" s="14"/>
      <c r="AA5" s="14">
        <f t="shared" si="4"/>
        <v>3.8500409781575948E-5</v>
      </c>
      <c r="AB5" s="14">
        <f t="shared" si="5"/>
        <v>1.9078893618958885E-3</v>
      </c>
      <c r="AC5" s="14">
        <f t="shared" si="6"/>
        <v>-9.7426368793211238E-4</v>
      </c>
      <c r="AD5" s="14">
        <f t="shared" si="7"/>
        <v>-5.9356564216010645E-4</v>
      </c>
      <c r="AE5" s="14">
        <f t="shared" si="8"/>
        <v>1.6640737162052061E-3</v>
      </c>
      <c r="AF5" s="14"/>
      <c r="AG5" s="245">
        <f t="shared" si="11"/>
        <v>2.0426341577904519E-3</v>
      </c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B5" s="19"/>
      <c r="BC5" s="19"/>
    </row>
    <row r="6" spans="1:55">
      <c r="A6" s="234">
        <v>44316</v>
      </c>
      <c r="B6" s="249">
        <v>-3.4499999999999999E-3</v>
      </c>
      <c r="C6" s="249">
        <v>5.7206784725130997E-3</v>
      </c>
      <c r="D6" s="249">
        <v>1.2041666666666666E-2</v>
      </c>
      <c r="E6" s="249">
        <v>-1.0625309721640467E-2</v>
      </c>
      <c r="F6" s="235">
        <v>1.3252950199326733E-3</v>
      </c>
      <c r="G6" s="250"/>
      <c r="H6" s="249">
        <v>0.20297317983485053</v>
      </c>
      <c r="I6" s="249">
        <v>0.14391698735023037</v>
      </c>
      <c r="J6" s="249">
        <v>0.42089671292781722</v>
      </c>
      <c r="K6" s="249">
        <v>8.3088643302059076E-2</v>
      </c>
      <c r="L6" s="249">
        <v>0.1491244765850428</v>
      </c>
      <c r="M6" s="249"/>
      <c r="N6" s="249">
        <v>0.20649628152827726</v>
      </c>
      <c r="O6" s="249">
        <v>0.37601249381331381</v>
      </c>
      <c r="P6" s="249">
        <f t="shared" si="0"/>
        <v>0.24977269697384341</v>
      </c>
      <c r="Q6" s="249">
        <v>7.3895301639883115E-2</v>
      </c>
      <c r="R6" s="249">
        <v>9.3823226044682406E-2</v>
      </c>
      <c r="S6" s="14"/>
      <c r="T6" s="14">
        <f t="shared" si="1"/>
        <v>4.5061346158385722E-3</v>
      </c>
      <c r="U6" s="14">
        <f t="shared" si="2"/>
        <v>3.7854969542078275E-3</v>
      </c>
      <c r="V6" s="245">
        <f t="shared" si="3"/>
        <v>-7.2063766163074465E-4</v>
      </c>
      <c r="W6" s="14"/>
      <c r="X6" s="14">
        <f t="shared" si="9"/>
        <v>2.0061346158385721E-3</v>
      </c>
      <c r="Y6" s="14">
        <f t="shared" si="10"/>
        <v>1.2854969542078275E-3</v>
      </c>
      <c r="Z6" s="14"/>
      <c r="AA6" s="14">
        <f t="shared" si="4"/>
        <v>-2.8030271338191923E-5</v>
      </c>
      <c r="AB6" s="14">
        <f t="shared" si="5"/>
        <v>2.8189017153650107E-4</v>
      </c>
      <c r="AC6" s="14">
        <f t="shared" si="6"/>
        <v>-1.2895105068875877E-3</v>
      </c>
      <c r="AD6" s="14">
        <f t="shared" si="7"/>
        <v>1.3910853763664257E-4</v>
      </c>
      <c r="AE6" s="14">
        <f t="shared" si="8"/>
        <v>1.7590440742189082E-4</v>
      </c>
      <c r="AF6" s="14"/>
      <c r="AG6" s="245">
        <f t="shared" si="11"/>
        <v>-7.206376616307453E-4</v>
      </c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B6" s="19"/>
      <c r="BC6" s="19"/>
    </row>
    <row r="7" spans="1:55">
      <c r="A7" s="234">
        <v>44347</v>
      </c>
      <c r="B7" s="249">
        <v>-8.175E-3</v>
      </c>
      <c r="C7" s="249">
        <v>-2.7308080622184209E-3</v>
      </c>
      <c r="D7" s="249">
        <v>9.9166666666666674E-4</v>
      </c>
      <c r="E7" s="249">
        <v>-1.7553282791103509E-2</v>
      </c>
      <c r="F7" s="235">
        <v>1.4602133096165198E-3</v>
      </c>
      <c r="G7" s="250"/>
      <c r="H7" s="249">
        <v>0.1975624460712789</v>
      </c>
      <c r="I7" s="249">
        <v>0.14618694600528101</v>
      </c>
      <c r="J7" s="249">
        <v>0.42520599509176865</v>
      </c>
      <c r="K7" s="249">
        <v>8.3674575106909538E-2</v>
      </c>
      <c r="L7" s="249">
        <v>0.14737003772476204</v>
      </c>
      <c r="M7" s="249"/>
      <c r="N7" s="249">
        <v>0.21456078042774615</v>
      </c>
      <c r="O7" s="249">
        <v>0.38989283445752221</v>
      </c>
      <c r="P7" s="249">
        <f t="shared" si="0"/>
        <v>0.32637671253755296</v>
      </c>
      <c r="Q7" s="249">
        <v>0.11645827928403676</v>
      </c>
      <c r="R7" s="249">
        <v>-4.7288606706858083E-2</v>
      </c>
      <c r="S7" s="14"/>
      <c r="T7" s="14">
        <f t="shared" si="1"/>
        <v>-2.8461906643283052E-3</v>
      </c>
      <c r="U7" s="14">
        <f t="shared" si="2"/>
        <v>-4.6083765316794634E-3</v>
      </c>
      <c r="V7" s="245">
        <f t="shared" si="3"/>
        <v>-1.7621858673511582E-3</v>
      </c>
      <c r="W7" s="14"/>
      <c r="X7" s="14">
        <f t="shared" si="9"/>
        <v>-5.3461906643283048E-3</v>
      </c>
      <c r="Y7" s="14">
        <f t="shared" si="10"/>
        <v>-7.1083765316794639E-3</v>
      </c>
      <c r="Z7" s="14"/>
      <c r="AA7" s="14">
        <f t="shared" si="4"/>
        <v>-9.0580882809611577E-5</v>
      </c>
      <c r="AB7" s="14">
        <f t="shared" si="5"/>
        <v>2.81194195591208E-5</v>
      </c>
      <c r="AC7" s="14">
        <f t="shared" si="6"/>
        <v>-3.7929268656767016E-4</v>
      </c>
      <c r="AD7" s="14">
        <f t="shared" si="7"/>
        <v>-4.8215295758995515E-4</v>
      </c>
      <c r="AE7" s="14">
        <f t="shared" si="8"/>
        <v>-8.3827875994304157E-4</v>
      </c>
      <c r="AF7" s="14"/>
      <c r="AG7" s="245">
        <f t="shared" si="11"/>
        <v>-1.7621858673511578E-3</v>
      </c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B7" s="19"/>
      <c r="BC7" s="19"/>
    </row>
    <row r="8" spans="1:55">
      <c r="A8" s="234">
        <v>44377</v>
      </c>
      <c r="B8" s="249">
        <v>9.7499999999999996E-4</v>
      </c>
      <c r="C8" s="249">
        <v>9.2902365215122712E-3</v>
      </c>
      <c r="D8" s="249">
        <v>1.2516666666666667E-2</v>
      </c>
      <c r="E8" s="249">
        <v>-1.1736193623642126E-2</v>
      </c>
      <c r="F8" s="235">
        <v>1.7066002717358061E-3</v>
      </c>
      <c r="G8" s="250"/>
      <c r="H8" s="249">
        <v>0.19597571040033596</v>
      </c>
      <c r="I8" s="249">
        <v>0.13881113820914745</v>
      </c>
      <c r="J8" s="249">
        <v>0.44118795803876776</v>
      </c>
      <c r="K8" s="249">
        <v>8.2440312721772449E-2</v>
      </c>
      <c r="L8" s="249">
        <v>0.14158488062997632</v>
      </c>
      <c r="M8" s="249"/>
      <c r="N8" s="249">
        <v>0.18053923542956124</v>
      </c>
      <c r="O8" s="249">
        <v>0.41506593209896803</v>
      </c>
      <c r="P8" s="249">
        <f t="shared" si="0"/>
        <v>0.390439613115864</v>
      </c>
      <c r="Q8" s="249">
        <v>2.9704002717515776E-2</v>
      </c>
      <c r="R8" s="249">
        <v>-1.5748783361908991E-2</v>
      </c>
      <c r="S8" s="14"/>
      <c r="T8" s="14">
        <f t="shared" si="1"/>
        <v>6.2769605548026845E-3</v>
      </c>
      <c r="U8" s="14">
        <f t="shared" si="2"/>
        <v>8.5436001213438518E-3</v>
      </c>
      <c r="V8" s="245">
        <f t="shared" si="3"/>
        <v>2.2666395665411673E-3</v>
      </c>
      <c r="W8" s="14"/>
      <c r="X8" s="14">
        <f t="shared" si="9"/>
        <v>3.7769605548026845E-3</v>
      </c>
      <c r="Y8" s="14">
        <f t="shared" si="10"/>
        <v>6.0436001213438513E-3</v>
      </c>
      <c r="Z8" s="14"/>
      <c r="AA8" s="14">
        <f t="shared" si="4"/>
        <v>8.1843581400246464E-5</v>
      </c>
      <c r="AB8" s="14">
        <f t="shared" si="5"/>
        <v>8.3243193111650661E-4</v>
      </c>
      <c r="AC8" s="14">
        <f t="shared" si="6"/>
        <v>-3.1665475798242409E-4</v>
      </c>
      <c r="AD8" s="14">
        <f t="shared" si="7"/>
        <v>9.4994728290893698E-4</v>
      </c>
      <c r="AE8" s="14">
        <f t="shared" si="8"/>
        <v>7.1907152909790205E-4</v>
      </c>
      <c r="AF8" s="14"/>
      <c r="AG8" s="245">
        <f t="shared" si="11"/>
        <v>2.2666395665411681E-3</v>
      </c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B8" s="19"/>
      <c r="BC8" s="19"/>
    </row>
    <row r="9" spans="1:55">
      <c r="A9" s="234">
        <v>44408</v>
      </c>
      <c r="B9" s="249">
        <v>2.3249999999999998E-3</v>
      </c>
      <c r="C9" s="249">
        <v>2.0023784370391512E-2</v>
      </c>
      <c r="D9" s="249">
        <v>-1.1433333333333334E-2</v>
      </c>
      <c r="E9" s="249">
        <v>8.8559020741163577E-3</v>
      </c>
      <c r="F9" s="235">
        <v>3.9829323299750106E-3</v>
      </c>
      <c r="G9" s="250"/>
      <c r="H9" s="249">
        <v>0.19822781366444089</v>
      </c>
      <c r="I9" s="249">
        <v>0.14521497864317884</v>
      </c>
      <c r="J9" s="249">
        <v>0.42192520906878106</v>
      </c>
      <c r="K9" s="249">
        <v>8.3346386262563923E-2</v>
      </c>
      <c r="L9" s="249">
        <v>0.15128561236103516</v>
      </c>
      <c r="M9" s="249"/>
      <c r="N9" s="249">
        <v>0.21430291994913844</v>
      </c>
      <c r="O9" s="249">
        <v>0.27402276432998279</v>
      </c>
      <c r="P9" s="249">
        <f t="shared" si="0"/>
        <v>0.2825573374955862</v>
      </c>
      <c r="Q9" s="249">
        <v>0.15870961967550001</v>
      </c>
      <c r="R9" s="249">
        <v>7.040735854979252E-2</v>
      </c>
      <c r="S9" s="14"/>
      <c r="T9" s="14">
        <f t="shared" si="1"/>
        <v>-1.1471067904230651E-4</v>
      </c>
      <c r="U9" s="14">
        <f t="shared" si="2"/>
        <v>4.4405994037403206E-3</v>
      </c>
      <c r="V9" s="245">
        <f t="shared" si="3"/>
        <v>4.555310082782627E-3</v>
      </c>
      <c r="W9" s="14"/>
      <c r="X9" s="14">
        <f t="shared" si="9"/>
        <v>-2.6147106790423064E-3</v>
      </c>
      <c r="Y9" s="14">
        <f t="shared" si="10"/>
        <v>1.9405994037403206E-3</v>
      </c>
      <c r="Z9" s="14"/>
      <c r="AA9" s="14">
        <f t="shared" si="4"/>
        <v>3.9218608469516705E-5</v>
      </c>
      <c r="AB9" s="14">
        <f t="shared" si="5"/>
        <v>2.5939949543822335E-3</v>
      </c>
      <c r="AC9" s="14">
        <f t="shared" si="6"/>
        <v>1.5774523484686856E-3</v>
      </c>
      <c r="AD9" s="14">
        <f t="shared" si="7"/>
        <v>6.7605438277335776E-4</v>
      </c>
      <c r="AE9" s="14">
        <f t="shared" si="8"/>
        <v>-3.3141021131116656E-4</v>
      </c>
      <c r="AF9" s="14"/>
      <c r="AG9" s="245">
        <f t="shared" si="11"/>
        <v>4.555310082782627E-3</v>
      </c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B9" s="19"/>
      <c r="BC9" s="19"/>
    </row>
    <row r="10" spans="1:55">
      <c r="A10" s="234">
        <v>44439</v>
      </c>
      <c r="B10" s="249">
        <v>1.3950000000000001E-2</v>
      </c>
      <c r="C10" s="249">
        <v>3.4135831394535493E-2</v>
      </c>
      <c r="D10" s="249">
        <v>-1.1133333333333334E-2</v>
      </c>
      <c r="E10" s="249">
        <v>1.9154996122404309E-2</v>
      </c>
      <c r="F10" s="235">
        <v>4.4005879671470032E-3</v>
      </c>
      <c r="G10" s="250"/>
      <c r="H10" s="249">
        <v>0.2090983547806366</v>
      </c>
      <c r="I10" s="249">
        <v>0.14609349432986424</v>
      </c>
      <c r="J10" s="249">
        <v>0.4027683925871901</v>
      </c>
      <c r="K10" s="249">
        <v>7.7258364401470436E-2</v>
      </c>
      <c r="L10" s="249">
        <v>0.16478139390083871</v>
      </c>
      <c r="M10" s="249"/>
      <c r="N10" s="249">
        <v>0.23492797364078916</v>
      </c>
      <c r="O10" s="249">
        <v>0.41217036038581945</v>
      </c>
      <c r="P10" s="249">
        <f t="shared" si="0"/>
        <v>0.1943477724281768</v>
      </c>
      <c r="Q10" s="249">
        <v>0.15481251370755866</v>
      </c>
      <c r="R10" s="249">
        <v>3.7413798376558782E-3</v>
      </c>
      <c r="S10" s="14"/>
      <c r="T10" s="14">
        <f t="shared" si="1"/>
        <v>5.6248088584118106E-3</v>
      </c>
      <c r="U10" s="14">
        <f t="shared" si="2"/>
        <v>1.8165181998072634E-2</v>
      </c>
      <c r="V10" s="245">
        <f t="shared" si="3"/>
        <v>1.2540373139660823E-2</v>
      </c>
      <c r="W10" s="14"/>
      <c r="X10" s="14">
        <f t="shared" si="9"/>
        <v>3.1248088584118106E-3</v>
      </c>
      <c r="Y10" s="14">
        <f t="shared" si="10"/>
        <v>1.5665181998072635E-2</v>
      </c>
      <c r="Z10" s="14"/>
      <c r="AA10" s="14">
        <f t="shared" si="4"/>
        <v>2.1503651412514132E-4</v>
      </c>
      <c r="AB10" s="14">
        <f t="shared" si="5"/>
        <v>7.5861235244625022E-3</v>
      </c>
      <c r="AC10" s="14">
        <f t="shared" si="6"/>
        <v>3.4927423883164494E-3</v>
      </c>
      <c r="AD10" s="14">
        <f t="shared" si="7"/>
        <v>1.0493221632110075E-3</v>
      </c>
      <c r="AE10" s="14">
        <f t="shared" si="8"/>
        <v>1.9714854954572681E-4</v>
      </c>
      <c r="AF10" s="14"/>
      <c r="AG10" s="245">
        <f t="shared" si="11"/>
        <v>1.2540373139660827E-2</v>
      </c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B10" s="19"/>
      <c r="BC10" s="19"/>
    </row>
    <row r="11" spans="1:55">
      <c r="A11" s="234">
        <v>44469</v>
      </c>
      <c r="B11" s="249">
        <v>5.2500000000000003E-3</v>
      </c>
      <c r="C11" s="249">
        <v>2.3968673347312869E-2</v>
      </c>
      <c r="D11" s="249">
        <v>1.4416666666666666E-2</v>
      </c>
      <c r="E11" s="249">
        <v>1.1420680027959075E-2</v>
      </c>
      <c r="F11" s="235">
        <v>4.273107869715677E-3</v>
      </c>
      <c r="G11" s="250"/>
      <c r="H11" s="249">
        <v>0.20716539829861208</v>
      </c>
      <c r="I11" s="249">
        <v>0.14594325473918096</v>
      </c>
      <c r="J11" s="249">
        <v>0.41337581165141984</v>
      </c>
      <c r="K11" s="249">
        <v>7.8028571234559072E-2</v>
      </c>
      <c r="L11" s="249">
        <v>0.15548696407622806</v>
      </c>
      <c r="M11" s="249"/>
      <c r="N11" s="249">
        <v>0.20427888155602919</v>
      </c>
      <c r="O11" s="249">
        <v>0.40848100406212717</v>
      </c>
      <c r="P11" s="249">
        <f t="shared" si="0"/>
        <v>0.28415755988949781</v>
      </c>
      <c r="Q11" s="249">
        <v>0.13741749654897434</v>
      </c>
      <c r="R11" s="249">
        <v>-3.433494205662857E-2</v>
      </c>
      <c r="S11" s="14"/>
      <c r="T11" s="14">
        <f t="shared" si="1"/>
        <v>1.2100737740737156E-2</v>
      </c>
      <c r="U11" s="14">
        <f t="shared" si="2"/>
        <v>1.6382501052077513E-2</v>
      </c>
      <c r="V11" s="245">
        <f t="shared" si="3"/>
        <v>4.2817633113403572E-3</v>
      </c>
      <c r="W11" s="14"/>
      <c r="X11" s="14">
        <f t="shared" si="9"/>
        <v>9.6007377407371555E-3</v>
      </c>
      <c r="Y11" s="14">
        <f t="shared" si="10"/>
        <v>1.3882501052077513E-2</v>
      </c>
      <c r="Z11" s="14"/>
      <c r="AA11" s="14">
        <f t="shared" si="4"/>
        <v>1.9774769187682278E-5</v>
      </c>
      <c r="AB11" s="14">
        <f t="shared" si="5"/>
        <v>3.1157811032600422E-3</v>
      </c>
      <c r="AC11" s="14">
        <f t="shared" si="6"/>
        <v>-2.9926028701347714E-4</v>
      </c>
      <c r="AD11" s="14">
        <f t="shared" si="7"/>
        <v>-4.0387896713669516E-5</v>
      </c>
      <c r="AE11" s="14">
        <f t="shared" si="8"/>
        <v>1.485855622619784E-3</v>
      </c>
      <c r="AF11" s="14"/>
      <c r="AG11" s="245">
        <f t="shared" si="11"/>
        <v>4.2817633113403615E-3</v>
      </c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B11" s="19"/>
      <c r="BC11" s="19"/>
    </row>
    <row r="12" spans="1:55">
      <c r="A12" s="234">
        <v>44500</v>
      </c>
      <c r="B12" s="249">
        <v>2.5250000000000002E-2</v>
      </c>
      <c r="C12" s="249">
        <v>5.3624346855853218E-2</v>
      </c>
      <c r="D12" s="249">
        <v>1.8166666666666665E-3</v>
      </c>
      <c r="E12" s="249">
        <v>3.7157027045039773E-2</v>
      </c>
      <c r="F12" s="235">
        <v>6.7471746203504159E-3</v>
      </c>
      <c r="G12" s="250"/>
      <c r="H12" s="249">
        <v>0.22098063474116256</v>
      </c>
      <c r="I12" s="249">
        <v>0.14157398740686397</v>
      </c>
      <c r="J12" s="249">
        <v>0.40340307207656911</v>
      </c>
      <c r="K12" s="249">
        <v>7.1786708198400759E-2</v>
      </c>
      <c r="L12" s="249">
        <v>0.16225559757700372</v>
      </c>
      <c r="M12" s="249"/>
      <c r="N12" s="249">
        <v>0.1926023230125696</v>
      </c>
      <c r="O12" s="249">
        <v>0.39161480204273169</v>
      </c>
      <c r="P12" s="249">
        <f t="shared" si="0"/>
        <v>0.26330362570263577</v>
      </c>
      <c r="Q12" s="249">
        <v>0.11295794304553451</v>
      </c>
      <c r="R12" s="249">
        <v>3.9521306196528383E-2</v>
      </c>
      <c r="S12" s="14"/>
      <c r="T12" s="14">
        <f t="shared" si="1"/>
        <v>1.7666570055942361E-2</v>
      </c>
      <c r="U12" s="14">
        <f t="shared" si="2"/>
        <v>3.080547005354688E-2</v>
      </c>
      <c r="V12" s="245">
        <f t="shared" si="3"/>
        <v>1.3138899997604519E-2</v>
      </c>
      <c r="W12" s="14"/>
      <c r="X12" s="14">
        <f t="shared" si="9"/>
        <v>1.5166570055942361E-2</v>
      </c>
      <c r="Y12" s="14">
        <f t="shared" si="10"/>
        <v>2.8305470053546881E-2</v>
      </c>
      <c r="Z12" s="14"/>
      <c r="AA12" s="14">
        <f t="shared" si="4"/>
        <v>-2.1520493892441395E-4</v>
      </c>
      <c r="AB12" s="14">
        <f t="shared" si="5"/>
        <v>8.990911803544414E-3</v>
      </c>
      <c r="AC12" s="14">
        <f t="shared" si="6"/>
        <v>2.2205626899178543E-3</v>
      </c>
      <c r="AD12" s="14">
        <f t="shared" si="7"/>
        <v>8.0244618197608899E-4</v>
      </c>
      <c r="AE12" s="14">
        <f t="shared" si="8"/>
        <v>1.3401842610905744E-3</v>
      </c>
      <c r="AF12" s="14"/>
      <c r="AG12" s="245">
        <f t="shared" si="11"/>
        <v>1.3138899997604517E-2</v>
      </c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B12" s="19"/>
      <c r="BC12" s="19"/>
    </row>
    <row r="13" spans="1:55">
      <c r="A13" s="234">
        <v>44530</v>
      </c>
      <c r="B13" s="249">
        <v>3.875E-3</v>
      </c>
      <c r="C13" s="249">
        <v>2.3605412736136352E-2</v>
      </c>
      <c r="D13" s="249">
        <v>9.7166666666666669E-3</v>
      </c>
      <c r="E13" s="249">
        <v>1.3244158805606032E-2</v>
      </c>
      <c r="F13" s="235">
        <v>3.7374044158271866E-3</v>
      </c>
      <c r="G13" s="250"/>
      <c r="H13" s="249">
        <v>0.21859191524492591</v>
      </c>
      <c r="I13" s="249">
        <v>0.14405209467160709</v>
      </c>
      <c r="J13" s="249">
        <v>0.40822440400436782</v>
      </c>
      <c r="K13" s="249">
        <v>7.3213416151146252E-2</v>
      </c>
      <c r="L13" s="249">
        <v>0.1559181699279529</v>
      </c>
      <c r="M13" s="249"/>
      <c r="N13" s="249">
        <v>0.21966181414189298</v>
      </c>
      <c r="O13" s="249">
        <v>0.21732295063669987</v>
      </c>
      <c r="P13" s="249">
        <f t="shared" si="0"/>
        <v>0.32517108012289986</v>
      </c>
      <c r="Q13" s="249">
        <v>0.13168511605882349</v>
      </c>
      <c r="R13" s="249">
        <v>0.10615903903968371</v>
      </c>
      <c r="S13" s="14"/>
      <c r="T13" s="14">
        <f t="shared" si="1"/>
        <v>9.7664126477145976E-3</v>
      </c>
      <c r="U13" s="14">
        <f t="shared" si="2"/>
        <v>1.1281584322512904E-2</v>
      </c>
      <c r="V13" s="245">
        <f t="shared" si="3"/>
        <v>1.5151716747983067E-3</v>
      </c>
      <c r="W13" s="14"/>
      <c r="X13" s="14">
        <f t="shared" si="9"/>
        <v>7.2664126477145971E-3</v>
      </c>
      <c r="Y13" s="14">
        <f t="shared" si="10"/>
        <v>8.7815843225129038E-3</v>
      </c>
      <c r="Z13" s="14"/>
      <c r="AA13" s="14">
        <f t="shared" si="4"/>
        <v>-6.3032158933676919E-6</v>
      </c>
      <c r="AB13" s="14">
        <f t="shared" si="5"/>
        <v>1.0139953821796566E-3</v>
      </c>
      <c r="AC13" s="14">
        <f t="shared" si="6"/>
        <v>4.1315690757751589E-6</v>
      </c>
      <c r="AD13" s="14">
        <f t="shared" si="7"/>
        <v>2.0334972969930548E-4</v>
      </c>
      <c r="AE13" s="14">
        <f t="shared" si="8"/>
        <v>2.999982097369381E-4</v>
      </c>
      <c r="AF13" s="14"/>
      <c r="AG13" s="245">
        <f t="shared" si="11"/>
        <v>1.5151716747983076E-3</v>
      </c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B13" s="19"/>
      <c r="BC13" s="19"/>
    </row>
    <row r="14" spans="1:55">
      <c r="A14" s="234">
        <v>44561</v>
      </c>
      <c r="B14" s="249">
        <v>9.4750000000000008E-3</v>
      </c>
      <c r="C14" s="249">
        <v>3.1687457995366271E-2</v>
      </c>
      <c r="D14" s="249">
        <v>1.1216666666666666E-2</v>
      </c>
      <c r="E14" s="249">
        <v>1.8383249324065883E-2</v>
      </c>
      <c r="F14" s="235">
        <v>4.9865615317475015E-3</v>
      </c>
      <c r="G14" s="250"/>
      <c r="H14" s="249">
        <v>0.21955003043753279</v>
      </c>
      <c r="I14" s="249">
        <v>0.14260178266776033</v>
      </c>
      <c r="J14" s="249">
        <v>0.41276582498373371</v>
      </c>
      <c r="K14" s="249">
        <v>7.3867310484741058E-2</v>
      </c>
      <c r="L14" s="249">
        <v>0.15121505142623193</v>
      </c>
      <c r="M14" s="249"/>
      <c r="N14" s="249">
        <v>0.23444779583078529</v>
      </c>
      <c r="O14" s="249">
        <v>0.23517775507162564</v>
      </c>
      <c r="P14" s="249">
        <f t="shared" si="0"/>
        <v>0.37375596437873221</v>
      </c>
      <c r="Q14" s="249">
        <v>0.11362678218104778</v>
      </c>
      <c r="R14" s="249">
        <v>4.299170253780904E-2</v>
      </c>
      <c r="S14" s="14"/>
      <c r="T14" s="14">
        <f t="shared" si="1"/>
        <v>1.3340745550981289E-2</v>
      </c>
      <c r="U14" s="14">
        <f t="shared" si="2"/>
        <v>1.6169084404673042E-2</v>
      </c>
      <c r="V14" s="245">
        <f t="shared" si="3"/>
        <v>2.8283388536917524E-3</v>
      </c>
      <c r="W14" s="14"/>
      <c r="X14" s="14">
        <f t="shared" si="9"/>
        <v>1.0840745550981289E-2</v>
      </c>
      <c r="Y14" s="14">
        <f t="shared" si="10"/>
        <v>1.3669084404673041E-2</v>
      </c>
      <c r="Z14" s="14"/>
      <c r="AA14" s="14">
        <f t="shared" si="4"/>
        <v>-5.7590970288528833E-5</v>
      </c>
      <c r="AB14" s="14">
        <f t="shared" si="5"/>
        <v>1.6984647449530363E-3</v>
      </c>
      <c r="AC14" s="14">
        <f t="shared" si="6"/>
        <v>8.2860021191140547E-5</v>
      </c>
      <c r="AD14" s="14">
        <f t="shared" si="7"/>
        <v>2.0048728604447674E-4</v>
      </c>
      <c r="AE14" s="14">
        <f t="shared" si="8"/>
        <v>9.0411777179162526E-4</v>
      </c>
      <c r="AF14" s="14"/>
      <c r="AG14" s="245">
        <f t="shared" si="11"/>
        <v>2.8283388536917498E-3</v>
      </c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B14" s="19"/>
      <c r="BC14" s="19"/>
    </row>
    <row r="15" spans="1:55">
      <c r="A15" s="234">
        <v>44592</v>
      </c>
      <c r="B15" s="249">
        <v>5.8250000000000003E-3</v>
      </c>
      <c r="C15" s="249">
        <v>2.6075907604342502E-2</v>
      </c>
      <c r="D15" s="249">
        <v>8.9916666666666669E-3</v>
      </c>
      <c r="E15" s="249">
        <v>1.4610148542018336E-2</v>
      </c>
      <c r="F15" s="235">
        <v>4.4481495445313343E-3</v>
      </c>
      <c r="G15" s="250"/>
      <c r="H15" s="249">
        <v>0.21867470864678992</v>
      </c>
      <c r="I15" s="249">
        <v>0.14397180754957106</v>
      </c>
      <c r="J15" s="249">
        <v>0.4162091227657701</v>
      </c>
      <c r="K15" s="249">
        <v>7.4564996473675871E-2</v>
      </c>
      <c r="L15" s="249">
        <v>0.1465793645641931</v>
      </c>
      <c r="M15" s="249"/>
      <c r="N15" s="249">
        <v>0.24867386049248538</v>
      </c>
      <c r="O15" s="249">
        <v>0.40967350704104488</v>
      </c>
      <c r="P15" s="249">
        <f t="shared" si="0"/>
        <v>0.37402630799469333</v>
      </c>
      <c r="Q15" s="249">
        <v>0.10082898788114386</v>
      </c>
      <c r="R15" s="249">
        <v>-0.13320266340936748</v>
      </c>
      <c r="S15" s="14"/>
      <c r="T15" s="14">
        <f t="shared" si="1"/>
        <v>1.0511802032935282E-2</v>
      </c>
      <c r="U15" s="14">
        <f t="shared" si="2"/>
        <v>1.6374874764680396E-2</v>
      </c>
      <c r="V15" s="245">
        <f t="shared" si="3"/>
        <v>5.8630727317451146E-3</v>
      </c>
      <c r="W15" s="14"/>
      <c r="X15" s="14">
        <f t="shared" si="9"/>
        <v>8.0118020329352814E-3</v>
      </c>
      <c r="Y15" s="14">
        <f t="shared" si="10"/>
        <v>1.3874874764680396E-2</v>
      </c>
      <c r="Z15" s="14"/>
      <c r="AA15" s="14">
        <f t="shared" si="4"/>
        <v>-1.4060008585673969E-4</v>
      </c>
      <c r="AB15" s="14">
        <f t="shared" si="5"/>
        <v>4.135409301387615E-3</v>
      </c>
      <c r="AC15" s="14">
        <f t="shared" si="6"/>
        <v>6.4123588582271933E-5</v>
      </c>
      <c r="AD15" s="14">
        <f t="shared" si="7"/>
        <v>1.0763893749938378E-4</v>
      </c>
      <c r="AE15" s="14">
        <f t="shared" si="8"/>
        <v>1.6965009901325834E-3</v>
      </c>
      <c r="AF15" s="14"/>
      <c r="AG15" s="245">
        <f t="shared" si="11"/>
        <v>5.8630727317451146E-3</v>
      </c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B15" s="19"/>
      <c r="BC15" s="19"/>
    </row>
    <row r="16" spans="1:55">
      <c r="A16" s="234">
        <v>44620</v>
      </c>
      <c r="B16" s="249">
        <v>2.8E-3</v>
      </c>
      <c r="C16" s="249">
        <v>1.8546510594036954E-2</v>
      </c>
      <c r="D16" s="249">
        <v>1.1641666666666666E-2</v>
      </c>
      <c r="E16" s="249">
        <v>4.126354521407239E-3</v>
      </c>
      <c r="F16" s="235">
        <v>2.5247902067362157E-3</v>
      </c>
      <c r="G16" s="250"/>
      <c r="H16" s="249">
        <v>0.21600122639159061</v>
      </c>
      <c r="I16" s="249">
        <v>0.14260072542086918</v>
      </c>
      <c r="J16" s="249">
        <v>0.42549953800436341</v>
      </c>
      <c r="K16" s="249">
        <v>7.5707396866060192E-2</v>
      </c>
      <c r="L16" s="249">
        <v>0.14019111331711648</v>
      </c>
      <c r="M16" s="249"/>
      <c r="N16" s="249">
        <v>0.24088169658097294</v>
      </c>
      <c r="O16" s="249">
        <v>0.38686840875039552</v>
      </c>
      <c r="P16" s="249">
        <f t="shared" si="0"/>
        <v>0.36286809910597512</v>
      </c>
      <c r="Q16" s="249">
        <v>0.16936335405917408</v>
      </c>
      <c r="R16" s="249">
        <v>-0.15998155849651763</v>
      </c>
      <c r="S16" s="14"/>
      <c r="T16" s="14">
        <f t="shared" si="1"/>
        <v>8.8694217962361661E-3</v>
      </c>
      <c r="U16" s="14">
        <f t="shared" si="2"/>
        <v>1.2368850615205243E-2</v>
      </c>
      <c r="V16" s="245">
        <f t="shared" si="3"/>
        <v>3.4994288189690772E-3</v>
      </c>
      <c r="W16" s="14"/>
      <c r="X16" s="14">
        <f t="shared" si="9"/>
        <v>6.3694217962361657E-3</v>
      </c>
      <c r="Y16" s="14">
        <f t="shared" si="10"/>
        <v>9.8688506152052428E-3</v>
      </c>
      <c r="Z16" s="14"/>
      <c r="AA16" s="14">
        <f t="shared" si="4"/>
        <v>-1.5101006806804128E-4</v>
      </c>
      <c r="AB16" s="14">
        <f t="shared" si="5"/>
        <v>2.3638000620129097E-3</v>
      </c>
      <c r="AC16" s="14">
        <f t="shared" si="6"/>
        <v>-1.7362968521373825E-4</v>
      </c>
      <c r="AD16" s="14">
        <f t="shared" si="7"/>
        <v>-4.4421650565543733E-4</v>
      </c>
      <c r="AE16" s="14">
        <f t="shared" si="8"/>
        <v>1.9044850158933843E-3</v>
      </c>
      <c r="AF16" s="14"/>
      <c r="AG16" s="245">
        <f t="shared" si="11"/>
        <v>3.4994288189690772E-3</v>
      </c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B16" s="19"/>
      <c r="BC16" s="19"/>
    </row>
    <row r="17" spans="1:55">
      <c r="A17" s="234">
        <v>44651</v>
      </c>
      <c r="B17" s="249">
        <v>2.845E-2</v>
      </c>
      <c r="C17" s="249">
        <v>5.9065629507793344E-2</v>
      </c>
      <c r="D17" s="249">
        <v>1.3166666666666667E-3</v>
      </c>
      <c r="E17" s="249">
        <v>4.2639592348920029E-2</v>
      </c>
      <c r="F17" s="235">
        <v>7.6908217390999198E-3</v>
      </c>
      <c r="G17" s="250"/>
      <c r="H17" s="249">
        <v>0.23245891742086547</v>
      </c>
      <c r="I17" s="249">
        <v>0.13779500256746446</v>
      </c>
      <c r="J17" s="249">
        <v>0.4132978589355879</v>
      </c>
      <c r="K17" s="249">
        <v>6.9083935881786962E-2</v>
      </c>
      <c r="L17" s="249">
        <v>0.14736428519429509</v>
      </c>
      <c r="M17" s="249"/>
      <c r="N17" s="249">
        <v>0.20461629807161677</v>
      </c>
      <c r="O17" s="249">
        <v>0.35106355943123246</v>
      </c>
      <c r="P17" s="249">
        <f t="shared" si="0"/>
        <v>0.26923917748852905</v>
      </c>
      <c r="Q17" s="249">
        <v>0.15794867498596105</v>
      </c>
      <c r="R17" s="249">
        <v>1.7132290022660701E-2</v>
      </c>
      <c r="S17" s="14"/>
      <c r="T17" s="14">
        <f t="shared" si="1"/>
        <v>1.9375643596561631E-2</v>
      </c>
      <c r="U17" s="14">
        <f t="shared" si="2"/>
        <v>3.3778250567550044E-2</v>
      </c>
      <c r="V17" s="245">
        <f t="shared" si="3"/>
        <v>1.4402606970988413E-2</v>
      </c>
      <c r="W17" s="14"/>
      <c r="X17" s="14">
        <f t="shared" si="9"/>
        <v>1.6875643596561633E-2</v>
      </c>
      <c r="Y17" s="14">
        <f t="shared" si="10"/>
        <v>3.1278250567550042E-2</v>
      </c>
      <c r="Z17" s="14"/>
      <c r="AA17" s="14">
        <f t="shared" si="4"/>
        <v>-2.5265385118035193E-4</v>
      </c>
      <c r="AB17" s="14">
        <f t="shared" si="5"/>
        <v>8.4646260172316704E-3</v>
      </c>
      <c r="AC17" s="14">
        <f t="shared" si="6"/>
        <v>2.6015524048035236E-3</v>
      </c>
      <c r="AD17" s="14">
        <f t="shared" si="7"/>
        <v>2.0673447364112051E-3</v>
      </c>
      <c r="AE17" s="14">
        <f t="shared" si="8"/>
        <v>1.5217376637223616E-3</v>
      </c>
      <c r="AF17" s="14"/>
      <c r="AG17" s="245">
        <f t="shared" si="11"/>
        <v>1.440260697098841E-2</v>
      </c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B17" s="19"/>
      <c r="BC17" s="19"/>
    </row>
    <row r="18" spans="1:55">
      <c r="A18" s="234">
        <v>44681</v>
      </c>
      <c r="B18" s="249">
        <v>-7.4250000000000002E-3</v>
      </c>
      <c r="C18" s="249">
        <v>-6.2158360476605602E-3</v>
      </c>
      <c r="D18" s="249">
        <v>-1.9833333333333335E-3</v>
      </c>
      <c r="E18" s="249">
        <v>-2.5098338761987787E-2</v>
      </c>
      <c r="F18" s="235">
        <v>1.5531360383145513E-3</v>
      </c>
      <c r="G18" s="250"/>
      <c r="H18" s="249">
        <v>0.2296048206588959</v>
      </c>
      <c r="I18" s="249">
        <v>0.13678581887072994</v>
      </c>
      <c r="J18" s="249">
        <v>0.41738109376191868</v>
      </c>
      <c r="K18" s="249">
        <v>6.7223062483905527E-2</v>
      </c>
      <c r="L18" s="249">
        <v>0.14900520422454983</v>
      </c>
      <c r="M18" s="249"/>
      <c r="N18" s="249">
        <v>0.23907615412612285</v>
      </c>
      <c r="O18" s="249">
        <v>0.35464416348436256</v>
      </c>
      <c r="P18" s="249">
        <f t="shared" si="0"/>
        <v>0.28328779123692099</v>
      </c>
      <c r="Q18" s="249">
        <v>0.12600092104556709</v>
      </c>
      <c r="R18" s="249">
        <v>-3.0090298929734693E-3</v>
      </c>
      <c r="S18" s="14"/>
      <c r="T18" s="14">
        <f t="shared" si="1"/>
        <v>-4.8386216953606566E-3</v>
      </c>
      <c r="U18" s="14">
        <f t="shared" si="2"/>
        <v>-7.7084917726428104E-3</v>
      </c>
      <c r="V18" s="245">
        <f t="shared" si="3"/>
        <v>-2.8698700772821538E-3</v>
      </c>
      <c r="W18" s="14"/>
      <c r="X18" s="14">
        <f t="shared" si="9"/>
        <v>-7.3386216953606562E-3</v>
      </c>
      <c r="Y18" s="14">
        <f t="shared" si="10"/>
        <v>-1.0208491772642811E-2</v>
      </c>
      <c r="Z18" s="14"/>
      <c r="AA18" s="14">
        <f t="shared" si="4"/>
        <v>-2.4496451395640315E-5</v>
      </c>
      <c r="AB18" s="14">
        <f t="shared" si="5"/>
        <v>-3.0003763897019323E-4</v>
      </c>
      <c r="AC18" s="14">
        <f t="shared" si="6"/>
        <v>-3.8287504612543493E-4</v>
      </c>
      <c r="AD18" s="14">
        <f t="shared" si="7"/>
        <v>-1.1908227842414906E-3</v>
      </c>
      <c r="AE18" s="14">
        <f t="shared" si="8"/>
        <v>-9.7163815654939317E-4</v>
      </c>
      <c r="AF18" s="14"/>
      <c r="AG18" s="245">
        <f t="shared" si="11"/>
        <v>-2.8698700772821521E-3</v>
      </c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B18" s="19"/>
      <c r="BC18" s="19"/>
    </row>
    <row r="19" spans="1:55">
      <c r="A19" s="234">
        <v>44712</v>
      </c>
      <c r="B19" s="249">
        <v>1.5975E-2</v>
      </c>
      <c r="C19" s="249">
        <v>4.1501101374272542E-2</v>
      </c>
      <c r="D19" s="249">
        <v>6.8166666666666662E-3</v>
      </c>
      <c r="E19" s="249">
        <v>2.9085536081878423E-2</v>
      </c>
      <c r="F19" s="235">
        <v>4.8086282162078716E-3</v>
      </c>
      <c r="G19" s="250"/>
      <c r="H19" s="249">
        <v>0.23600797609362939</v>
      </c>
      <c r="I19" s="249">
        <v>0.1363538601772733</v>
      </c>
      <c r="J19" s="249">
        <v>0.41424839894814947</v>
      </c>
      <c r="K19" s="249">
        <v>6.5181419784010847E-2</v>
      </c>
      <c r="L19" s="249">
        <v>0.14820834499693714</v>
      </c>
      <c r="M19" s="249"/>
      <c r="N19" s="249">
        <v>0.26103414733423574</v>
      </c>
      <c r="O19" s="249">
        <v>0.34015171228727453</v>
      </c>
      <c r="P19" s="249">
        <f t="shared" si="0"/>
        <v>0.28199354901331553</v>
      </c>
      <c r="Q19" s="249">
        <v>0.1640056943067871</v>
      </c>
      <c r="R19" s="249">
        <v>-4.7185102941612822E-2</v>
      </c>
      <c r="S19" s="14"/>
      <c r="T19" s="14">
        <f t="shared" si="1"/>
        <v>1.4861371411541672E-2</v>
      </c>
      <c r="U19" s="14">
        <f t="shared" si="2"/>
        <v>2.4752245145708951E-2</v>
      </c>
      <c r="V19" s="245">
        <f t="shared" si="3"/>
        <v>9.8908737341672787E-3</v>
      </c>
      <c r="W19" s="14"/>
      <c r="X19" s="14">
        <f t="shared" si="9"/>
        <v>1.2361371411541672E-2</v>
      </c>
      <c r="Y19" s="14">
        <f t="shared" si="10"/>
        <v>2.2252245145708952E-2</v>
      </c>
      <c r="Z19" s="14"/>
      <c r="AA19" s="14">
        <f t="shared" si="4"/>
        <v>2.7869859753192844E-5</v>
      </c>
      <c r="AB19" s="14">
        <f t="shared" si="5"/>
        <v>5.4291197471949939E-3</v>
      </c>
      <c r="AC19" s="14">
        <f t="shared" si="6"/>
        <v>1.0639512188034903E-3</v>
      </c>
      <c r="AD19" s="14">
        <f t="shared" si="7"/>
        <v>1.4056927542385343E-3</v>
      </c>
      <c r="AE19" s="14">
        <f t="shared" si="8"/>
        <v>1.9642401541770673E-3</v>
      </c>
      <c r="AF19" s="14"/>
      <c r="AG19" s="245">
        <f t="shared" si="11"/>
        <v>9.8908737341672787E-3</v>
      </c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B19" s="19"/>
      <c r="BC19" s="19"/>
    </row>
    <row r="20" spans="1:55">
      <c r="A20" s="234">
        <v>44742</v>
      </c>
      <c r="B20" s="249">
        <v>5.0000000000000001E-4</v>
      </c>
      <c r="C20" s="249">
        <v>1.2951226667778974E-2</v>
      </c>
      <c r="D20" s="249">
        <v>9.0916666666666663E-3</v>
      </c>
      <c r="E20" s="249">
        <v>-4.9642133311087189E-3</v>
      </c>
      <c r="F20" s="235">
        <v>2.4903744963362989E-3</v>
      </c>
      <c r="G20" s="250"/>
      <c r="H20" s="249">
        <v>0.23316917867449913</v>
      </c>
      <c r="I20" s="249">
        <v>0.13247747589520489</v>
      </c>
      <c r="J20" s="249">
        <v>0.42330267742504146</v>
      </c>
      <c r="K20" s="249">
        <v>6.6364018785202428E-2</v>
      </c>
      <c r="L20" s="249">
        <v>0.14468664922005209</v>
      </c>
      <c r="M20" s="249"/>
      <c r="N20" s="249">
        <v>0.2344683839231507</v>
      </c>
      <c r="O20" s="249">
        <v>0.32905910145556166</v>
      </c>
      <c r="P20" s="249">
        <f t="shared" si="0"/>
        <v>0.26121806109988616</v>
      </c>
      <c r="Q20" s="249">
        <v>0.17288762070583741</v>
      </c>
      <c r="R20" s="249">
        <v>2.3668328155640461E-3</v>
      </c>
      <c r="S20" s="14"/>
      <c r="T20" s="14">
        <f t="shared" si="1"/>
        <v>5.7117360447057983E-3</v>
      </c>
      <c r="U20" s="14">
        <f t="shared" si="2"/>
        <v>5.9015040094307506E-3</v>
      </c>
      <c r="V20" s="245">
        <f t="shared" si="3"/>
        <v>1.8976796472495224E-4</v>
      </c>
      <c r="W20" s="14"/>
      <c r="X20" s="14">
        <f t="shared" si="9"/>
        <v>3.2117360447057983E-3</v>
      </c>
      <c r="Y20" s="14">
        <f t="shared" si="10"/>
        <v>3.4015040094307505E-3</v>
      </c>
      <c r="Z20" s="14"/>
      <c r="AA20" s="14">
        <f t="shared" si="4"/>
        <v>-6.7711148238683421E-6</v>
      </c>
      <c r="AB20" s="14">
        <f t="shared" si="5"/>
        <v>1.423150834912685E-3</v>
      </c>
      <c r="AC20" s="14">
        <f t="shared" si="6"/>
        <v>-5.4783475806617079E-4</v>
      </c>
      <c r="AD20" s="14">
        <f t="shared" si="7"/>
        <v>-1.1372405814341171E-3</v>
      </c>
      <c r="AE20" s="14">
        <f t="shared" si="8"/>
        <v>4.584635841364245E-4</v>
      </c>
      <c r="AF20" s="14"/>
      <c r="AG20" s="245">
        <f t="shared" si="11"/>
        <v>1.8976796472495327E-4</v>
      </c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B20" s="19"/>
      <c r="BC20" s="19"/>
    </row>
    <row r="21" spans="1:55">
      <c r="A21" s="234">
        <v>44773</v>
      </c>
      <c r="B21" s="249">
        <v>3.375E-3</v>
      </c>
      <c r="C21" s="249">
        <v>1.61896705659492E-2</v>
      </c>
      <c r="D21" s="249">
        <v>-1.6833333333333333E-3</v>
      </c>
      <c r="E21" s="249">
        <v>1.9876744652317334E-3</v>
      </c>
      <c r="F21" s="235">
        <v>3.4212395243524954E-3</v>
      </c>
      <c r="G21" s="250"/>
      <c r="H21" s="249">
        <v>0.23562700459940888</v>
      </c>
      <c r="I21" s="249">
        <v>0.13425257504697855</v>
      </c>
      <c r="J21" s="249">
        <v>0.41922487403050285</v>
      </c>
      <c r="K21" s="249">
        <v>6.3774897007140258E-2</v>
      </c>
      <c r="L21" s="249">
        <v>0.14712064931596935</v>
      </c>
      <c r="M21" s="249"/>
      <c r="N21" s="249">
        <v>0.25655130926028424</v>
      </c>
      <c r="O21" s="249">
        <v>0.44046339592909406</v>
      </c>
      <c r="P21" s="249">
        <f t="shared" si="0"/>
        <v>0.27085818902955616</v>
      </c>
      <c r="Q21" s="249">
        <v>0.20050406852886912</v>
      </c>
      <c r="R21" s="249">
        <v>-0.16837696274780356</v>
      </c>
      <c r="S21" s="14"/>
      <c r="T21" s="14">
        <f t="shared" si="1"/>
        <v>2.8931496131380198E-3</v>
      </c>
      <c r="U21" s="14">
        <f t="shared" si="2"/>
        <v>7.3633522242516833E-3</v>
      </c>
      <c r="V21" s="245">
        <f t="shared" si="3"/>
        <v>4.4702026111136635E-3</v>
      </c>
      <c r="W21" s="14"/>
      <c r="X21" s="14">
        <f t="shared" si="9"/>
        <v>3.9314961313801971E-4</v>
      </c>
      <c r="Y21" s="14">
        <f t="shared" si="10"/>
        <v>4.8633522242516828E-3</v>
      </c>
      <c r="Z21" s="14"/>
      <c r="AA21" s="14">
        <f t="shared" si="4"/>
        <v>1.0082384295660728E-5</v>
      </c>
      <c r="AB21" s="14">
        <f t="shared" si="5"/>
        <v>4.0715385958365593E-3</v>
      </c>
      <c r="AC21" s="14">
        <f t="shared" si="6"/>
        <v>6.7899760373131958E-4</v>
      </c>
      <c r="AD21" s="14">
        <f t="shared" si="7"/>
        <v>-1.2380486680674144E-4</v>
      </c>
      <c r="AE21" s="14">
        <f t="shared" si="8"/>
        <v>-1.6661110594313691E-4</v>
      </c>
      <c r="AF21" s="14"/>
      <c r="AG21" s="245">
        <f t="shared" si="11"/>
        <v>4.4702026111136618E-3</v>
      </c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B21" s="19"/>
      <c r="BC21" s="19"/>
    </row>
    <row r="22" spans="1:55">
      <c r="A22" s="234">
        <v>44804</v>
      </c>
      <c r="B22" s="249">
        <v>5.3E-3</v>
      </c>
      <c r="C22" s="249">
        <v>1.890835586358007E-2</v>
      </c>
      <c r="D22" s="249">
        <v>-7.0833333333333338E-3</v>
      </c>
      <c r="E22" s="249">
        <v>4.2000450604934778E-3</v>
      </c>
      <c r="F22" s="235">
        <v>3.1314831386528384E-3</v>
      </c>
      <c r="G22" s="250"/>
      <c r="H22" s="249">
        <v>0.24104001594698796</v>
      </c>
      <c r="I22" s="249">
        <v>0.13629670994490534</v>
      </c>
      <c r="J22" s="249">
        <v>0.40805398757244654</v>
      </c>
      <c r="K22" s="249">
        <v>6.0365512739702629E-2</v>
      </c>
      <c r="L22" s="249">
        <v>0.15424377379595747</v>
      </c>
      <c r="M22" s="249"/>
      <c r="N22" s="249">
        <v>0.22331798079065787</v>
      </c>
      <c r="O22" s="249">
        <v>0.45631420609675499</v>
      </c>
      <c r="P22" s="249">
        <f t="shared" si="0"/>
        <v>0.30329175275542031</v>
      </c>
      <c r="Q22" s="249">
        <v>0.13252152677367424</v>
      </c>
      <c r="R22" s="249">
        <v>-0.11544546641650744</v>
      </c>
      <c r="S22" s="14"/>
      <c r="T22" s="14">
        <f t="shared" si="1"/>
        <v>1.7008260177117304E-3</v>
      </c>
      <c r="U22" s="14">
        <f t="shared" si="2"/>
        <v>7.8585009630750078E-3</v>
      </c>
      <c r="V22" s="245">
        <f t="shared" si="3"/>
        <v>6.1576749453632774E-3</v>
      </c>
      <c r="W22" s="14"/>
      <c r="X22" s="14">
        <f t="shared" si="9"/>
        <v>-7.9917398228826963E-4</v>
      </c>
      <c r="Y22" s="14">
        <f t="shared" si="10"/>
        <v>5.3585009630750073E-3</v>
      </c>
      <c r="Z22" s="14"/>
      <c r="AA22" s="14">
        <f t="shared" si="4"/>
        <v>-6.3784687847861268E-5</v>
      </c>
      <c r="AB22" s="14">
        <f t="shared" si="5"/>
        <v>5.5067106162330097E-3</v>
      </c>
      <c r="AC22" s="14">
        <f t="shared" si="6"/>
        <v>9.2024816460435979E-4</v>
      </c>
      <c r="AD22" s="14">
        <f t="shared" si="7"/>
        <v>1.8033368432492886E-4</v>
      </c>
      <c r="AE22" s="14">
        <f t="shared" si="8"/>
        <v>-3.8583283195115989E-4</v>
      </c>
      <c r="AF22" s="14"/>
      <c r="AG22" s="245">
        <f t="shared" si="11"/>
        <v>6.1576749453632774E-3</v>
      </c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B22" s="19"/>
      <c r="BC22" s="19"/>
    </row>
    <row r="23" spans="1:55">
      <c r="A23" s="234">
        <v>44834</v>
      </c>
      <c r="B23" s="249">
        <v>-9.5250000000000005E-3</v>
      </c>
      <c r="C23" s="249">
        <v>-1.1209949184674772E-2</v>
      </c>
      <c r="D23" s="249">
        <v>8.4666666666666675E-3</v>
      </c>
      <c r="E23" s="249">
        <v>-3.4511565036016212E-2</v>
      </c>
      <c r="F23" s="235">
        <v>-3.263016085955318E-4</v>
      </c>
      <c r="G23" s="250"/>
      <c r="H23" s="249">
        <v>0.23411242697484913</v>
      </c>
      <c r="I23" s="249">
        <v>0.1302967930501418</v>
      </c>
      <c r="J23" s="249">
        <v>0.42597837702050217</v>
      </c>
      <c r="K23" s="249">
        <v>6.0471360354579291E-2</v>
      </c>
      <c r="L23" s="249">
        <v>0.14914104259992753</v>
      </c>
      <c r="M23" s="249"/>
      <c r="N23" s="249">
        <v>0.2937541029891384</v>
      </c>
      <c r="O23" s="249">
        <v>0.41666253048904223</v>
      </c>
      <c r="P23" s="249">
        <f t="shared" si="0"/>
        <v>0.27204838114091301</v>
      </c>
      <c r="Q23" s="249">
        <v>0.11553177300958173</v>
      </c>
      <c r="R23" s="249">
        <v>-9.7996787628675364E-2</v>
      </c>
      <c r="S23" s="14"/>
      <c r="T23" s="14">
        <f t="shared" si="1"/>
        <v>-2.2195506183147668E-3</v>
      </c>
      <c r="U23" s="14">
        <f t="shared" si="2"/>
        <v>-9.1206364530913228E-3</v>
      </c>
      <c r="V23" s="245">
        <f t="shared" si="3"/>
        <v>-6.9010858347765564E-3</v>
      </c>
      <c r="W23" s="14"/>
      <c r="X23" s="14">
        <f t="shared" si="9"/>
        <v>-4.7195506183147669E-3</v>
      </c>
      <c r="Y23" s="14">
        <f t="shared" si="10"/>
        <v>-1.1620636453091323E-2</v>
      </c>
      <c r="Z23" s="14"/>
      <c r="AA23" s="14">
        <f t="shared" si="4"/>
        <v>-4.3570924516126059E-4</v>
      </c>
      <c r="AB23" s="14">
        <f t="shared" si="5"/>
        <v>-2.5745421153253161E-3</v>
      </c>
      <c r="AC23" s="14">
        <f t="shared" si="6"/>
        <v>-1.6449293826455867E-3</v>
      </c>
      <c r="AD23" s="14">
        <f t="shared" si="7"/>
        <v>-1.7780116392999297E-3</v>
      </c>
      <c r="AE23" s="14">
        <f t="shared" si="8"/>
        <v>-4.6789345234446287E-4</v>
      </c>
      <c r="AF23" s="14"/>
      <c r="AG23" s="245">
        <f t="shared" si="11"/>
        <v>-6.9010858347765564E-3</v>
      </c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B23" s="19"/>
      <c r="BC23" s="19"/>
    </row>
    <row r="24" spans="1:55">
      <c r="A24" s="234">
        <v>44865</v>
      </c>
      <c r="B24" s="249">
        <v>1.6975000000000001E-2</v>
      </c>
      <c r="C24" s="249">
        <v>4.781716591940495E-2</v>
      </c>
      <c r="D24" s="249">
        <v>-5.8333333333333414E-5</v>
      </c>
      <c r="E24" s="249">
        <v>3.9167665172143228E-2</v>
      </c>
      <c r="F24" s="235">
        <v>6.0404954895493584E-3</v>
      </c>
      <c r="G24" s="250"/>
      <c r="H24" s="249">
        <v>0.24180047047937722</v>
      </c>
      <c r="I24" s="249">
        <v>0.13304659385951281</v>
      </c>
      <c r="J24" s="249">
        <v>0.41189668355931958</v>
      </c>
      <c r="K24" s="249">
        <v>5.9895499699568949E-2</v>
      </c>
      <c r="L24" s="249">
        <v>0.15336075240222141</v>
      </c>
      <c r="M24" s="249"/>
      <c r="N24" s="249">
        <v>0.21013651819115939</v>
      </c>
      <c r="O24" s="249">
        <v>0.41153437914112628</v>
      </c>
      <c r="P24" s="249">
        <f t="shared" si="0"/>
        <v>0.38048073991624132</v>
      </c>
      <c r="Q24" s="249">
        <v>0.18186175322211964</v>
      </c>
      <c r="R24" s="249">
        <v>-0.18401339047064669</v>
      </c>
      <c r="S24" s="14"/>
      <c r="T24" s="14">
        <f t="shared" si="1"/>
        <v>1.3714788544148912E-2</v>
      </c>
      <c r="U24" s="14">
        <f t="shared" si="2"/>
        <v>2.9234848578065322E-2</v>
      </c>
      <c r="V24" s="245">
        <f t="shared" si="3"/>
        <v>1.552006003391641E-2</v>
      </c>
      <c r="W24" s="14"/>
      <c r="X24" s="14">
        <f t="shared" si="9"/>
        <v>1.1214788544148912E-2</v>
      </c>
      <c r="Y24" s="14">
        <f t="shared" si="10"/>
        <v>2.6734848578065323E-2</v>
      </c>
      <c r="Z24" s="14"/>
      <c r="AA24" s="14">
        <f t="shared" si="4"/>
        <v>-1.0323117998757007E-4</v>
      </c>
      <c r="AB24" s="14">
        <f t="shared" si="5"/>
        <v>9.497095548072855E-3</v>
      </c>
      <c r="AC24" s="14">
        <f t="shared" si="6"/>
        <v>4.3269562069223045E-4</v>
      </c>
      <c r="AD24" s="14">
        <f t="shared" si="7"/>
        <v>3.1043920036881601E-3</v>
      </c>
      <c r="AE24" s="14">
        <f t="shared" si="8"/>
        <v>2.5891080414507293E-3</v>
      </c>
      <c r="AF24" s="14"/>
      <c r="AG24" s="245">
        <f t="shared" si="11"/>
        <v>1.5520060033916405E-2</v>
      </c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B24" s="19"/>
      <c r="BC24" s="19"/>
    </row>
    <row r="25" spans="1:55">
      <c r="A25" s="234">
        <v>44895</v>
      </c>
      <c r="B25" s="249">
        <v>1.25E-3</v>
      </c>
      <c r="C25" s="249">
        <v>1.3385481556260492E-2</v>
      </c>
      <c r="D25" s="249">
        <v>-1.0908333333333334E-2</v>
      </c>
      <c r="E25" s="249">
        <v>1.0292964458543177E-3</v>
      </c>
      <c r="F25" s="235">
        <v>2.644874299375224E-3</v>
      </c>
      <c r="G25" s="250"/>
      <c r="H25" s="249">
        <v>0.24509465984418824</v>
      </c>
      <c r="I25" s="249">
        <v>0.1386656381275666</v>
      </c>
      <c r="J25" s="249">
        <v>0.39730439706390908</v>
      </c>
      <c r="K25" s="249">
        <v>5.7050678853607491E-2</v>
      </c>
      <c r="L25" s="249">
        <v>0.16188462611072851</v>
      </c>
      <c r="M25" s="249"/>
      <c r="N25" s="249">
        <v>0.25873377551965715</v>
      </c>
      <c r="O25" s="249">
        <v>0.30841391854206313</v>
      </c>
      <c r="P25" s="249">
        <f t="shared" si="0"/>
        <v>0.27805486661707696</v>
      </c>
      <c r="Q25" s="249">
        <v>0.10790217740248026</v>
      </c>
      <c r="R25" s="249">
        <v>4.6895261918722508E-2</v>
      </c>
      <c r="S25" s="14"/>
      <c r="T25" s="14">
        <f t="shared" si="1"/>
        <v>-1.6845675834814442E-3</v>
      </c>
      <c r="U25" s="14">
        <f t="shared" si="2"/>
        <v>1.6536662684353827E-3</v>
      </c>
      <c r="V25" s="245">
        <f t="shared" si="3"/>
        <v>3.3382338519168269E-3</v>
      </c>
      <c r="W25" s="14"/>
      <c r="X25" s="14">
        <f t="shared" si="9"/>
        <v>-4.1845675834814439E-3</v>
      </c>
      <c r="Y25" s="14">
        <f t="shared" si="10"/>
        <v>-8.4633373156461737E-4</v>
      </c>
      <c r="Z25" s="14"/>
      <c r="AA25" s="14">
        <f t="shared" si="4"/>
        <v>4.0024906728584687E-5</v>
      </c>
      <c r="AB25" s="14">
        <f t="shared" si="5"/>
        <v>2.5581149272331559E-3</v>
      </c>
      <c r="AC25" s="14">
        <f t="shared" si="6"/>
        <v>1.0999297346214103E-3</v>
      </c>
      <c r="AD25" s="14">
        <f t="shared" si="7"/>
        <v>1.3800405274960549E-4</v>
      </c>
      <c r="AE25" s="14">
        <f t="shared" si="8"/>
        <v>-4.9783976941592954E-4</v>
      </c>
      <c r="AF25" s="14"/>
      <c r="AG25" s="245">
        <f t="shared" si="11"/>
        <v>3.3382338519168274E-3</v>
      </c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B25" s="19"/>
      <c r="BC25" s="19"/>
    </row>
    <row r="26" spans="1:55">
      <c r="A26" s="234">
        <v>44926</v>
      </c>
      <c r="B26" s="249">
        <v>2.0899999999999998E-2</v>
      </c>
      <c r="C26" s="249">
        <v>4.716385529249819E-2</v>
      </c>
      <c r="D26" s="249">
        <v>2.3491666666666668E-2</v>
      </c>
      <c r="E26" s="249">
        <v>2.9211043918329717E-2</v>
      </c>
      <c r="F26" s="235">
        <v>5.7231741404435892E-3</v>
      </c>
      <c r="G26" s="250"/>
      <c r="H26" s="249">
        <v>0.25169103837777307</v>
      </c>
      <c r="I26" s="249">
        <v>0.12980401565135188</v>
      </c>
      <c r="J26" s="249">
        <v>0.41190054628498413</v>
      </c>
      <c r="K26" s="249">
        <v>5.5044782648892898E-2</v>
      </c>
      <c r="L26" s="249">
        <v>0.151559617036998</v>
      </c>
      <c r="M26" s="249"/>
      <c r="N26" s="249">
        <v>0.28034313762067264</v>
      </c>
      <c r="O26" s="249">
        <v>0.36009667624184594</v>
      </c>
      <c r="P26" s="249">
        <f t="shared" si="0"/>
        <v>0.37833101013757781</v>
      </c>
      <c r="Q26" s="249">
        <v>0.10512844029579388</v>
      </c>
      <c r="R26" s="249">
        <v>-0.12389926429589027</v>
      </c>
      <c r="S26" s="14"/>
      <c r="T26" s="14">
        <f t="shared" si="1"/>
        <v>2.3533948490199144E-2</v>
      </c>
      <c r="U26" s="14">
        <f t="shared" si="2"/>
        <v>3.4092159506775029E-2</v>
      </c>
      <c r="V26" s="245">
        <f t="shared" si="3"/>
        <v>1.0558211016575884E-2</v>
      </c>
      <c r="W26" s="14"/>
      <c r="X26" s="14">
        <f t="shared" si="9"/>
        <v>2.1033948490199145E-2</v>
      </c>
      <c r="Y26" s="14">
        <f t="shared" si="10"/>
        <v>3.1592159506775026E-2</v>
      </c>
      <c r="Z26" s="14"/>
      <c r="AA26" s="14">
        <f t="shared" si="4"/>
        <v>-7.5468153541871427E-5</v>
      </c>
      <c r="AB26" s="14">
        <f t="shared" si="5"/>
        <v>5.4417941070068606E-3</v>
      </c>
      <c r="AC26" s="14">
        <f t="shared" si="6"/>
        <v>1.4193812034517252E-6</v>
      </c>
      <c r="AD26" s="14">
        <f t="shared" si="7"/>
        <v>2.8432970385127836E-4</v>
      </c>
      <c r="AE26" s="14">
        <f t="shared" si="8"/>
        <v>4.9061359780561654E-3</v>
      </c>
      <c r="AF26" s="14"/>
      <c r="AG26" s="245">
        <f t="shared" si="11"/>
        <v>1.0558211016575884E-2</v>
      </c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B26" s="19"/>
      <c r="BC26" s="19"/>
    </row>
    <row r="27" spans="1:55">
      <c r="A27" s="234">
        <v>44957</v>
      </c>
      <c r="B27" s="249">
        <v>1.2449999999999999E-2</v>
      </c>
      <c r="C27" s="249">
        <v>3.4784271941571208E-2</v>
      </c>
      <c r="D27" s="249">
        <v>2.8916666666666665E-3</v>
      </c>
      <c r="E27" s="249">
        <v>2.2176877216475745E-2</v>
      </c>
      <c r="F27" s="235">
        <v>4.0260585420292053E-3</v>
      </c>
      <c r="G27" s="250"/>
      <c r="H27" s="249">
        <v>0.25770056943433217</v>
      </c>
      <c r="I27" s="249">
        <v>0.1301898649343414</v>
      </c>
      <c r="J27" s="249">
        <v>0.40637589143101432</v>
      </c>
      <c r="K27" s="249">
        <v>5.3009089090378693E-2</v>
      </c>
      <c r="L27" s="249">
        <v>0.15272458510993342</v>
      </c>
      <c r="M27" s="249"/>
      <c r="N27" s="249">
        <v>0.26406454604084928</v>
      </c>
      <c r="O27" s="249">
        <v>0.38284026998063864</v>
      </c>
      <c r="P27" s="249">
        <f t="shared" si="0"/>
        <v>0.32270306523343373</v>
      </c>
      <c r="Q27" s="249">
        <v>0.15703067108643634</v>
      </c>
      <c r="R27" s="249">
        <v>-0.12663855234135801</v>
      </c>
      <c r="S27" s="14"/>
      <c r="T27" s="14">
        <f t="shared" si="1"/>
        <v>1.0702489555332274E-2</v>
      </c>
      <c r="U27" s="14">
        <f t="shared" si="2"/>
        <v>2.0510169042866878E-2</v>
      </c>
      <c r="V27" s="245">
        <f t="shared" si="3"/>
        <v>9.8076794875346044E-3</v>
      </c>
      <c r="W27" s="14"/>
      <c r="X27" s="14">
        <f t="shared" si="9"/>
        <v>8.2024895553322735E-3</v>
      </c>
      <c r="Y27" s="14">
        <f t="shared" si="10"/>
        <v>1.801016904286688E-2</v>
      </c>
      <c r="Z27" s="14"/>
      <c r="AA27" s="14">
        <f t="shared" si="4"/>
        <v>1.1121115589509712E-5</v>
      </c>
      <c r="AB27" s="14">
        <f t="shared" si="5"/>
        <v>6.0842720741200521E-3</v>
      </c>
      <c r="AC27" s="14">
        <f t="shared" si="6"/>
        <v>6.5355362602340181E-4</v>
      </c>
      <c r="AD27" s="14">
        <f t="shared" si="7"/>
        <v>1.1935839569481878E-3</v>
      </c>
      <c r="AE27" s="14">
        <f t="shared" si="8"/>
        <v>1.8651487148534502E-3</v>
      </c>
      <c r="AF27" s="14"/>
      <c r="AG27" s="245">
        <f t="shared" si="11"/>
        <v>9.8076794875346009E-3</v>
      </c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B27" s="19"/>
      <c r="BC27" s="19"/>
    </row>
    <row r="28" spans="1:55">
      <c r="A28" s="234">
        <v>44985</v>
      </c>
      <c r="B28" s="249">
        <v>2.1874999999999999E-2</v>
      </c>
      <c r="C28" s="249">
        <v>4.9243424207913625E-2</v>
      </c>
      <c r="D28" s="249">
        <v>1.5466666666666667E-2</v>
      </c>
      <c r="E28" s="249">
        <v>3.1395181749160589E-2</v>
      </c>
      <c r="F28" s="235">
        <v>6.840332421716739E-3</v>
      </c>
      <c r="G28" s="250"/>
      <c r="H28" s="249">
        <v>0.26698427580410372</v>
      </c>
      <c r="I28" s="249">
        <v>0.12227464188590396</v>
      </c>
      <c r="J28" s="249">
        <v>0.41109194137821398</v>
      </c>
      <c r="K28" s="249">
        <v>5.0661600408827723E-2</v>
      </c>
      <c r="L28" s="249">
        <v>0.14898754052295052</v>
      </c>
      <c r="M28" s="249"/>
      <c r="N28" s="249">
        <v>0.28981811006608643</v>
      </c>
      <c r="O28" s="249">
        <v>0.28484796407284896</v>
      </c>
      <c r="P28" s="249">
        <f t="shared" si="0"/>
        <v>0.22601404843702394</v>
      </c>
      <c r="Q28" s="249">
        <v>8.5267477220957011E-2</v>
      </c>
      <c r="R28" s="249">
        <v>0.11405240020308371</v>
      </c>
      <c r="S28" s="14"/>
      <c r="T28" s="14">
        <f t="shared" si="1"/>
        <v>2.0829379576532241E-2</v>
      </c>
      <c r="U28" s="14">
        <f t="shared" si="2"/>
        <v>2.7319488511982903E-2</v>
      </c>
      <c r="V28" s="245">
        <f t="shared" si="3"/>
        <v>6.4901089354506628E-3</v>
      </c>
      <c r="W28" s="14"/>
      <c r="X28" s="14">
        <f t="shared" si="9"/>
        <v>1.8329379576532242E-2</v>
      </c>
      <c r="Y28" s="14">
        <f t="shared" si="10"/>
        <v>2.4819488511982905E-2</v>
      </c>
      <c r="Z28" s="14"/>
      <c r="AA28" s="14">
        <f t="shared" si="4"/>
        <v>2.3875523450406963E-5</v>
      </c>
      <c r="AB28" s="14">
        <f t="shared" si="5"/>
        <v>4.6193656324917997E-3</v>
      </c>
      <c r="AC28" s="14">
        <f t="shared" si="6"/>
        <v>9.925196058064383E-4</v>
      </c>
      <c r="AD28" s="14">
        <f t="shared" si="7"/>
        <v>3.6563884840730459E-4</v>
      </c>
      <c r="AE28" s="14">
        <f t="shared" si="8"/>
        <v>4.8870932529471297E-4</v>
      </c>
      <c r="AF28" s="14"/>
      <c r="AG28" s="245">
        <f t="shared" si="11"/>
        <v>6.4901089354506628E-3</v>
      </c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B28" s="19"/>
      <c r="BC28" s="19"/>
    </row>
    <row r="29" spans="1:55">
      <c r="A29" s="234">
        <v>45016</v>
      </c>
      <c r="B29" s="249">
        <v>-1.0975E-2</v>
      </c>
      <c r="C29" s="249">
        <v>1.1154121808765929E-3</v>
      </c>
      <c r="D29" s="249">
        <v>1.1366666666666667E-2</v>
      </c>
      <c r="E29" s="249">
        <v>-7.7608423049134803E-3</v>
      </c>
      <c r="F29" s="235">
        <v>1.3633579337544507E-3</v>
      </c>
      <c r="G29" s="250"/>
      <c r="H29" s="249">
        <v>0.25237206032226855</v>
      </c>
      <c r="I29" s="249">
        <v>0.12807842189479998</v>
      </c>
      <c r="J29" s="249">
        <v>0.42491437612690797</v>
      </c>
      <c r="K29" s="249">
        <v>5.567248963639581E-2</v>
      </c>
      <c r="L29" s="249">
        <v>0.13896265201962765</v>
      </c>
      <c r="M29" s="249"/>
      <c r="N29" s="249">
        <v>0.25365443991893732</v>
      </c>
      <c r="O29" s="249">
        <v>0.41145510499632365</v>
      </c>
      <c r="P29" s="249">
        <f t="shared" si="0"/>
        <v>0.39182696312091142</v>
      </c>
      <c r="Q29" s="249">
        <v>0.128701789114326</v>
      </c>
      <c r="R29" s="249">
        <v>-0.1856382971504984</v>
      </c>
      <c r="S29" s="14"/>
      <c r="T29" s="14">
        <f t="shared" si="1"/>
        <v>1.9603273664977219E-3</v>
      </c>
      <c r="U29" s="14">
        <f t="shared" si="2"/>
        <v>8.7692530378880051E-4</v>
      </c>
      <c r="V29" s="245">
        <f t="shared" si="3"/>
        <v>-1.0834020627089214E-3</v>
      </c>
      <c r="W29" s="14"/>
      <c r="X29" s="14">
        <f t="shared" si="9"/>
        <v>-5.3967263350227813E-4</v>
      </c>
      <c r="Y29" s="14">
        <f t="shared" si="10"/>
        <v>-1.6230746962111995E-3</v>
      </c>
      <c r="Z29" s="14"/>
      <c r="AA29" s="14">
        <f t="shared" si="4"/>
        <v>-1.6587999891027854E-5</v>
      </c>
      <c r="AB29" s="14">
        <f t="shared" si="5"/>
        <v>-2.394292628034237E-4</v>
      </c>
      <c r="AC29" s="14">
        <f t="shared" si="6"/>
        <v>-3.1123143329922639E-4</v>
      </c>
      <c r="AD29" s="14">
        <f t="shared" si="7"/>
        <v>-7.0993021120926091E-4</v>
      </c>
      <c r="AE29" s="14">
        <f t="shared" si="8"/>
        <v>1.9377684449401757E-4</v>
      </c>
      <c r="AF29" s="14"/>
      <c r="AG29" s="245">
        <f t="shared" si="11"/>
        <v>-1.0834020627089214E-3</v>
      </c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B29" s="19"/>
      <c r="BC29" s="19"/>
    </row>
    <row r="30" spans="1:55">
      <c r="A30" s="234">
        <v>45046</v>
      </c>
      <c r="B30" s="249">
        <v>6.025E-3</v>
      </c>
      <c r="C30" s="249">
        <v>2.901978197903736E-2</v>
      </c>
      <c r="D30" s="249">
        <v>-1.6783333333333334E-2</v>
      </c>
      <c r="E30" s="249">
        <v>2.1072897291408051E-2</v>
      </c>
      <c r="F30" s="235">
        <v>4.2716256365270969E-3</v>
      </c>
      <c r="G30" s="250"/>
      <c r="H30" s="249">
        <v>0.25846737722480989</v>
      </c>
      <c r="I30" s="249">
        <v>0.13670078544135711</v>
      </c>
      <c r="J30" s="249">
        <v>0.39640862607083227</v>
      </c>
      <c r="K30" s="249">
        <v>5.6126292384132047E-2</v>
      </c>
      <c r="L30" s="249">
        <v>0.15229691887886873</v>
      </c>
      <c r="M30" s="249"/>
      <c r="N30" s="249">
        <v>0.28522449878183048</v>
      </c>
      <c r="O30" s="249">
        <v>0.45862822046692986</v>
      </c>
      <c r="P30" s="249">
        <f t="shared" si="0"/>
        <v>0.28629160477291282</v>
      </c>
      <c r="Q30" s="249">
        <v>0.10212751253186866</v>
      </c>
      <c r="R30" s="249">
        <v>-0.1322718365535418</v>
      </c>
      <c r="S30" s="14"/>
      <c r="T30" s="14">
        <f t="shared" si="1"/>
        <v>7.0453384790077392E-4</v>
      </c>
      <c r="U30" s="14">
        <f t="shared" si="2"/>
        <v>1.1809947953304419E-2</v>
      </c>
      <c r="V30" s="245">
        <f t="shared" si="3"/>
        <v>1.1105414105403645E-2</v>
      </c>
      <c r="W30" s="14"/>
      <c r="X30" s="14">
        <f t="shared" si="9"/>
        <v>-1.7954661520992261E-3</v>
      </c>
      <c r="Y30" s="14">
        <f t="shared" si="10"/>
        <v>9.3099479533044188E-3</v>
      </c>
      <c r="Z30" s="14"/>
      <c r="AA30" s="14">
        <f t="shared" si="4"/>
        <v>1.4236035957173259E-4</v>
      </c>
      <c r="AB30" s="14">
        <f t="shared" si="5"/>
        <v>9.1154552029694431E-3</v>
      </c>
      <c r="AC30" s="14">
        <f t="shared" si="6"/>
        <v>1.9257118428511429E-3</v>
      </c>
      <c r="AD30" s="14">
        <f t="shared" si="7"/>
        <v>9.3696957081388895E-4</v>
      </c>
      <c r="AE30" s="14">
        <f t="shared" si="8"/>
        <v>-1.015082870802564E-3</v>
      </c>
      <c r="AF30" s="14"/>
      <c r="AG30" s="245">
        <f t="shared" si="11"/>
        <v>1.1105414105403643E-2</v>
      </c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B30" s="19"/>
      <c r="BC30" s="19"/>
    </row>
    <row r="31" spans="1:55">
      <c r="A31" s="234">
        <v>45077</v>
      </c>
      <c r="B31" s="249">
        <v>-4.4749999999999998E-3</v>
      </c>
      <c r="C31" s="249">
        <v>1.6448666422511429E-4</v>
      </c>
      <c r="D31" s="249">
        <v>-1.0383333333333333E-2</v>
      </c>
      <c r="E31" s="249">
        <v>-1.7962693338216439E-2</v>
      </c>
      <c r="F31" s="235">
        <v>1.8512082849274157E-3</v>
      </c>
      <c r="G31" s="250"/>
      <c r="H31" s="249">
        <v>0.25891470086660118</v>
      </c>
      <c r="I31" s="249">
        <v>0.13775537865186904</v>
      </c>
      <c r="J31" s="249">
        <v>0.38753896317983072</v>
      </c>
      <c r="K31" s="249">
        <v>5.4609030461982858E-2</v>
      </c>
      <c r="L31" s="249">
        <v>0.16118192683971608</v>
      </c>
      <c r="M31" s="249"/>
      <c r="N31" s="249">
        <v>0.27909690332556492</v>
      </c>
      <c r="O31" s="249">
        <v>0.36673222778257308</v>
      </c>
      <c r="P31" s="249">
        <f t="shared" si="0"/>
        <v>0.36501405784234436</v>
      </c>
      <c r="Q31" s="249">
        <v>0.17440545699977877</v>
      </c>
      <c r="R31" s="249">
        <v>-0.18524864595026114</v>
      </c>
      <c r="S31" s="14"/>
      <c r="T31" s="14">
        <f t="shared" si="1"/>
        <v>-5.8424745473547738E-3</v>
      </c>
      <c r="U31" s="14">
        <f t="shared" si="2"/>
        <v>-8.4544242842530069E-3</v>
      </c>
      <c r="V31" s="245">
        <f t="shared" si="3"/>
        <v>-2.6119497368982331E-3</v>
      </c>
      <c r="W31" s="14"/>
      <c r="X31" s="14">
        <f t="shared" si="9"/>
        <v>-8.3424745473547734E-3</v>
      </c>
      <c r="Y31" s="14">
        <f t="shared" si="10"/>
        <v>-1.0954424284253007E-2</v>
      </c>
      <c r="Z31" s="14"/>
      <c r="AA31" s="14">
        <f t="shared" si="4"/>
        <v>2.7598648172193845E-5</v>
      </c>
      <c r="AB31" s="14">
        <f t="shared" si="5"/>
        <v>1.3754550510779193E-3</v>
      </c>
      <c r="AC31" s="14">
        <f t="shared" si="6"/>
        <v>1.0228241430506026E-4</v>
      </c>
      <c r="AD31" s="14">
        <f t="shared" si="7"/>
        <v>-1.4519589000014732E-3</v>
      </c>
      <c r="AE31" s="14">
        <f t="shared" si="8"/>
        <v>-2.6653269504519333E-3</v>
      </c>
      <c r="AF31" s="14"/>
      <c r="AG31" s="245">
        <f t="shared" si="11"/>
        <v>-2.6119497368982331E-3</v>
      </c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B31" s="19"/>
      <c r="BC31" s="19"/>
    </row>
    <row r="32" spans="1:55">
      <c r="A32" s="234">
        <v>45107</v>
      </c>
      <c r="B32" s="249">
        <v>2.9250000000000001E-3</v>
      </c>
      <c r="C32" s="249">
        <v>1.29500569094831E-2</v>
      </c>
      <c r="D32" s="249">
        <v>-1.9333333333333336E-3</v>
      </c>
      <c r="E32" s="249">
        <v>-7.3165528477004659E-3</v>
      </c>
      <c r="F32" s="235">
        <v>2.2791069568063541E-3</v>
      </c>
      <c r="G32" s="250"/>
      <c r="H32" s="249">
        <v>0.26194913880038728</v>
      </c>
      <c r="I32" s="249">
        <v>0.13363452110367249</v>
      </c>
      <c r="J32" s="249">
        <v>0.38454953490925786</v>
      </c>
      <c r="K32" s="249">
        <v>5.3217543600630329E-2</v>
      </c>
      <c r="L32" s="249">
        <v>0.16664926158605209</v>
      </c>
      <c r="M32" s="249"/>
      <c r="N32" s="249">
        <v>0.27329423598957436</v>
      </c>
      <c r="O32" s="249">
        <v>0.3381928017338261</v>
      </c>
      <c r="P32" s="249">
        <f t="shared" si="0"/>
        <v>0.26367055375472936</v>
      </c>
      <c r="Q32" s="249">
        <v>0.13108910655763731</v>
      </c>
      <c r="R32" s="249">
        <v>-6.246698035767162E-3</v>
      </c>
      <c r="S32" s="14"/>
      <c r="T32" s="14">
        <f t="shared" si="1"/>
        <v>1.743755971445911E-3</v>
      </c>
      <c r="U32" s="14">
        <f t="shared" si="2"/>
        <v>3.6958813296704331E-3</v>
      </c>
      <c r="V32" s="245">
        <f t="shared" si="3"/>
        <v>1.9521253582245222E-3</v>
      </c>
      <c r="W32" s="14"/>
      <c r="X32" s="14">
        <f t="shared" si="9"/>
        <v>-7.562440285540891E-4</v>
      </c>
      <c r="Y32" s="14">
        <f t="shared" si="10"/>
        <v>1.1958813296704331E-3</v>
      </c>
      <c r="Z32" s="14"/>
      <c r="AA32" s="14">
        <f t="shared" si="4"/>
        <v>1.340132830809302E-5</v>
      </c>
      <c r="AB32" s="14">
        <f t="shared" si="5"/>
        <v>2.2923416521089647E-3</v>
      </c>
      <c r="AC32" s="14">
        <f t="shared" si="6"/>
        <v>4.4448280877592861E-4</v>
      </c>
      <c r="AD32" s="14">
        <f t="shared" si="7"/>
        <v>-7.055404086200827E-4</v>
      </c>
      <c r="AE32" s="14">
        <f t="shared" si="8"/>
        <v>-9.256002234838033E-5</v>
      </c>
      <c r="AF32" s="14"/>
      <c r="AG32" s="245">
        <f t="shared" si="11"/>
        <v>1.9521253582245233E-3</v>
      </c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B32" s="19"/>
      <c r="BC32" s="19"/>
    </row>
    <row r="33" spans="1:55">
      <c r="A33" s="234">
        <v>45138</v>
      </c>
      <c r="B33" s="249">
        <v>-1.555E-2</v>
      </c>
      <c r="C33" s="249">
        <v>-1.8509634020949302E-2</v>
      </c>
      <c r="D33" s="249">
        <v>-1.7333333333333335E-3</v>
      </c>
      <c r="E33" s="249">
        <v>-3.7135934708565271E-2</v>
      </c>
      <c r="F33" s="235">
        <v>-1.0362668806119428E-4</v>
      </c>
      <c r="G33" s="250"/>
      <c r="H33" s="249">
        <v>0.25217298631798468</v>
      </c>
      <c r="I33" s="249">
        <v>0.1348568435250784</v>
      </c>
      <c r="J33" s="249">
        <v>0.39201442958258731</v>
      </c>
      <c r="K33" s="249">
        <v>5.423057443190385E-2</v>
      </c>
      <c r="L33" s="249">
        <v>0.16672516614244554</v>
      </c>
      <c r="M33" s="249"/>
      <c r="N33" s="249">
        <v>0.27454406967570533</v>
      </c>
      <c r="O33" s="249">
        <v>0.3260325917396697</v>
      </c>
      <c r="P33" s="249">
        <f t="shared" si="0"/>
        <v>0.27119506580575997</v>
      </c>
      <c r="Q33" s="249">
        <v>2.7075621904414329E-2</v>
      </c>
      <c r="R33" s="249">
        <v>0.10115265087445069</v>
      </c>
      <c r="S33" s="14"/>
      <c r="T33" s="14">
        <f t="shared" si="1"/>
        <v>-9.1281126821524047E-3</v>
      </c>
      <c r="U33" s="14">
        <f t="shared" si="2"/>
        <v>-1.1789936324291593E-2</v>
      </c>
      <c r="V33" s="245">
        <f t="shared" si="3"/>
        <v>-2.661823642139188E-3</v>
      </c>
      <c r="W33" s="14"/>
      <c r="X33" s="14">
        <f t="shared" si="9"/>
        <v>-1.1628112682152405E-2</v>
      </c>
      <c r="Y33" s="14">
        <f t="shared" si="10"/>
        <v>-1.4289936324291593E-2</v>
      </c>
      <c r="Z33" s="14"/>
      <c r="AA33" s="14">
        <f t="shared" si="4"/>
        <v>-1.436645765014576E-4</v>
      </c>
      <c r="AB33" s="14">
        <f t="shared" si="5"/>
        <v>-1.793519361335651E-3</v>
      </c>
      <c r="AC33" s="14">
        <f t="shared" si="6"/>
        <v>-8.9343253619434174E-4</v>
      </c>
      <c r="AD33" s="14">
        <f t="shared" si="7"/>
        <v>7.6055107752561672E-4</v>
      </c>
      <c r="AE33" s="14">
        <f t="shared" si="8"/>
        <v>-5.9175824563335161E-4</v>
      </c>
      <c r="AF33" s="14"/>
      <c r="AG33" s="245">
        <f t="shared" si="11"/>
        <v>-2.6618236421391854E-3</v>
      </c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B33" s="19"/>
      <c r="BC33" s="19"/>
    </row>
    <row r="34" spans="1:55">
      <c r="A34" s="234">
        <v>45169</v>
      </c>
      <c r="B34" s="249">
        <v>-3.4749999999999998E-3</v>
      </c>
      <c r="C34" s="249">
        <v>9.118145741289484E-3</v>
      </c>
      <c r="D34" s="249">
        <v>1.6816666666666667E-2</v>
      </c>
      <c r="E34" s="249">
        <v>-3.2553751840877047E-3</v>
      </c>
      <c r="F34" s="235">
        <v>2.1355063030117894E-3</v>
      </c>
      <c r="G34" s="250"/>
      <c r="H34" s="249">
        <v>0.24400045665199366</v>
      </c>
      <c r="I34" s="249">
        <v>0.13597344998176322</v>
      </c>
      <c r="J34" s="249">
        <v>0.41053115163828241</v>
      </c>
      <c r="K34" s="249">
        <v>5.6107474496297965E-2</v>
      </c>
      <c r="L34" s="249">
        <v>0.15338746723166274</v>
      </c>
      <c r="M34" s="249"/>
      <c r="N34" s="249">
        <v>0.26650705472027847</v>
      </c>
      <c r="O34" s="249">
        <v>0.37082759029952922</v>
      </c>
      <c r="P34" s="249">
        <f t="shared" si="0"/>
        <v>0.37279522026205414</v>
      </c>
      <c r="Q34" s="249">
        <v>0.15065274697748918</v>
      </c>
      <c r="R34" s="249">
        <v>-0.16078261225935098</v>
      </c>
      <c r="S34" s="14"/>
      <c r="T34" s="14">
        <f t="shared" si="1"/>
        <v>7.4405987033569054E-3</v>
      </c>
      <c r="U34" s="14">
        <f t="shared" si="2"/>
        <v>7.8905374563431642E-3</v>
      </c>
      <c r="V34" s="245">
        <f t="shared" si="3"/>
        <v>4.4993875298625884E-4</v>
      </c>
      <c r="W34" s="14"/>
      <c r="X34" s="14">
        <f t="shared" si="9"/>
        <v>4.9405987033569049E-3</v>
      </c>
      <c r="Y34" s="14">
        <f t="shared" si="10"/>
        <v>5.3905374563431637E-3</v>
      </c>
      <c r="Z34" s="14"/>
      <c r="AA34" s="14">
        <f t="shared" si="4"/>
        <v>-2.4567299269114473E-4</v>
      </c>
      <c r="AB34" s="14">
        <f t="shared" si="5"/>
        <v>3.9397886743627056E-4</v>
      </c>
      <c r="AC34" s="14">
        <f t="shared" si="6"/>
        <v>-3.5381465724230955E-4</v>
      </c>
      <c r="AD34" s="14">
        <f t="shared" si="7"/>
        <v>-1.0112537656401567E-3</v>
      </c>
      <c r="AE34" s="14">
        <f t="shared" si="8"/>
        <v>1.6667013011235977E-3</v>
      </c>
      <c r="AF34" s="14"/>
      <c r="AG34" s="245">
        <f t="shared" si="11"/>
        <v>4.4993875298625732E-4</v>
      </c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B34" s="19"/>
      <c r="BC34" s="19"/>
    </row>
    <row r="35" spans="1:55">
      <c r="A35" s="234">
        <v>45199</v>
      </c>
      <c r="B35" s="249">
        <v>-1.475E-3</v>
      </c>
      <c r="C35" s="249">
        <v>1.1793480192113201E-2</v>
      </c>
      <c r="D35" s="249">
        <v>2.2966666666666666E-2</v>
      </c>
      <c r="E35" s="249">
        <v>-5.6047062824402631E-3</v>
      </c>
      <c r="F35" s="235">
        <v>2.1330283925976258E-3</v>
      </c>
      <c r="G35" s="250"/>
      <c r="H35" s="249">
        <v>0.23570774204339934</v>
      </c>
      <c r="I35" s="249">
        <v>0.13037001268797899</v>
      </c>
      <c r="J35" s="249">
        <v>0.43558093208595922</v>
      </c>
      <c r="K35" s="249">
        <v>5.8856780470960289E-2</v>
      </c>
      <c r="L35" s="249">
        <v>0.13948453271170214</v>
      </c>
      <c r="M35" s="249"/>
      <c r="N35" s="249">
        <v>0.22946453046761556</v>
      </c>
      <c r="O35" s="249">
        <v>0.28672007190330762</v>
      </c>
      <c r="P35" s="249">
        <f t="shared" si="0"/>
        <v>0.38359644743914056</v>
      </c>
      <c r="Q35" s="249">
        <v>8.9392441118980287E-2</v>
      </c>
      <c r="R35" s="249">
        <v>1.0826509070956059E-2</v>
      </c>
      <c r="S35" s="14"/>
      <c r="T35" s="14">
        <f t="shared" ref="T35:T62" si="12">SUMPRODUCT(H35:L35,B35:F35)</f>
        <v>1.1161338817673885E-2</v>
      </c>
      <c r="U35" s="14">
        <f t="shared" ref="U35:U62" si="13">SUMPRODUCT(N35:R35,B35:F35)</f>
        <v>1.1374973923984304E-2</v>
      </c>
      <c r="V35" s="245">
        <f t="shared" ref="V35:V62" si="14">SUMPRODUCT(N35:R35,B35:F35)-T35</f>
        <v>2.1363510631041902E-4</v>
      </c>
      <c r="W35" s="14"/>
      <c r="X35" s="14">
        <f t="shared" si="9"/>
        <v>8.6613388176738845E-3</v>
      </c>
      <c r="Y35" s="14">
        <f t="shared" si="10"/>
        <v>8.8749739239843035E-3</v>
      </c>
      <c r="Z35" s="14"/>
      <c r="AA35" s="14">
        <f t="shared" ref="AA35:AA62" si="15">(N35-H35)*(B35-$T35)</f>
        <v>7.8891336782027532E-5</v>
      </c>
      <c r="AB35" s="14">
        <f t="shared" ref="AB35:AB62" si="16">(O35-I35)*(C35-$T35)</f>
        <v>9.8835341326046228E-5</v>
      </c>
      <c r="AC35" s="14">
        <f t="shared" ref="AC35:AC62" si="17">(P35-J35)*(D35-$T35)</f>
        <v>-6.136938843166259E-4</v>
      </c>
      <c r="AD35" s="14">
        <f t="shared" ref="AD35:AD62" si="18">(Q35-K35)*(E35-$T35)</f>
        <v>-5.1196226358648405E-4</v>
      </c>
      <c r="AE35" s="14">
        <f t="shared" ref="AE35:AE62" si="19">(R35-L35)*(F35-$T35)</f>
        <v>1.1615645761054558E-3</v>
      </c>
      <c r="AF35" s="14"/>
      <c r="AG35" s="245">
        <f t="shared" si="11"/>
        <v>2.1363510631041967E-4</v>
      </c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B35" s="19"/>
      <c r="BC35" s="19"/>
    </row>
    <row r="36" spans="1:55">
      <c r="A36" s="234">
        <v>45230</v>
      </c>
      <c r="B36" s="249">
        <v>-1.075E-3</v>
      </c>
      <c r="C36" s="249">
        <v>1.4751413418177978E-2</v>
      </c>
      <c r="D36" s="249">
        <v>2.1641666666666667E-2</v>
      </c>
      <c r="E36" s="249">
        <v>4.0361601696892908E-3</v>
      </c>
      <c r="F36" s="235">
        <v>2.9793041837017516E-3</v>
      </c>
      <c r="G36" s="250"/>
      <c r="H36" s="249">
        <v>0.22632352744638687</v>
      </c>
      <c r="I36" s="249">
        <v>0.1316374286888661</v>
      </c>
      <c r="J36" s="249">
        <v>0.45640730441027416</v>
      </c>
      <c r="K36" s="249">
        <v>6.1264129134291662E-2</v>
      </c>
      <c r="L36" s="249">
        <v>0.12436761032018123</v>
      </c>
      <c r="M36" s="249"/>
      <c r="N36" s="249">
        <v>0.25641112765182972</v>
      </c>
      <c r="O36" s="249">
        <v>0.3273896632933086</v>
      </c>
      <c r="P36" s="249">
        <f t="shared" si="0"/>
        <v>0.32171878307770096</v>
      </c>
      <c r="Q36" s="249">
        <v>0.14138276928228524</v>
      </c>
      <c r="R36" s="249">
        <v>-4.690234330512455E-2</v>
      </c>
      <c r="S36" s="14"/>
      <c r="T36" s="14">
        <f t="shared" si="12"/>
        <v>1.2193755865755973E-2</v>
      </c>
      <c r="U36" s="14">
        <f t="shared" si="13"/>
        <v>1.1947256128048367E-2</v>
      </c>
      <c r="V36" s="245">
        <f t="shared" si="14"/>
        <v>-2.4649973770760579E-4</v>
      </c>
      <c r="W36" s="14"/>
      <c r="X36" s="14">
        <f t="shared" si="9"/>
        <v>9.6937558657559722E-3</v>
      </c>
      <c r="Y36" s="14">
        <f t="shared" si="10"/>
        <v>9.4472561280483664E-3</v>
      </c>
      <c r="Z36" s="14"/>
      <c r="AA36" s="14">
        <f t="shared" si="15"/>
        <v>-3.9922502171249038E-4</v>
      </c>
      <c r="AB36" s="14">
        <f t="shared" si="16"/>
        <v>5.0066718123953661E-4</v>
      </c>
      <c r="AC36" s="14">
        <f t="shared" si="17"/>
        <v>-1.2725251354567088E-3</v>
      </c>
      <c r="AD36" s="14">
        <f t="shared" si="18"/>
        <v>-6.5357547404598767E-4</v>
      </c>
      <c r="AE36" s="14">
        <f t="shared" si="19"/>
        <v>1.5781587122680471E-3</v>
      </c>
      <c r="AF36" s="14"/>
      <c r="AG36" s="245">
        <f t="shared" si="11"/>
        <v>-2.4649973770760319E-4</v>
      </c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B36" s="19"/>
      <c r="BC36" s="19"/>
    </row>
    <row r="37" spans="1:55">
      <c r="A37" s="234">
        <v>45260</v>
      </c>
      <c r="B37" s="249">
        <v>1.9750000000000002E-3</v>
      </c>
      <c r="C37" s="249">
        <v>1.0225458435541075E-2</v>
      </c>
      <c r="D37" s="249">
        <v>-4.3583333333333339E-3</v>
      </c>
      <c r="E37" s="249">
        <v>-9.3407497955845138E-3</v>
      </c>
      <c r="F37" s="235">
        <v>2.4591417556091618E-3</v>
      </c>
      <c r="G37" s="250"/>
      <c r="H37" s="249">
        <v>0.23005318637144964</v>
      </c>
      <c r="I37" s="249">
        <v>0.12943456324609132</v>
      </c>
      <c r="J37" s="249">
        <v>0.45226785088314397</v>
      </c>
      <c r="K37" s="249">
        <v>5.8591298008366571E-2</v>
      </c>
      <c r="L37" s="249">
        <v>0.12965310149094855</v>
      </c>
      <c r="M37" s="249"/>
      <c r="N37" s="249">
        <v>0.25493770381225483</v>
      </c>
      <c r="O37" s="249">
        <v>0.37652950180554901</v>
      </c>
      <c r="P37" s="249">
        <f t="shared" si="0"/>
        <v>0.42540110878886361</v>
      </c>
      <c r="Q37" s="249">
        <v>0.15350832644890747</v>
      </c>
      <c r="R37" s="249">
        <v>-0.21037664085557495</v>
      </c>
      <c r="S37" s="14"/>
      <c r="T37" s="14">
        <f t="shared" si="12"/>
        <v>-4.2170255969416074E-4</v>
      </c>
      <c r="U37" s="14">
        <f t="shared" si="13"/>
        <v>5.4842005219447897E-4</v>
      </c>
      <c r="V37" s="245">
        <f t="shared" si="14"/>
        <v>9.7012261188863971E-4</v>
      </c>
      <c r="W37" s="14"/>
      <c r="X37" s="14">
        <f t="shared" si="9"/>
        <v>-2.9217025596941608E-3</v>
      </c>
      <c r="Y37" s="14">
        <f t="shared" si="10"/>
        <v>-1.9515799478055211E-3</v>
      </c>
      <c r="Z37" s="14"/>
      <c r="AA37" s="14">
        <f t="shared" si="15"/>
        <v>5.9640786647131798E-5</v>
      </c>
      <c r="AB37" s="14">
        <f t="shared" si="16"/>
        <v>2.6308595919503049E-3</v>
      </c>
      <c r="AC37" s="14">
        <f t="shared" si="17"/>
        <v>1.0576444371577105E-4</v>
      </c>
      <c r="AD37" s="14">
        <f t="shared" si="18"/>
        <v>-8.4656946015153236E-4</v>
      </c>
      <c r="AE37" s="14">
        <f t="shared" si="19"/>
        <v>-9.7957275027303571E-4</v>
      </c>
      <c r="AF37" s="14"/>
      <c r="AG37" s="245">
        <f t="shared" si="11"/>
        <v>9.7012261188863949E-4</v>
      </c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B37" s="19"/>
      <c r="BC37" s="19"/>
    </row>
    <row r="38" spans="1:55">
      <c r="A38" s="234">
        <v>45291</v>
      </c>
      <c r="B38" s="249">
        <v>-1.3825E-2</v>
      </c>
      <c r="C38" s="249">
        <v>-1.5338212261302395E-2</v>
      </c>
      <c r="D38" s="249">
        <v>9.1666666666666665E-4</v>
      </c>
      <c r="E38" s="249">
        <v>-3.2643091189271459E-2</v>
      </c>
      <c r="F38" s="235">
        <v>8.768632747902308E-5</v>
      </c>
      <c r="G38" s="250"/>
      <c r="H38" s="249">
        <v>0.2209994106307078</v>
      </c>
      <c r="I38" s="249">
        <v>0.1309040578883903</v>
      </c>
      <c r="J38" s="249">
        <v>0.46158763390871416</v>
      </c>
      <c r="K38" s="249">
        <v>5.934785222925211E-2</v>
      </c>
      <c r="L38" s="249">
        <v>0.12716104534293554</v>
      </c>
      <c r="M38" s="249"/>
      <c r="N38" s="249">
        <v>0.27468789812507216</v>
      </c>
      <c r="O38" s="249">
        <v>0.26267334022310729</v>
      </c>
      <c r="P38" s="249">
        <f t="shared" si="0"/>
        <v>0.3299461472007556</v>
      </c>
      <c r="Q38" s="249">
        <v>6.8678530218598544E-2</v>
      </c>
      <c r="R38" s="249">
        <v>6.4014084232466351E-2</v>
      </c>
      <c r="S38" s="14"/>
      <c r="T38" s="14">
        <f t="shared" si="12"/>
        <v>-6.5661761471201953E-3</v>
      </c>
      <c r="U38" s="14">
        <f t="shared" si="13"/>
        <v>-9.760315369089988E-3</v>
      </c>
      <c r="V38" s="245">
        <f t="shared" si="14"/>
        <v>-3.1941392219697927E-3</v>
      </c>
      <c r="W38" s="14"/>
      <c r="X38" s="14">
        <f t="shared" si="9"/>
        <v>-9.0661761471201949E-3</v>
      </c>
      <c r="Y38" s="14">
        <f t="shared" si="10"/>
        <v>-1.2260315369089989E-2</v>
      </c>
      <c r="Z38" s="14"/>
      <c r="AA38" s="14">
        <f t="shared" si="15"/>
        <v>-3.8971527364913114E-4</v>
      </c>
      <c r="AB38" s="14">
        <f t="shared" si="16"/>
        <v>-1.155884903380008E-3</v>
      </c>
      <c r="AC38" s="14">
        <f t="shared" si="17"/>
        <v>-9.8505255280886632E-4</v>
      </c>
      <c r="AD38" s="14">
        <f t="shared" si="18"/>
        <v>-2.4331529721385774E-4</v>
      </c>
      <c r="AE38" s="14">
        <f t="shared" si="19"/>
        <v>-4.2017119491792712E-4</v>
      </c>
      <c r="AF38" s="14"/>
      <c r="AG38" s="245">
        <f t="shared" si="11"/>
        <v>-3.1941392219697906E-3</v>
      </c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B38" s="19"/>
      <c r="BC38" s="19"/>
    </row>
    <row r="39" spans="1:55">
      <c r="A39" s="234">
        <v>45322</v>
      </c>
      <c r="B39" s="249">
        <v>1.7250000000000001E-2</v>
      </c>
      <c r="C39" s="249">
        <v>4.1951138362158961E-2</v>
      </c>
      <c r="D39" s="249">
        <v>1.2666666666666666E-2</v>
      </c>
      <c r="E39" s="249">
        <v>2.458561005765126E-2</v>
      </c>
      <c r="F39" s="235">
        <v>4.9926947917659711E-3</v>
      </c>
      <c r="G39" s="250"/>
      <c r="H39" s="249">
        <v>0.22687859969308055</v>
      </c>
      <c r="I39" s="249">
        <v>0.12467728295447159</v>
      </c>
      <c r="J39" s="249">
        <v>0.46574031419433537</v>
      </c>
      <c r="K39" s="249">
        <v>5.7826189749873275E-2</v>
      </c>
      <c r="L39" s="249">
        <v>0.12487761340823927</v>
      </c>
      <c r="M39" s="249"/>
      <c r="N39" s="249">
        <v>0.22929159489089079</v>
      </c>
      <c r="O39" s="249">
        <v>0.37565833321303216</v>
      </c>
      <c r="P39" s="249">
        <f t="shared" si="0"/>
        <v>0.38283692051445495</v>
      </c>
      <c r="Q39" s="249">
        <v>0.22113625342561774</v>
      </c>
      <c r="R39" s="249">
        <v>-0.20892310204399567</v>
      </c>
      <c r="S39" s="14"/>
      <c r="T39" s="14">
        <f t="shared" si="12"/>
        <v>1.7088555068056583E-2</v>
      </c>
      <c r="U39" s="14">
        <f t="shared" si="13"/>
        <v>2.8957522798113092E-2</v>
      </c>
      <c r="V39" s="245">
        <f t="shared" si="14"/>
        <v>1.1868967730056509E-2</v>
      </c>
      <c r="W39" s="14"/>
      <c r="X39" s="14">
        <f t="shared" si="9"/>
        <v>1.4588555068056583E-2</v>
      </c>
      <c r="Y39" s="14">
        <f t="shared" si="10"/>
        <v>2.6457522798113094E-2</v>
      </c>
      <c r="Z39" s="14"/>
      <c r="AA39" s="14">
        <f t="shared" si="15"/>
        <v>3.8956584549026995E-7</v>
      </c>
      <c r="AB39" s="14">
        <f t="shared" si="16"/>
        <v>6.240037267294757E-3</v>
      </c>
      <c r="AC39" s="14">
        <f t="shared" si="17"/>
        <v>3.6658955494892536E-4</v>
      </c>
      <c r="AD39" s="14">
        <f t="shared" si="18"/>
        <v>1.2243445277312643E-3</v>
      </c>
      <c r="AE39" s="14">
        <f t="shared" si="19"/>
        <v>4.0376068142360744E-3</v>
      </c>
      <c r="AF39" s="14"/>
      <c r="AG39" s="245">
        <f t="shared" si="11"/>
        <v>1.1868967730056509E-2</v>
      </c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B39" s="19"/>
      <c r="BC39" s="19"/>
    </row>
    <row r="40" spans="1:55">
      <c r="A40" s="234">
        <v>45351</v>
      </c>
      <c r="B40" s="249">
        <v>1.2725E-2</v>
      </c>
      <c r="C40" s="249">
        <v>4.2068571485232673E-2</v>
      </c>
      <c r="D40" s="249">
        <v>1.4891666666666666E-2</v>
      </c>
      <c r="E40" s="249">
        <v>3.2770476303798687E-2</v>
      </c>
      <c r="F40" s="235">
        <v>6.1074687309100404E-3</v>
      </c>
      <c r="G40" s="250"/>
      <c r="H40" s="249">
        <v>0.22686385049201729</v>
      </c>
      <c r="I40" s="249">
        <v>0.1251753361458609</v>
      </c>
      <c r="J40" s="249">
        <v>0.46955070064078297</v>
      </c>
      <c r="K40" s="249">
        <v>5.9588630932537176E-2</v>
      </c>
      <c r="L40" s="249">
        <v>0.11882148178880167</v>
      </c>
      <c r="M40" s="249"/>
      <c r="N40" s="249">
        <v>0.24664055473819557</v>
      </c>
      <c r="O40" s="249">
        <v>0.42647488563840263</v>
      </c>
      <c r="P40" s="249">
        <f t="shared" si="0"/>
        <v>0.43350370092574714</v>
      </c>
      <c r="Q40" s="249">
        <v>0.11542319410900496</v>
      </c>
      <c r="R40" s="249">
        <v>-0.22204233541135032</v>
      </c>
      <c r="S40" s="14"/>
      <c r="T40" s="14">
        <f t="shared" si="12"/>
        <v>1.7823628893929442E-2</v>
      </c>
      <c r="U40" s="14">
        <f t="shared" si="13"/>
        <v>2.9961639312126538E-2</v>
      </c>
      <c r="V40" s="245">
        <f t="shared" si="14"/>
        <v>1.2138010418197096E-2</v>
      </c>
      <c r="W40" s="14"/>
      <c r="X40" s="14">
        <f t="shared" si="9"/>
        <v>1.5323628893929441E-2</v>
      </c>
      <c r="Y40" s="14">
        <f t="shared" si="10"/>
        <v>2.7461639312126539E-2</v>
      </c>
      <c r="Z40" s="14"/>
      <c r="AA40" s="14">
        <f t="shared" si="15"/>
        <v>-1.0083407569626165E-4</v>
      </c>
      <c r="AB40" s="14">
        <f t="shared" si="16"/>
        <v>7.3049902802322011E-3</v>
      </c>
      <c r="AC40" s="14">
        <f t="shared" si="17"/>
        <v>1.0568844157063712E-4</v>
      </c>
      <c r="AD40" s="14">
        <f t="shared" si="18"/>
        <v>8.3455069599536831E-4</v>
      </c>
      <c r="AE40" s="14">
        <f t="shared" si="19"/>
        <v>3.9936150760951483E-3</v>
      </c>
      <c r="AF40" s="14"/>
      <c r="AG40" s="245">
        <f t="shared" si="11"/>
        <v>1.2138010418197093E-2</v>
      </c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B40" s="19"/>
      <c r="BC40" s="19"/>
    </row>
    <row r="41" spans="1:55">
      <c r="A41" s="234">
        <v>45382</v>
      </c>
      <c r="B41" s="249">
        <v>-1.32E-2</v>
      </c>
      <c r="C41" s="249">
        <v>-5.3172733534025624E-3</v>
      </c>
      <c r="D41" s="249">
        <v>1.3416666666666666E-3</v>
      </c>
      <c r="E41" s="249">
        <v>-1.5226213373471791E-2</v>
      </c>
      <c r="F41" s="235">
        <v>6.0503147934199645E-4</v>
      </c>
      <c r="G41" s="250"/>
      <c r="H41" s="249">
        <v>0.21541611389443036</v>
      </c>
      <c r="I41" s="249">
        <v>0.13194273259890565</v>
      </c>
      <c r="J41" s="249">
        <v>0.47323643434532325</v>
      </c>
      <c r="K41" s="249">
        <v>6.3767955022714262E-2</v>
      </c>
      <c r="L41" s="249">
        <v>0.11563676413862649</v>
      </c>
      <c r="M41" s="249"/>
      <c r="N41" s="249">
        <v>0.22512312017625422</v>
      </c>
      <c r="O41" s="249">
        <v>0.41572173068175855</v>
      </c>
      <c r="P41" s="249">
        <f t="shared" si="0"/>
        <v>0.3295354571644718</v>
      </c>
      <c r="Q41" s="249">
        <v>0.14699223536016809</v>
      </c>
      <c r="R41" s="249">
        <v>-0.11737254338265268</v>
      </c>
      <c r="S41" s="14"/>
      <c r="T41" s="14">
        <f t="shared" si="12"/>
        <v>-3.8111233373091372E-3</v>
      </c>
      <c r="U41" s="14">
        <f t="shared" si="13"/>
        <v>-7.0491537523431763E-3</v>
      </c>
      <c r="V41" s="245">
        <f t="shared" si="14"/>
        <v>-3.2380304150340391E-3</v>
      </c>
      <c r="W41" s="14"/>
      <c r="X41" s="14">
        <f t="shared" si="9"/>
        <v>-6.3111233373091373E-3</v>
      </c>
      <c r="Y41" s="14">
        <f t="shared" si="10"/>
        <v>-9.5491537523431768E-3</v>
      </c>
      <c r="Z41" s="14"/>
      <c r="AA41" s="14">
        <f t="shared" si="15"/>
        <v>-9.1137884744009641E-5</v>
      </c>
      <c r="AB41" s="14">
        <f t="shared" si="16"/>
        <v>-4.2741374252946497E-4</v>
      </c>
      <c r="AC41" s="14">
        <f t="shared" si="17"/>
        <v>-7.4046095877904647E-4</v>
      </c>
      <c r="AD41" s="14">
        <f t="shared" si="18"/>
        <v>-9.5001265324687659E-4</v>
      </c>
      <c r="AE41" s="14">
        <f t="shared" si="19"/>
        <v>-1.0290051757346425E-3</v>
      </c>
      <c r="AF41" s="14"/>
      <c r="AG41" s="245">
        <f t="shared" si="11"/>
        <v>-3.2380304150340404E-3</v>
      </c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B41" s="19"/>
      <c r="BC41" s="19"/>
    </row>
    <row r="42" spans="1:55">
      <c r="A42" s="234">
        <v>45412</v>
      </c>
      <c r="B42" s="249">
        <v>3.7500000000000001E-4</v>
      </c>
      <c r="C42" s="249">
        <v>1.3007317083196541E-2</v>
      </c>
      <c r="D42" s="249">
        <v>-1.3333333333333333E-3</v>
      </c>
      <c r="E42" s="249">
        <v>-3.0020325002735881E-3</v>
      </c>
      <c r="F42" s="235">
        <v>2.934859069350205E-3</v>
      </c>
      <c r="G42" s="250"/>
      <c r="H42" s="249">
        <v>0.21551433435027972</v>
      </c>
      <c r="I42" s="249">
        <v>0.1317876109913593</v>
      </c>
      <c r="J42" s="249">
        <v>0.47022179859621072</v>
      </c>
      <c r="K42" s="249">
        <v>6.40836871116304E-2</v>
      </c>
      <c r="L42" s="249">
        <v>0.11839256895051979</v>
      </c>
      <c r="M42" s="249"/>
      <c r="N42" s="249">
        <v>0.24099479819442166</v>
      </c>
      <c r="O42" s="249">
        <v>0.28689116224317307</v>
      </c>
      <c r="P42" s="249">
        <f t="shared" si="0"/>
        <v>0.36664297554776393</v>
      </c>
      <c r="Q42" s="249">
        <v>0.1619243999578581</v>
      </c>
      <c r="R42" s="249">
        <v>-5.6453335943216665E-2</v>
      </c>
      <c r="S42" s="14"/>
      <c r="T42" s="14">
        <f t="shared" si="12"/>
        <v>1.3231429143362662E-3</v>
      </c>
      <c r="U42" s="14">
        <f t="shared" si="13"/>
        <v>2.6814151680074794E-3</v>
      </c>
      <c r="V42" s="245">
        <f t="shared" si="14"/>
        <v>1.3582722536712132E-3</v>
      </c>
      <c r="W42" s="14"/>
      <c r="X42" s="14">
        <f t="shared" si="9"/>
        <v>-1.1768570856637338E-3</v>
      </c>
      <c r="Y42" s="14">
        <f t="shared" si="10"/>
        <v>1.8141516800747933E-4</v>
      </c>
      <c r="Z42" s="14"/>
      <c r="AA42" s="14">
        <f t="shared" si="15"/>
        <v>-2.4159121247824593E-5</v>
      </c>
      <c r="AB42" s="14">
        <f t="shared" si="16"/>
        <v>1.8122569070349382E-3</v>
      </c>
      <c r="AC42" s="14">
        <f t="shared" si="17"/>
        <v>2.7515468318977136E-4</v>
      </c>
      <c r="AD42" s="14">
        <f t="shared" si="18"/>
        <v>-4.2317824575040654E-4</v>
      </c>
      <c r="AE42" s="14">
        <f t="shared" si="19"/>
        <v>-2.8180196955526575E-4</v>
      </c>
      <c r="AF42" s="14"/>
      <c r="AG42" s="245">
        <f t="shared" si="11"/>
        <v>1.3582722536712127E-3</v>
      </c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B42" s="19"/>
      <c r="BC42" s="19"/>
    </row>
    <row r="43" spans="1:55">
      <c r="A43" s="234">
        <v>45443</v>
      </c>
      <c r="B43" s="249">
        <v>-3.3399999999999999E-2</v>
      </c>
      <c r="C43" s="249">
        <v>-4.7502206291406758E-2</v>
      </c>
      <c r="D43" s="249">
        <v>-1.5633333333333332E-2</v>
      </c>
      <c r="E43" s="249">
        <v>-6.3771079249480195E-2</v>
      </c>
      <c r="F43" s="235">
        <v>-3.047628780697414E-3</v>
      </c>
      <c r="G43" s="250"/>
      <c r="H43" s="249">
        <v>0.19870504115473825</v>
      </c>
      <c r="I43" s="249">
        <v>0.14050726911205313</v>
      </c>
      <c r="J43" s="249">
        <v>0.46910803660185346</v>
      </c>
      <c r="K43" s="249">
        <v>6.8687465042213861E-2</v>
      </c>
      <c r="L43" s="249">
        <v>0.12299218808914117</v>
      </c>
      <c r="M43" s="249"/>
      <c r="N43" s="249">
        <v>0.23125223335692074</v>
      </c>
      <c r="O43" s="249">
        <v>0.41030415039719992</v>
      </c>
      <c r="P43" s="249">
        <f t="shared" si="0"/>
        <v>0.2894276309178051</v>
      </c>
      <c r="Q43" s="249">
        <v>7.3375741013198104E-2</v>
      </c>
      <c r="R43" s="249">
        <v>-4.3597556851238117E-3</v>
      </c>
      <c r="S43" s="14"/>
      <c r="T43" s="14">
        <f t="shared" si="12"/>
        <v>-2.5399984271787853E-2</v>
      </c>
      <c r="U43" s="14">
        <f t="shared" si="13"/>
        <v>-3.6404858896763544E-2</v>
      </c>
      <c r="V43" s="245">
        <f t="shared" si="14"/>
        <v>-1.1004874624975691E-2</v>
      </c>
      <c r="W43" s="14"/>
      <c r="X43" s="14">
        <f t="shared" si="9"/>
        <v>-2.7899984271787852E-2</v>
      </c>
      <c r="Y43" s="14">
        <f t="shared" si="10"/>
        <v>-3.8904858896763546E-2</v>
      </c>
      <c r="Z43" s="14"/>
      <c r="AA43" s="14">
        <f t="shared" si="15"/>
        <v>-2.603780495266037E-4</v>
      </c>
      <c r="AB43" s="14">
        <f t="shared" si="16"/>
        <v>-5.9631105703650787E-3</v>
      </c>
      <c r="AC43" s="14">
        <f t="shared" si="17"/>
        <v>-1.754875802796E-3</v>
      </c>
      <c r="AD43" s="14">
        <f t="shared" si="18"/>
        <v>-1.7989428256426915E-4</v>
      </c>
      <c r="AE43" s="14">
        <f t="shared" si="19"/>
        <v>-2.8466159197237328E-3</v>
      </c>
      <c r="AF43" s="14"/>
      <c r="AG43" s="245">
        <f t="shared" si="11"/>
        <v>-1.1004874624975684E-2</v>
      </c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B43" s="19"/>
      <c r="BC43" s="19"/>
    </row>
    <row r="44" spans="1:55">
      <c r="A44" s="234">
        <v>45473</v>
      </c>
      <c r="B44" s="249">
        <v>1.5299999999999999E-2</v>
      </c>
      <c r="C44" s="249">
        <v>3.7874231847154438E-2</v>
      </c>
      <c r="D44" s="249">
        <v>-9.1583333333333343E-3</v>
      </c>
      <c r="E44" s="249">
        <v>2.5156797027642216E-2</v>
      </c>
      <c r="F44" s="235">
        <v>4.8240580014162699E-3</v>
      </c>
      <c r="G44" s="250"/>
      <c r="H44" s="249">
        <v>0.20989073060229954</v>
      </c>
      <c r="I44" s="249">
        <v>0.14348918752635634</v>
      </c>
      <c r="J44" s="249">
        <v>0.44983331980370678</v>
      </c>
      <c r="K44" s="249">
        <v>6.4226636247243798E-2</v>
      </c>
      <c r="L44" s="249">
        <v>0.13256012582039356</v>
      </c>
      <c r="M44" s="249"/>
      <c r="N44" s="249">
        <v>0.18725505937017103</v>
      </c>
      <c r="O44" s="249">
        <v>0.32166834740208267</v>
      </c>
      <c r="P44" s="249">
        <f t="shared" si="0"/>
        <v>0.2513730308711597</v>
      </c>
      <c r="Q44" s="249">
        <v>0.12431871465296725</v>
      </c>
      <c r="R44" s="249">
        <v>0.11538484770361934</v>
      </c>
      <c r="S44" s="14"/>
      <c r="T44" s="14">
        <f t="shared" si="12"/>
        <v>6.7813616344186796E-3</v>
      </c>
      <c r="U44" s="14">
        <f t="shared" si="13"/>
        <v>1.6429869837101652E-2</v>
      </c>
      <c r="V44" s="245">
        <f t="shared" si="14"/>
        <v>9.6485082026829712E-3</v>
      </c>
      <c r="W44" s="14"/>
      <c r="X44" s="14">
        <f t="shared" si="9"/>
        <v>4.2813616344186799E-3</v>
      </c>
      <c r="Y44" s="14">
        <f t="shared" si="10"/>
        <v>1.3929869837101651E-2</v>
      </c>
      <c r="Z44" s="14"/>
      <c r="AA44" s="14">
        <f t="shared" si="15"/>
        <v>-1.9282509738869529E-4</v>
      </c>
      <c r="AB44" s="14">
        <f t="shared" si="16"/>
        <v>5.5401014926302538E-3</v>
      </c>
      <c r="AC44" s="14">
        <f t="shared" si="17"/>
        <v>3.1633964687967316E-3</v>
      </c>
      <c r="AD44" s="14">
        <f t="shared" si="18"/>
        <v>1.1042181043888944E-3</v>
      </c>
      <c r="AE44" s="14">
        <f t="shared" si="19"/>
        <v>3.3617234255788961E-5</v>
      </c>
      <c r="AF44" s="14"/>
      <c r="AG44" s="245">
        <f t="shared" si="11"/>
        <v>9.6485082026829747E-3</v>
      </c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B44" s="19"/>
      <c r="BC44" s="19"/>
    </row>
    <row r="45" spans="1:55">
      <c r="A45" s="234">
        <v>45504</v>
      </c>
      <c r="B45" s="249">
        <v>2.9624999999999999E-2</v>
      </c>
      <c r="C45" s="249">
        <v>6.8807121092329906E-2</v>
      </c>
      <c r="D45" s="249">
        <v>4.9166666666666664E-3</v>
      </c>
      <c r="E45" s="249">
        <v>5.7472575517993139E-2</v>
      </c>
      <c r="F45" s="235">
        <v>7.6949197647998525E-3</v>
      </c>
      <c r="G45" s="250"/>
      <c r="H45" s="249">
        <v>0.22304230374314193</v>
      </c>
      <c r="I45" s="249">
        <v>0.14182852944286037</v>
      </c>
      <c r="J45" s="249">
        <v>0.43578054513451325</v>
      </c>
      <c r="K45" s="249">
        <v>6.2399191134482633E-2</v>
      </c>
      <c r="L45" s="249">
        <v>0.13694943054500186</v>
      </c>
      <c r="M45" s="249"/>
      <c r="N45" s="249">
        <v>0.24770372213360226</v>
      </c>
      <c r="O45" s="249">
        <v>0.33544326959919613</v>
      </c>
      <c r="P45" s="249">
        <f t="shared" si="0"/>
        <v>0.26736304898881025</v>
      </c>
      <c r="Q45" s="249">
        <v>0.16156736834136678</v>
      </c>
      <c r="R45" s="249">
        <v>-1.2077409062975386E-2</v>
      </c>
      <c r="S45" s="14"/>
      <c r="T45" s="14">
        <f t="shared" si="12"/>
        <v>2.31490858329743E-2</v>
      </c>
      <c r="U45" s="14">
        <f t="shared" si="13"/>
        <v>4.0926401514524924E-2</v>
      </c>
      <c r="V45" s="245">
        <f t="shared" si="14"/>
        <v>1.7777315681550623E-2</v>
      </c>
      <c r="W45" s="14"/>
      <c r="X45" s="14">
        <f t="shared" si="9"/>
        <v>2.0649085832974302E-2</v>
      </c>
      <c r="Y45" s="14">
        <f t="shared" si="10"/>
        <v>3.8426401514524922E-2</v>
      </c>
      <c r="Z45" s="14"/>
      <c r="AA45" s="14">
        <f t="shared" si="15"/>
        <v>1.5970522873373009E-4</v>
      </c>
      <c r="AB45" s="14">
        <f t="shared" si="16"/>
        <v>8.840068632788951E-3</v>
      </c>
      <c r="AC45" s="14">
        <f t="shared" si="17"/>
        <v>3.0706583846684577E-3</v>
      </c>
      <c r="AD45" s="14">
        <f t="shared" si="18"/>
        <v>3.4037979074426081E-3</v>
      </c>
      <c r="AE45" s="14">
        <f t="shared" si="19"/>
        <v>2.3030855279168776E-3</v>
      </c>
      <c r="AF45" s="14"/>
      <c r="AG45" s="245">
        <f t="shared" si="11"/>
        <v>1.7777315681550623E-2</v>
      </c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B45" s="19"/>
      <c r="BC45" s="19"/>
    </row>
    <row r="46" spans="1:55">
      <c r="A46" s="234">
        <v>45535</v>
      </c>
      <c r="B46" s="249">
        <v>1.5075E-2</v>
      </c>
      <c r="C46" s="249">
        <v>3.2288258872841834E-2</v>
      </c>
      <c r="D46" s="249">
        <v>6.3416666666666665E-3</v>
      </c>
      <c r="E46" s="249">
        <v>8.609851079016996E-3</v>
      </c>
      <c r="F46" s="235">
        <v>5.4078110605161062E-3</v>
      </c>
      <c r="G46" s="250"/>
      <c r="H46" s="249">
        <v>0.23194325597492788</v>
      </c>
      <c r="I46" s="249">
        <v>0.13101432176761632</v>
      </c>
      <c r="J46" s="249">
        <v>0.43824077069079531</v>
      </c>
      <c r="K46" s="249">
        <v>5.868377246706994E-2</v>
      </c>
      <c r="L46" s="249">
        <v>0.1401178790995905</v>
      </c>
      <c r="M46" s="249"/>
      <c r="N46" s="249">
        <v>0.24213527304383969</v>
      </c>
      <c r="O46" s="249">
        <v>0.31234910993534909</v>
      </c>
      <c r="P46" s="249">
        <f t="shared" si="0"/>
        <v>0.3202859741640397</v>
      </c>
      <c r="Q46" s="249">
        <v>0.10987650205936414</v>
      </c>
      <c r="R46" s="249">
        <v>1.535314079740735E-2</v>
      </c>
      <c r="S46" s="14"/>
      <c r="T46" s="14">
        <f t="shared" si="12"/>
        <v>1.1768935366635971E-2</v>
      </c>
      <c r="U46" s="14">
        <f t="shared" si="13"/>
        <v>1.6795592252019431E-2</v>
      </c>
      <c r="V46" s="245">
        <f t="shared" si="14"/>
        <v>5.0266568853834601E-3</v>
      </c>
      <c r="W46" s="14"/>
      <c r="X46" s="14">
        <f t="shared" si="9"/>
        <v>9.2689353666359706E-3</v>
      </c>
      <c r="Y46" s="14">
        <f t="shared" si="10"/>
        <v>1.4295592252019431E-2</v>
      </c>
      <c r="Z46" s="14"/>
      <c r="AA46" s="14">
        <f t="shared" si="15"/>
        <v>3.3695467174171874E-5</v>
      </c>
      <c r="AB46" s="14">
        <f t="shared" si="16"/>
        <v>3.7208671813430193E-3</v>
      </c>
      <c r="AC46" s="14">
        <f t="shared" si="17"/>
        <v>6.401723752009088E-4</v>
      </c>
      <c r="AD46" s="14">
        <f t="shared" si="18"/>
        <v>-1.6172214769534355E-4</v>
      </c>
      <c r="AE46" s="14">
        <f t="shared" si="19"/>
        <v>7.9364400936070138E-4</v>
      </c>
      <c r="AF46" s="14"/>
      <c r="AG46" s="245">
        <f t="shared" si="11"/>
        <v>5.0266568853834575E-3</v>
      </c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B46" s="19"/>
      <c r="BC46" s="19"/>
    </row>
    <row r="47" spans="1:55">
      <c r="A47" s="234">
        <v>45565</v>
      </c>
      <c r="B47" s="249">
        <v>1.3950000000000001E-2</v>
      </c>
      <c r="C47" s="249">
        <v>4.1183681972947681E-2</v>
      </c>
      <c r="D47" s="249">
        <v>-1.4808333333333333E-2</v>
      </c>
      <c r="E47" s="249">
        <v>3.6975697279228684E-2</v>
      </c>
      <c r="F47" s="235">
        <v>5.2007517343631493E-3</v>
      </c>
      <c r="G47" s="250"/>
      <c r="H47" s="249">
        <v>0.24244621231870322</v>
      </c>
      <c r="I47" s="249">
        <v>0.14239043242185806</v>
      </c>
      <c r="J47" s="249">
        <v>0.40817527709467138</v>
      </c>
      <c r="K47" s="249">
        <v>5.5781025055975493E-2</v>
      </c>
      <c r="L47" s="249">
        <v>0.15120705310879176</v>
      </c>
      <c r="M47" s="249"/>
      <c r="N47" s="249">
        <v>0.23049555769141361</v>
      </c>
      <c r="O47" s="249">
        <v>0.50948737611416228</v>
      </c>
      <c r="P47" s="249">
        <f t="shared" si="0"/>
        <v>0.37810556750915753</v>
      </c>
      <c r="Q47" s="249">
        <v>9.8824795807221977E-2</v>
      </c>
      <c r="R47" s="249">
        <v>-0.2169132971219554</v>
      </c>
      <c r="S47" s="14"/>
      <c r="T47" s="14">
        <f t="shared" si="12"/>
        <v>6.050824025152929E-3</v>
      </c>
      <c r="U47" s="14">
        <f t="shared" si="13"/>
        <v>2.1124869345283674E-2</v>
      </c>
      <c r="V47" s="245">
        <f t="shared" si="14"/>
        <v>1.5074045320130746E-2</v>
      </c>
      <c r="W47" s="14"/>
      <c r="X47" s="14">
        <f t="shared" si="9"/>
        <v>3.550824025152929E-3</v>
      </c>
      <c r="Y47" s="14">
        <f t="shared" si="10"/>
        <v>1.8624869345283675E-2</v>
      </c>
      <c r="Z47" s="14"/>
      <c r="AA47" s="14">
        <f t="shared" si="15"/>
        <v>-9.4400323915581116E-5</v>
      </c>
      <c r="AB47" s="14">
        <f t="shared" si="16"/>
        <v>1.2897164775811331E-2</v>
      </c>
      <c r="AC47" s="14">
        <f t="shared" si="17"/>
        <v>6.2722880396821629E-4</v>
      </c>
      <c r="AD47" s="14">
        <f t="shared" si="18"/>
        <v>1.3311231548597906E-3</v>
      </c>
      <c r="AE47" s="14">
        <f t="shared" si="19"/>
        <v>3.1292890940698729E-4</v>
      </c>
      <c r="AF47" s="14"/>
      <c r="AG47" s="245">
        <f t="shared" si="11"/>
        <v>1.5074045320130744E-2</v>
      </c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B47" s="19"/>
      <c r="BC47" s="19"/>
    </row>
    <row r="48" spans="1:55">
      <c r="A48" s="234">
        <v>45596</v>
      </c>
      <c r="B48" s="249">
        <v>-6.5500000000000003E-3</v>
      </c>
      <c r="C48" s="249">
        <v>4.280608759971073E-3</v>
      </c>
      <c r="D48" s="249">
        <v>-1.2758333333333333E-2</v>
      </c>
      <c r="E48" s="249">
        <v>-7.1054491467245212E-3</v>
      </c>
      <c r="F48" s="235">
        <v>1.176440441918021E-3</v>
      </c>
      <c r="G48" s="250"/>
      <c r="H48" s="249">
        <v>0.23945197328562995</v>
      </c>
      <c r="I48" s="249">
        <v>0.14999965138679183</v>
      </c>
      <c r="J48" s="249">
        <v>0.39285374763560876</v>
      </c>
      <c r="K48" s="249">
        <v>5.7451274170830714E-2</v>
      </c>
      <c r="L48" s="249">
        <v>0.16024335352113872</v>
      </c>
      <c r="M48" s="249"/>
      <c r="N48" s="249">
        <v>0.2616327903517397</v>
      </c>
      <c r="O48" s="249">
        <v>0.3611991987534966</v>
      </c>
      <c r="P48" s="249">
        <f t="shared" si="0"/>
        <v>0.25287565059225947</v>
      </c>
      <c r="Q48" s="249">
        <v>7.7554234781651146E-2</v>
      </c>
      <c r="R48" s="249">
        <v>4.6738125520853102E-2</v>
      </c>
      <c r="S48" s="14"/>
      <c r="T48" s="14">
        <f t="shared" si="12"/>
        <v>-6.1581800122908073E-3</v>
      </c>
      <c r="U48" s="14">
        <f t="shared" si="13"/>
        <v>-3.889887214976706E-3</v>
      </c>
      <c r="V48" s="245">
        <f t="shared" si="14"/>
        <v>2.2682927973141013E-3</v>
      </c>
      <c r="W48" s="14"/>
      <c r="X48" s="14">
        <f t="shared" si="9"/>
        <v>-8.658180012290807E-3</v>
      </c>
      <c r="Y48" s="14">
        <f t="shared" si="10"/>
        <v>-6.3898872149767061E-3</v>
      </c>
      <c r="Z48" s="14"/>
      <c r="AA48" s="14">
        <f t="shared" si="15"/>
        <v>-8.6908874702229778E-6</v>
      </c>
      <c r="AB48" s="14">
        <f t="shared" si="16"/>
        <v>2.204667463758349E-3</v>
      </c>
      <c r="AC48" s="14">
        <f t="shared" si="17"/>
        <v>9.2387690207387481E-4</v>
      </c>
      <c r="AD48" s="14">
        <f t="shared" si="18"/>
        <v>-1.9042914097366914E-5</v>
      </c>
      <c r="AE48" s="14">
        <f t="shared" si="19"/>
        <v>-8.3251776695053158E-4</v>
      </c>
      <c r="AF48" s="14"/>
      <c r="AG48" s="245">
        <f t="shared" si="11"/>
        <v>2.2682927973141026E-3</v>
      </c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B48" s="19"/>
      <c r="BC48" s="19"/>
    </row>
    <row r="49" spans="1:55">
      <c r="A49" s="234">
        <v>45626</v>
      </c>
      <c r="B49" s="249">
        <v>-3.7000000000000002E-3</v>
      </c>
      <c r="C49" s="249">
        <v>6.4491219939634917E-3</v>
      </c>
      <c r="D49" s="249">
        <v>1.0566666666666667E-2</v>
      </c>
      <c r="E49" s="249">
        <v>-8.8434226787396861E-3</v>
      </c>
      <c r="F49" s="235">
        <v>2.2753004003342359E-3</v>
      </c>
      <c r="G49" s="250"/>
      <c r="H49" s="249">
        <v>0.23355621841227173</v>
      </c>
      <c r="I49" s="249">
        <v>0.14909330939234544</v>
      </c>
      <c r="J49" s="249">
        <v>0.40537630552636428</v>
      </c>
      <c r="K49" s="249">
        <v>5.8960272336881427E-2</v>
      </c>
      <c r="L49" s="249">
        <v>0.15301389433213719</v>
      </c>
      <c r="M49" s="249"/>
      <c r="N49" s="249">
        <v>0.27861023605641444</v>
      </c>
      <c r="O49" s="249">
        <v>0.2211483528401082</v>
      </c>
      <c r="P49" s="249">
        <f t="shared" si="0"/>
        <v>0.27240822984640001</v>
      </c>
      <c r="Q49" s="249">
        <v>0.11142782928396697</v>
      </c>
      <c r="R49" s="249">
        <v>0.11640535197311042</v>
      </c>
      <c r="S49" s="14"/>
      <c r="T49" s="14">
        <f t="shared" si="12"/>
        <v>4.2075811931934571E-3</v>
      </c>
      <c r="U49" s="14">
        <f t="shared" si="13"/>
        <v>2.5532555462777318E-3</v>
      </c>
      <c r="V49" s="245">
        <f t="shared" si="14"/>
        <v>-1.6543256469157253E-3</v>
      </c>
      <c r="W49" s="14"/>
      <c r="X49" s="14">
        <f t="shared" si="9"/>
        <v>1.707581193193457E-3</v>
      </c>
      <c r="Y49" s="14">
        <f t="shared" si="10"/>
        <v>5.32555462777317E-5</v>
      </c>
      <c r="Z49" s="14"/>
      <c r="AA49" s="14">
        <f t="shared" si="15"/>
        <v>-3.5626830260062915E-4</v>
      </c>
      <c r="AB49" s="14">
        <f t="shared" si="16"/>
        <v>1.6151431978941776E-4</v>
      </c>
      <c r="AC49" s="14">
        <f t="shared" si="17"/>
        <v>-8.4555535849214721E-4</v>
      </c>
      <c r="AD49" s="14">
        <f t="shared" si="18"/>
        <v>-6.8475428886728598E-4</v>
      </c>
      <c r="AE49" s="14">
        <f t="shared" si="19"/>
        <v>7.0737983254920637E-5</v>
      </c>
      <c r="AF49" s="14"/>
      <c r="AG49" s="245">
        <f t="shared" si="11"/>
        <v>-1.654325646915724E-3</v>
      </c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B49" s="19"/>
      <c r="BC49" s="19"/>
    </row>
    <row r="50" spans="1:55">
      <c r="A50" s="234">
        <v>45657</v>
      </c>
      <c r="B50" s="249">
        <v>5.8250000000000003E-3</v>
      </c>
      <c r="C50" s="249">
        <v>2.4233071130979805E-2</v>
      </c>
      <c r="D50" s="249">
        <v>1.4166666666666668E-4</v>
      </c>
      <c r="E50" s="249">
        <v>1.0524475595292945E-2</v>
      </c>
      <c r="F50" s="235">
        <v>3.7899259343644369E-3</v>
      </c>
      <c r="G50" s="250"/>
      <c r="H50" s="249">
        <v>0.23570087011954821</v>
      </c>
      <c r="I50" s="249">
        <v>0.14969288196010758</v>
      </c>
      <c r="J50" s="249">
        <v>0.40001029392544374</v>
      </c>
      <c r="K50" s="249">
        <v>5.8728327302773671E-2</v>
      </c>
      <c r="L50" s="249">
        <v>0.15586762669212686</v>
      </c>
      <c r="M50" s="249"/>
      <c r="N50" s="249">
        <v>0.23548556205343996</v>
      </c>
      <c r="O50" s="249">
        <v>0.37053516500341949</v>
      </c>
      <c r="P50" s="249">
        <f t="shared" si="0"/>
        <v>0.26473460281340588</v>
      </c>
      <c r="Q50" s="249">
        <v>9.8634625549997856E-2</v>
      </c>
      <c r="R50" s="249">
        <v>3.0610044579736817E-2</v>
      </c>
      <c r="S50" s="14"/>
      <c r="T50" s="14">
        <f t="shared" si="12"/>
        <v>6.2659555579385341E-3</v>
      </c>
      <c r="U50" s="14">
        <f t="shared" si="13"/>
        <v>1.1542499989006997E-2</v>
      </c>
      <c r="V50" s="245">
        <f t="shared" si="14"/>
        <v>5.2765444310684632E-3</v>
      </c>
      <c r="W50" s="14"/>
      <c r="X50" s="14">
        <f t="shared" si="9"/>
        <v>3.765955557938534E-3</v>
      </c>
      <c r="Y50" s="14">
        <f t="shared" si="10"/>
        <v>9.0424999890069968E-3</v>
      </c>
      <c r="Z50" s="14"/>
      <c r="AA50" s="14">
        <f t="shared" si="15"/>
        <v>9.4941288419432361E-8</v>
      </c>
      <c r="AB50" s="14">
        <f t="shared" si="16"/>
        <v>3.9678988228534781E-3</v>
      </c>
      <c r="AC50" s="14">
        <f t="shared" si="17"/>
        <v>8.2846741233657791E-4</v>
      </c>
      <c r="AD50" s="14">
        <f t="shared" si="18"/>
        <v>1.6994177070244542E-4</v>
      </c>
      <c r="AE50" s="14">
        <f t="shared" si="19"/>
        <v>3.1014148388754272E-4</v>
      </c>
      <c r="AF50" s="14"/>
      <c r="AG50" s="245">
        <f t="shared" si="11"/>
        <v>5.2765444310684641E-3</v>
      </c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B50" s="19"/>
      <c r="BC50" s="19"/>
    </row>
    <row r="51" spans="1:55">
      <c r="A51" s="234">
        <v>45688</v>
      </c>
      <c r="B51" s="249">
        <v>-4.9249999999999997E-3</v>
      </c>
      <c r="C51" s="249">
        <v>7.7867756826512039E-3</v>
      </c>
      <c r="D51" s="249">
        <v>9.116666666666667E-3</v>
      </c>
      <c r="E51" s="249">
        <v>-3.9931153013642584E-3</v>
      </c>
      <c r="F51" s="235">
        <v>2.3489595380995886E-3</v>
      </c>
      <c r="G51" s="250"/>
      <c r="H51" s="249">
        <v>0.22795545251452262</v>
      </c>
      <c r="I51" s="249">
        <v>0.1529505152955096</v>
      </c>
      <c r="J51" s="249">
        <v>0.4090310748362353</v>
      </c>
      <c r="K51" s="249">
        <v>6.1439425592740023E-2</v>
      </c>
      <c r="L51" s="249">
        <v>0.14862353176099252</v>
      </c>
      <c r="M51" s="249"/>
      <c r="N51" s="249">
        <v>0.23577321092708867</v>
      </c>
      <c r="O51" s="249">
        <v>0.30788080780663563</v>
      </c>
      <c r="P51" s="249">
        <f t="shared" si="0"/>
        <v>0.18095363663727393</v>
      </c>
      <c r="Q51" s="249">
        <v>0.16372637381884125</v>
      </c>
      <c r="R51" s="249">
        <v>0.1116659708101605</v>
      </c>
      <c r="S51" s="14"/>
      <c r="T51" s="14">
        <f t="shared" si="12"/>
        <v>3.9010866671829961E-3</v>
      </c>
      <c r="U51" s="14">
        <f t="shared" si="13"/>
        <v>2.4944302695937321E-3</v>
      </c>
      <c r="V51" s="245">
        <f t="shared" si="14"/>
        <v>-1.4066563975892641E-3</v>
      </c>
      <c r="W51" s="14"/>
      <c r="X51" s="14">
        <f t="shared" si="9"/>
        <v>1.4010866671829961E-3</v>
      </c>
      <c r="Y51" s="14">
        <f t="shared" si="10"/>
        <v>-5.5697304062679934E-6</v>
      </c>
      <c r="Z51" s="14"/>
      <c r="AA51" s="14">
        <f t="shared" si="15"/>
        <v>-6.9000213292406872E-5</v>
      </c>
      <c r="AB51" s="14">
        <f t="shared" si="16"/>
        <v>6.0201093577375877E-4</v>
      </c>
      <c r="AC51" s="14">
        <f t="shared" si="17"/>
        <v>-1.189556125003976E-3</v>
      </c>
      <c r="AD51" s="14">
        <f t="shared" si="18"/>
        <v>-8.0747382804317945E-4</v>
      </c>
      <c r="AE51" s="14">
        <f t="shared" si="19"/>
        <v>5.7362832976539962E-5</v>
      </c>
      <c r="AF51" s="14"/>
      <c r="AG51" s="245">
        <f t="shared" si="11"/>
        <v>-1.4066563975892634E-3</v>
      </c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B51" s="19"/>
      <c r="BC51" s="19"/>
    </row>
    <row r="52" spans="1:55">
      <c r="A52" s="234">
        <v>45716</v>
      </c>
      <c r="B52" s="249">
        <v>3.8999999999999998E-3</v>
      </c>
      <c r="C52" s="249">
        <v>1.6201566736816313E-2</v>
      </c>
      <c r="D52" s="249">
        <v>-2.4833333333333331E-3</v>
      </c>
      <c r="E52" s="249">
        <v>1.5614668069659568E-3</v>
      </c>
      <c r="F52" s="235">
        <v>2.4323475247473112E-3</v>
      </c>
      <c r="G52" s="250"/>
      <c r="H52" s="249">
        <v>0.2311502544010246</v>
      </c>
      <c r="I52" s="249">
        <v>0.15469197982341024</v>
      </c>
      <c r="J52" s="249">
        <v>0.40433602880598341</v>
      </c>
      <c r="K52" s="249">
        <v>5.8061662096225555E-2</v>
      </c>
      <c r="L52" s="249">
        <v>0.15176007487335605</v>
      </c>
      <c r="M52" s="249"/>
      <c r="N52" s="249">
        <v>0.20556518280051667</v>
      </c>
      <c r="O52" s="249">
        <v>0.3268065380782445</v>
      </c>
      <c r="P52" s="249">
        <f t="shared" si="0"/>
        <v>7.2972370497000449E-2</v>
      </c>
      <c r="Q52" s="249">
        <v>0.20854148401405931</v>
      </c>
      <c r="R52" s="249">
        <v>0.18611442461017902</v>
      </c>
      <c r="S52" s="14"/>
      <c r="T52" s="14">
        <f t="shared" si="12"/>
        <v>2.8634318893158979E-3</v>
      </c>
      <c r="U52" s="14">
        <f t="shared" si="13"/>
        <v>6.6935929947407576E-3</v>
      </c>
      <c r="V52" s="245">
        <f t="shared" si="14"/>
        <v>3.8301611054248597E-3</v>
      </c>
      <c r="W52" s="14"/>
      <c r="X52" s="14">
        <f t="shared" si="9"/>
        <v>3.6343188931589783E-4</v>
      </c>
      <c r="Y52" s="14">
        <f t="shared" si="10"/>
        <v>4.193592994740758E-3</v>
      </c>
      <c r="Z52" s="14"/>
      <c r="AA52" s="14">
        <f t="shared" si="15"/>
        <v>-2.6520669330655984E-5</v>
      </c>
      <c r="AB52" s="14">
        <f t="shared" si="16"/>
        <v>2.2956871872209452E-3</v>
      </c>
      <c r="AC52" s="14">
        <f t="shared" si="17"/>
        <v>1.7717236842962928E-3</v>
      </c>
      <c r="AD52" s="14">
        <f t="shared" si="18"/>
        <v>-1.9591947373525691E-4</v>
      </c>
      <c r="AE52" s="14">
        <f t="shared" si="19"/>
        <v>-1.4809623026465323E-5</v>
      </c>
      <c r="AF52" s="14"/>
      <c r="AG52" s="245">
        <f t="shared" si="11"/>
        <v>3.8301611054248597E-3</v>
      </c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B52" s="19"/>
      <c r="BC52" s="19"/>
    </row>
    <row r="53" spans="1:55">
      <c r="A53" s="234">
        <v>45747</v>
      </c>
      <c r="B53" s="249">
        <v>1.4449999999999999E-2</v>
      </c>
      <c r="C53" s="249">
        <v>3.8241038463159932E-2</v>
      </c>
      <c r="D53" s="249">
        <v>1.6566666666666667E-2</v>
      </c>
      <c r="E53" s="249">
        <v>2.4265410259653196E-2</v>
      </c>
      <c r="F53" s="235">
        <v>5.252889472619573E-3</v>
      </c>
      <c r="G53" s="250"/>
      <c r="H53" s="249">
        <v>0.23455561909136186</v>
      </c>
      <c r="I53" s="249">
        <v>0.15114895897134756</v>
      </c>
      <c r="J53" s="249">
        <v>0.41357680804938624</v>
      </c>
      <c r="K53" s="249">
        <v>5.6622295561095042E-2</v>
      </c>
      <c r="L53" s="249">
        <v>0.1440963183268093</v>
      </c>
      <c r="M53" s="249"/>
      <c r="N53" s="249">
        <v>0.27081373157571825</v>
      </c>
      <c r="O53" s="249">
        <v>0.36853875465199432</v>
      </c>
      <c r="P53" s="249">
        <f t="shared" si="0"/>
        <v>0.19078389786560651</v>
      </c>
      <c r="Q53" s="249">
        <v>0.11337027563523716</v>
      </c>
      <c r="R53" s="249">
        <v>5.6493340271443815E-2</v>
      </c>
      <c r="S53" s="14"/>
      <c r="T53" s="14">
        <f t="shared" si="12"/>
        <v>1.8151896234793675E-2</v>
      </c>
      <c r="U53" s="14">
        <f t="shared" si="13"/>
        <v>2.4214945876311962E-2</v>
      </c>
      <c r="V53" s="245">
        <f t="shared" si="14"/>
        <v>6.0630496415182873E-3</v>
      </c>
      <c r="W53" s="14"/>
      <c r="X53" s="14">
        <f t="shared" si="9"/>
        <v>1.5651896234793676E-2</v>
      </c>
      <c r="Y53" s="14">
        <f t="shared" si="10"/>
        <v>2.1714945876311963E-2</v>
      </c>
      <c r="Z53" s="14"/>
      <c r="AA53" s="14">
        <f t="shared" si="15"/>
        <v>-1.342237700865645E-4</v>
      </c>
      <c r="AB53" s="14">
        <f t="shared" si="16"/>
        <v>4.3671745244239935E-3</v>
      </c>
      <c r="AC53" s="14">
        <f t="shared" si="17"/>
        <v>3.5317790879239234E-4</v>
      </c>
      <c r="AD53" s="14">
        <f t="shared" si="18"/>
        <v>3.4692957206571652E-4</v>
      </c>
      <c r="AE53" s="14">
        <f t="shared" si="19"/>
        <v>1.129991406322749E-3</v>
      </c>
      <c r="AF53" s="14"/>
      <c r="AG53" s="245">
        <f t="shared" si="11"/>
        <v>6.0630496415182873E-3</v>
      </c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B53" s="19"/>
      <c r="BC53" s="19"/>
    </row>
    <row r="54" spans="1:55">
      <c r="A54" s="234">
        <v>45777</v>
      </c>
      <c r="B54" s="249">
        <v>1.5775000000000001E-2</v>
      </c>
      <c r="C54" s="249">
        <v>5.0001889052265318E-2</v>
      </c>
      <c r="D54" s="249">
        <v>7.2166666666666664E-3</v>
      </c>
      <c r="E54" s="249">
        <v>4.5562111437863977E-2</v>
      </c>
      <c r="F54" s="235">
        <v>7.0344416390918192E-3</v>
      </c>
      <c r="G54" s="250"/>
      <c r="H54" s="249">
        <v>0.23769856571892925</v>
      </c>
      <c r="I54" s="249">
        <v>0.15727584491139038</v>
      </c>
      <c r="J54" s="249">
        <v>0.40562234894414101</v>
      </c>
      <c r="K54" s="249">
        <v>5.7812811917609105E-2</v>
      </c>
      <c r="L54" s="249">
        <v>0.14159042850793019</v>
      </c>
      <c r="M54" s="249"/>
      <c r="N54" s="249">
        <v>0.26515040480389906</v>
      </c>
      <c r="O54" s="249">
        <v>0.37221409762340824</v>
      </c>
      <c r="P54" s="249">
        <f t="shared" si="0"/>
        <v>0.37728358967504139</v>
      </c>
      <c r="Q54" s="249">
        <v>0.15290321278567548</v>
      </c>
      <c r="R54" s="249">
        <v>-0.16755130488802417</v>
      </c>
      <c r="S54" s="14"/>
      <c r="T54" s="14">
        <f t="shared" si="12"/>
        <v>1.8171108892076366E-2</v>
      </c>
      <c r="U54" s="14">
        <f t="shared" si="13"/>
        <v>3.1304848898684325E-2</v>
      </c>
      <c r="V54" s="245">
        <f t="shared" si="14"/>
        <v>1.3133740006607959E-2</v>
      </c>
      <c r="W54" s="14"/>
      <c r="X54" s="14">
        <f t="shared" si="9"/>
        <v>1.5671108892076367E-2</v>
      </c>
      <c r="Y54" s="14">
        <f t="shared" si="10"/>
        <v>2.8804848898684326E-2</v>
      </c>
      <c r="Z54" s="14"/>
      <c r="AA54" s="14">
        <f t="shared" si="15"/>
        <v>-6.5777595735345675E-5</v>
      </c>
      <c r="AB54" s="14">
        <f t="shared" si="16"/>
        <v>6.8416522700913765E-3</v>
      </c>
      <c r="AC54" s="14">
        <f t="shared" si="17"/>
        <v>3.1043530115314541E-4</v>
      </c>
      <c r="AD54" s="14">
        <f t="shared" si="18"/>
        <v>2.6046214122571703E-3</v>
      </c>
      <c r="AE54" s="14">
        <f t="shared" si="19"/>
        <v>3.4428086188416037E-3</v>
      </c>
      <c r="AF54" s="14"/>
      <c r="AG54" s="245">
        <f t="shared" si="11"/>
        <v>1.313374000660795E-2</v>
      </c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B54" s="19"/>
      <c r="BC54" s="19"/>
    </row>
    <row r="55" spans="1:55">
      <c r="A55" s="234">
        <v>45808</v>
      </c>
      <c r="B55" s="249">
        <v>2.075E-3</v>
      </c>
      <c r="C55" s="249">
        <v>1.4320887907415453E-2</v>
      </c>
      <c r="D55" s="249">
        <v>-2.4083333333333335E-3</v>
      </c>
      <c r="E55" s="249">
        <v>-2.0248908518357596E-3</v>
      </c>
      <c r="F55" s="235">
        <v>2.5661378796467032E-3</v>
      </c>
      <c r="G55" s="250"/>
      <c r="H55" s="249">
        <v>0.23938146781661154</v>
      </c>
      <c r="I55" s="249">
        <v>0.15703318353854309</v>
      </c>
      <c r="J55" s="249">
        <v>0.40122878952655461</v>
      </c>
      <c r="K55" s="249">
        <v>5.6836297075055754E-2</v>
      </c>
      <c r="L55" s="249">
        <v>0.14552026204323493</v>
      </c>
      <c r="M55" s="249"/>
      <c r="N55" s="249">
        <v>0.21855459964736904</v>
      </c>
      <c r="O55" s="249">
        <v>0.43581700934558365</v>
      </c>
      <c r="P55" s="249">
        <f t="shared" si="0"/>
        <v>0.2293950948567873</v>
      </c>
      <c r="Q55" s="249">
        <v>0.17764794707370571</v>
      </c>
      <c r="R55" s="249">
        <v>-6.1414650923445668E-2</v>
      </c>
      <c r="S55" s="14"/>
      <c r="T55" s="14">
        <f t="shared" si="12"/>
        <v>2.0376162554955161E-3</v>
      </c>
      <c r="U55" s="14">
        <f t="shared" si="13"/>
        <v>5.6250113148277811E-3</v>
      </c>
      <c r="V55" s="245">
        <f t="shared" si="14"/>
        <v>3.587395059332265E-3</v>
      </c>
      <c r="W55" s="14"/>
      <c r="X55" s="14">
        <f t="shared" si="9"/>
        <v>-4.6238374450448391E-4</v>
      </c>
      <c r="Y55" s="14">
        <f t="shared" si="10"/>
        <v>3.1250113148277811E-3</v>
      </c>
      <c r="Z55" s="14"/>
      <c r="AA55" s="14">
        <f t="shared" si="15"/>
        <v>-7.7858631846752976E-7</v>
      </c>
      <c r="AB55" s="14">
        <f t="shared" si="16"/>
        <v>3.4243774645494065E-3</v>
      </c>
      <c r="AC55" s="14">
        <f t="shared" si="17"/>
        <v>7.6396394416399405E-4</v>
      </c>
      <c r="AD55" s="14">
        <f t="shared" si="18"/>
        <v>-4.9079818676793399E-4</v>
      </c>
      <c r="AE55" s="14">
        <f t="shared" si="19"/>
        <v>-1.0936957629473455E-4</v>
      </c>
      <c r="AF55" s="14"/>
      <c r="AG55" s="245">
        <f t="shared" si="11"/>
        <v>3.5873950593322645E-3</v>
      </c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B55" s="19"/>
      <c r="BC55" s="19"/>
    </row>
    <row r="56" spans="1:55">
      <c r="A56" s="234">
        <v>45838</v>
      </c>
      <c r="B56" s="249">
        <v>-4.4250000000000001E-3</v>
      </c>
      <c r="C56" s="249">
        <v>8.4368711795948913E-3</v>
      </c>
      <c r="D56" s="249">
        <v>-1.0258333333333333E-2</v>
      </c>
      <c r="E56" s="249">
        <v>-4.9179243074768848E-3</v>
      </c>
      <c r="F56" s="235">
        <v>2.0068667537282456E-3</v>
      </c>
      <c r="G56" s="250"/>
      <c r="H56" s="249">
        <v>0.23694721345560243</v>
      </c>
      <c r="I56" s="249">
        <v>0.16188712339518488</v>
      </c>
      <c r="J56" s="249">
        <v>0.38771493901610082</v>
      </c>
      <c r="K56" s="249">
        <v>5.9351023097204081E-2</v>
      </c>
      <c r="L56" s="249">
        <v>0.15409970103590789</v>
      </c>
      <c r="M56" s="249"/>
      <c r="N56" s="249">
        <v>0.24539043137457772</v>
      </c>
      <c r="O56" s="249">
        <v>0.31942516458996933</v>
      </c>
      <c r="P56" s="249">
        <f t="shared" si="0"/>
        <v>0.18896229301166889</v>
      </c>
      <c r="Q56" s="249">
        <v>0.17679094886270635</v>
      </c>
      <c r="R56" s="249">
        <v>6.9431162161077697E-2</v>
      </c>
      <c r="S56" s="14"/>
      <c r="T56" s="14">
        <f t="shared" si="12"/>
        <v>-3.6426059689557864E-3</v>
      </c>
      <c r="U56" s="14">
        <f t="shared" si="13"/>
        <v>-1.0594472965507677E-3</v>
      </c>
      <c r="V56" s="245">
        <f t="shared" si="14"/>
        <v>2.5831586724050187E-3</v>
      </c>
      <c r="W56" s="14"/>
      <c r="X56" s="14">
        <f t="shared" si="9"/>
        <v>-6.142605968955786E-3</v>
      </c>
      <c r="Y56" s="14">
        <f t="shared" si="10"/>
        <v>-3.5594472965507678E-3</v>
      </c>
      <c r="Z56" s="14"/>
      <c r="AA56" s="14">
        <f t="shared" si="15"/>
        <v>-6.6059233026118125E-6</v>
      </c>
      <c r="AB56" s="14">
        <f t="shared" si="16"/>
        <v>1.902977168639834E-3</v>
      </c>
      <c r="AC56" s="14">
        <f t="shared" si="17"/>
        <v>1.314893318913964E-3</v>
      </c>
      <c r="AD56" s="14">
        <f t="shared" si="18"/>
        <v>-1.497732910033015E-4</v>
      </c>
      <c r="AE56" s="14">
        <f t="shared" si="19"/>
        <v>-4.7833260084286574E-4</v>
      </c>
      <c r="AF56" s="14"/>
      <c r="AG56" s="245">
        <f t="shared" si="11"/>
        <v>2.5831586724050187E-3</v>
      </c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B56" s="19"/>
      <c r="BC56" s="19"/>
    </row>
    <row r="57" spans="1:55">
      <c r="A57" s="234">
        <v>45869</v>
      </c>
      <c r="B57" s="249">
        <v>5.0000000000000002E-5</v>
      </c>
      <c r="C57" s="249">
        <v>1.1699246064577163E-2</v>
      </c>
      <c r="D57" s="249">
        <v>5.1166666666666661E-3</v>
      </c>
      <c r="E57" s="249">
        <v>-6.6931745375123398E-3</v>
      </c>
      <c r="F57" s="235">
        <v>3.3793823996725409E-3</v>
      </c>
      <c r="G57" s="250"/>
      <c r="H57" s="249">
        <v>0.23523916989346488</v>
      </c>
      <c r="I57" s="249">
        <v>0.15801523859039429</v>
      </c>
      <c r="J57" s="249">
        <v>0.39271956727399238</v>
      </c>
      <c r="K57" s="249">
        <v>6.034884488804769E-2</v>
      </c>
      <c r="L57" s="249">
        <v>0.15367717935410063</v>
      </c>
      <c r="M57" s="249"/>
      <c r="N57" s="249">
        <v>0.21775110224916588</v>
      </c>
      <c r="O57" s="249">
        <v>0.34390195679103036</v>
      </c>
      <c r="P57" s="249">
        <f t="shared" si="0"/>
        <v>0.26118558283978366</v>
      </c>
      <c r="Q57" s="249">
        <v>0.10899561459298517</v>
      </c>
      <c r="R57" s="249">
        <v>6.8165743527034972E-2</v>
      </c>
      <c r="S57" s="14"/>
      <c r="T57" s="14">
        <f t="shared" si="12"/>
        <v>3.9852448391027653E-3</v>
      </c>
      <c r="U57" s="14">
        <f t="shared" si="13"/>
        <v>4.8715121768721096E-3</v>
      </c>
      <c r="V57" s="245">
        <f t="shared" si="14"/>
        <v>8.8626733776934422E-4</v>
      </c>
      <c r="W57" s="14"/>
      <c r="X57" s="14">
        <f t="shared" si="9"/>
        <v>1.4852448391027653E-3</v>
      </c>
      <c r="Y57" s="14">
        <f t="shared" si="10"/>
        <v>2.3715121768721095E-3</v>
      </c>
      <c r="Z57" s="14"/>
      <c r="AA57" s="14">
        <f t="shared" si="15"/>
        <v>6.8819827943107702E-5</v>
      </c>
      <c r="AB57" s="14">
        <f t="shared" si="16"/>
        <v>1.4339303719991207E-3</v>
      </c>
      <c r="AC57" s="14">
        <f t="shared" si="17"/>
        <v>-1.488204210553141E-4</v>
      </c>
      <c r="AD57" s="14">
        <f t="shared" si="18"/>
        <v>-5.1947060822693698E-4</v>
      </c>
      <c r="AE57" s="14">
        <f t="shared" si="19"/>
        <v>5.1808167109367091E-5</v>
      </c>
      <c r="AF57" s="14"/>
      <c r="AG57" s="245">
        <f t="shared" si="11"/>
        <v>8.8626733776934433E-4</v>
      </c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B57" s="19"/>
      <c r="BC57" s="19"/>
    </row>
    <row r="58" spans="1:55">
      <c r="A58" s="234">
        <v>45900</v>
      </c>
      <c r="B58" s="249">
        <v>7.6249999999999998E-3</v>
      </c>
      <c r="C58" s="249">
        <v>3.7865462784655385E-2</v>
      </c>
      <c r="D58" s="249">
        <v>1.7441666666666668E-2</v>
      </c>
      <c r="E58" s="249">
        <v>3.2889258902644117E-2</v>
      </c>
      <c r="F58" s="235">
        <v>4.8887897692155092E-3</v>
      </c>
      <c r="G58" s="250"/>
      <c r="H58" s="249">
        <v>0.22992716763217141</v>
      </c>
      <c r="I58" s="249">
        <v>0.16430388609877561</v>
      </c>
      <c r="J58" s="249">
        <v>0.39847791571972019</v>
      </c>
      <c r="K58" s="249">
        <v>6.5013490189813672E-2</v>
      </c>
      <c r="L58" s="249">
        <v>0.14227754035951917</v>
      </c>
      <c r="M58" s="249"/>
      <c r="N58" s="249">
        <v>0.22393588608877874</v>
      </c>
      <c r="O58" s="249">
        <v>0.31744511158204408</v>
      </c>
      <c r="P58" s="249">
        <f t="shared" si="0"/>
        <v>0.30935412397653389</v>
      </c>
      <c r="Q58" s="249">
        <v>0.1468955837211261</v>
      </c>
      <c r="R58" s="249">
        <v>2.3692946315171381E-3</v>
      </c>
      <c r="S58" s="14"/>
      <c r="T58" s="14">
        <f t="shared" si="12"/>
        <v>1.7758566812370265E-2</v>
      </c>
      <c r="U58" s="14">
        <f t="shared" si="13"/>
        <v>2.3966238570578953E-2</v>
      </c>
      <c r="V58" s="245">
        <f t="shared" si="14"/>
        <v>6.2076717582086882E-3</v>
      </c>
      <c r="W58" s="14"/>
      <c r="X58" s="14">
        <f t="shared" si="9"/>
        <v>1.5258566812370264E-2</v>
      </c>
      <c r="Y58" s="14">
        <f t="shared" si="10"/>
        <v>2.1466238570578954E-2</v>
      </c>
      <c r="Z58" s="14"/>
      <c r="AA58" s="14">
        <f t="shared" si="15"/>
        <v>6.0713051811690551E-5</v>
      </c>
      <c r="AB58" s="14">
        <f t="shared" si="16"/>
        <v>3.0791946898603381E-3</v>
      </c>
      <c r="AC58" s="14">
        <f t="shared" si="17"/>
        <v>2.8243342589072766E-5</v>
      </c>
      <c r="AD58" s="14">
        <f t="shared" si="18"/>
        <v>1.2389327449292926E-3</v>
      </c>
      <c r="AE58" s="14">
        <f t="shared" si="19"/>
        <v>1.8005879290182952E-3</v>
      </c>
      <c r="AF58" s="14"/>
      <c r="AG58" s="245">
        <f t="shared" si="11"/>
        <v>6.20767175820869E-3</v>
      </c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B58" s="19"/>
      <c r="BC58" s="19"/>
    </row>
    <row r="59" spans="1:55">
      <c r="A59" s="234">
        <v>45930</v>
      </c>
      <c r="B59" s="249">
        <v>6.1000000000000004E-3</v>
      </c>
      <c r="C59" s="249">
        <v>2.5346912966114181E-2</v>
      </c>
      <c r="D59" s="249">
        <v>-1.2808333333333333E-2</v>
      </c>
      <c r="E59" s="249">
        <v>1.5002159265561692E-2</v>
      </c>
      <c r="F59" s="235">
        <v>4.6026180718098482E-3</v>
      </c>
      <c r="G59" s="250"/>
      <c r="H59" s="249">
        <v>0.23510269941130726</v>
      </c>
      <c r="I59" s="249">
        <v>0.17176882301781529</v>
      </c>
      <c r="J59" s="249">
        <v>0.37736483837009566</v>
      </c>
      <c r="K59" s="249">
        <v>6.3154359942871635E-2</v>
      </c>
      <c r="L59" s="249">
        <v>0.15260927925791015</v>
      </c>
      <c r="M59" s="249"/>
      <c r="N59" s="249">
        <v>0.27679076811365855</v>
      </c>
      <c r="O59" s="249">
        <v>0.46696802774768525</v>
      </c>
      <c r="P59" s="249">
        <f t="shared" si="0"/>
        <v>0.2623298608965442</v>
      </c>
      <c r="Q59" s="249">
        <v>0.13893715463041936</v>
      </c>
      <c r="R59" s="249">
        <v>-0.14502581138830739</v>
      </c>
      <c r="S59" s="14"/>
      <c r="T59" s="14">
        <f t="shared" si="12"/>
        <v>2.6043752284256707E-3</v>
      </c>
      <c r="U59" s="14">
        <f t="shared" si="13"/>
        <v>1.1581472242416797E-2</v>
      </c>
      <c r="V59" s="245">
        <f t="shared" si="14"/>
        <v>8.9770970139911276E-3</v>
      </c>
      <c r="W59" s="14"/>
      <c r="X59" s="14">
        <f t="shared" si="9"/>
        <v>1.0437522842567061E-4</v>
      </c>
      <c r="Y59" s="14">
        <f t="shared" si="10"/>
        <v>9.0814722424167969E-3</v>
      </c>
      <c r="Z59" s="14"/>
      <c r="AA59" s="14">
        <f t="shared" si="15"/>
        <v>1.4572584563503168E-4</v>
      </c>
      <c r="AB59" s="14">
        <f t="shared" si="16"/>
        <v>6.7135790537047038E-3</v>
      </c>
      <c r="AC59" s="14">
        <f t="shared" si="17"/>
        <v>1.7730005822083608E-3</v>
      </c>
      <c r="AD59" s="14">
        <f t="shared" si="18"/>
        <v>9.3953872226683571E-4</v>
      </c>
      <c r="AE59" s="14">
        <f t="shared" si="19"/>
        <v>-5.9474718982380507E-4</v>
      </c>
      <c r="AF59" s="14"/>
      <c r="AG59" s="245">
        <f t="shared" si="11"/>
        <v>8.9770970139911258E-3</v>
      </c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B59" s="19"/>
      <c r="BC59" s="19"/>
    </row>
    <row r="60" spans="1:55">
      <c r="A60" s="234">
        <v>45961</v>
      </c>
      <c r="B60" s="249">
        <v>-1.46E-2</v>
      </c>
      <c r="C60" s="249">
        <v>-5.352402956371953E-3</v>
      </c>
      <c r="D60" s="249">
        <v>1.0166666666666666E-3</v>
      </c>
      <c r="E60" s="249">
        <v>-1.2346472579410572E-2</v>
      </c>
      <c r="F60" s="235">
        <v>8.9195655710922427E-4</v>
      </c>
      <c r="G60" s="250"/>
      <c r="H60" s="249">
        <v>0.22136678355487546</v>
      </c>
      <c r="I60" s="249">
        <v>0.18431447073070961</v>
      </c>
      <c r="J60" s="249">
        <v>0.37888932582494061</v>
      </c>
      <c r="K60" s="249">
        <v>6.8028057809600209E-2</v>
      </c>
      <c r="L60" s="249">
        <v>0.14740136207987412</v>
      </c>
      <c r="M60" s="249"/>
      <c r="N60" s="249">
        <v>0.24813259078629799</v>
      </c>
      <c r="O60" s="249">
        <v>0.52264718928792209</v>
      </c>
      <c r="P60" s="249">
        <f t="shared" si="0"/>
        <v>0.21919022315306552</v>
      </c>
      <c r="Q60" s="249">
        <v>0.18266844519620767</v>
      </c>
      <c r="R60" s="249">
        <v>-0.1726384484234933</v>
      </c>
      <c r="S60" s="14"/>
      <c r="T60" s="14">
        <f t="shared" si="12"/>
        <v>-4.5417071489631524E-3</v>
      </c>
      <c r="U60" s="14">
        <f t="shared" si="13"/>
        <v>-8.6066077388442051E-3</v>
      </c>
      <c r="V60" s="245">
        <f t="shared" si="14"/>
        <v>-4.0649005898810526E-3</v>
      </c>
      <c r="W60" s="14"/>
      <c r="X60" s="14">
        <f t="shared" si="9"/>
        <v>-7.0417071489631521E-3</v>
      </c>
      <c r="Y60" s="14">
        <f t="shared" si="10"/>
        <v>-1.1106607738844206E-2</v>
      </c>
      <c r="Z60" s="14"/>
      <c r="AA60" s="14">
        <f t="shared" si="15"/>
        <v>-2.6921832752804754E-4</v>
      </c>
      <c r="AB60" s="14">
        <f t="shared" si="16"/>
        <v>-2.7428491644355388E-4</v>
      </c>
      <c r="AC60" s="14">
        <f t="shared" si="17"/>
        <v>-8.8766731067092862E-4</v>
      </c>
      <c r="AD60" s="14">
        <f t="shared" si="18"/>
        <v>-8.9474133240809433E-4</v>
      </c>
      <c r="AE60" s="14">
        <f t="shared" si="19"/>
        <v>-1.7389887028304283E-3</v>
      </c>
      <c r="AF60" s="14"/>
      <c r="AG60" s="245">
        <f t="shared" si="11"/>
        <v>-4.0649005898810526E-3</v>
      </c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B60" s="19"/>
      <c r="BC60" s="19"/>
    </row>
    <row r="61" spans="1:55">
      <c r="A61" s="234">
        <v>45991</v>
      </c>
      <c r="B61" s="249">
        <v>7.0000000000000001E-3</v>
      </c>
      <c r="C61" s="249">
        <v>2.1378394265932729E-2</v>
      </c>
      <c r="D61" s="249">
        <v>5.0666666666666664E-3</v>
      </c>
      <c r="E61" s="249">
        <v>4.740121865198791E-3</v>
      </c>
      <c r="F61" s="235">
        <v>3.4715550032863394E-3</v>
      </c>
      <c r="G61" s="250"/>
      <c r="H61" s="249">
        <v>0.22460750024147272</v>
      </c>
      <c r="I61" s="249">
        <v>0.18160369813454552</v>
      </c>
      <c r="J61" s="249">
        <v>0.38154410968542807</v>
      </c>
      <c r="K61" s="249">
        <v>6.5478760487239551E-2</v>
      </c>
      <c r="L61" s="249">
        <v>0.14676593145131403</v>
      </c>
      <c r="M61" s="249"/>
      <c r="N61" s="249">
        <v>0.23015472786843019</v>
      </c>
      <c r="O61" s="249">
        <v>0.36591396643123103</v>
      </c>
      <c r="P61" s="249">
        <f t="shared" si="0"/>
        <v>0.23268377369772653</v>
      </c>
      <c r="Q61" s="249">
        <v>9.2516959259591747E-2</v>
      </c>
      <c r="R61" s="249">
        <v>7.8730572743020533E-2</v>
      </c>
      <c r="S61" s="14"/>
      <c r="T61" s="14">
        <f t="shared" si="12"/>
        <v>8.2076880909016919E-3</v>
      </c>
      <c r="U61" s="14">
        <f t="shared" si="13"/>
        <v>1.1324526432131349E-2</v>
      </c>
      <c r="V61" s="245">
        <f t="shared" si="14"/>
        <v>3.1168383412296576E-3</v>
      </c>
      <c r="W61" s="14"/>
      <c r="X61" s="14">
        <f t="shared" si="9"/>
        <v>5.7076880909016914E-3</v>
      </c>
      <c r="Y61" s="14">
        <f t="shared" si="10"/>
        <v>8.824526432131349E-3</v>
      </c>
      <c r="Z61" s="14"/>
      <c r="AA61" s="14">
        <f t="shared" si="15"/>
        <v>-6.6993207425973933E-6</v>
      </c>
      <c r="AB61" s="14">
        <f t="shared" si="16"/>
        <v>2.4274963887767832E-3</v>
      </c>
      <c r="AC61" s="14">
        <f t="shared" si="17"/>
        <v>4.6757350455619472E-4</v>
      </c>
      <c r="AD61" s="14">
        <f t="shared" si="18"/>
        <v>-9.3756744866850113E-5</v>
      </c>
      <c r="AE61" s="14">
        <f t="shared" si="19"/>
        <v>3.2222451350612816E-4</v>
      </c>
      <c r="AF61" s="14"/>
      <c r="AG61" s="245">
        <f t="shared" si="11"/>
        <v>3.1168383412296589E-3</v>
      </c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B61" s="19"/>
      <c r="BC61" s="19"/>
    </row>
    <row r="62" spans="1:55">
      <c r="A62" s="234">
        <v>46022</v>
      </c>
      <c r="B62" s="249">
        <v>-3.5000000000000001E-3</v>
      </c>
      <c r="C62" s="249">
        <v>1.5593996872262506E-2</v>
      </c>
      <c r="D62" s="249">
        <v>3.5416666666666669E-3</v>
      </c>
      <c r="E62" s="249">
        <v>5.1963270778583454E-3</v>
      </c>
      <c r="F62" s="235">
        <v>3.3028005629380641E-3</v>
      </c>
      <c r="G62" s="250"/>
      <c r="H62" s="249">
        <v>0.21777208779741808</v>
      </c>
      <c r="I62" s="249">
        <v>0.19096438391370774</v>
      </c>
      <c r="J62" s="249">
        <v>0.38050041155442765</v>
      </c>
      <c r="K62" s="249">
        <v>6.8160596849137542E-2</v>
      </c>
      <c r="L62" s="249">
        <v>0.14260251988530909</v>
      </c>
      <c r="M62" s="249"/>
      <c r="N62" s="249">
        <v>0.2300528503984216</v>
      </c>
      <c r="O62" s="249">
        <v>0.38114191621836813</v>
      </c>
      <c r="P62" s="249">
        <f>1-N62-O62-Q62-R62</f>
        <v>0.21245699057956385</v>
      </c>
      <c r="Q62" s="249">
        <v>0.11511456954040016</v>
      </c>
      <c r="R62" s="249">
        <v>6.1233673263246247E-2</v>
      </c>
      <c r="S62" s="14"/>
      <c r="T62" s="14">
        <f t="shared" si="12"/>
        <v>4.3884737604319409E-3</v>
      </c>
      <c r="U62" s="14">
        <f t="shared" si="13"/>
        <v>6.6912082799222552E-3</v>
      </c>
      <c r="V62" s="245">
        <f t="shared" si="14"/>
        <v>2.3027345194903143E-3</v>
      </c>
      <c r="W62" s="14"/>
      <c r="X62" s="14">
        <f t="shared" si="9"/>
        <v>1.8884737604319408E-3</v>
      </c>
      <c r="Y62" s="14">
        <f t="shared" si="10"/>
        <v>4.1912082799222556E-3</v>
      </c>
      <c r="Z62" s="14"/>
      <c r="AA62" s="14">
        <f t="shared" si="15"/>
        <v>-9.6876473536110225E-5</v>
      </c>
      <c r="AB62" s="14">
        <f t="shared" si="16"/>
        <v>2.1310387335907758E-3</v>
      </c>
      <c r="AC62" s="14">
        <f t="shared" si="17"/>
        <v>1.423003609420989E-4</v>
      </c>
      <c r="AD62" s="14">
        <f t="shared" si="18"/>
        <v>3.7931922604985302E-5</v>
      </c>
      <c r="AE62" s="14">
        <f t="shared" si="19"/>
        <v>8.8339975888563802E-5</v>
      </c>
      <c r="AF62" s="14"/>
      <c r="AG62" s="245">
        <f t="shared" si="11"/>
        <v>2.3027345194903135E-3</v>
      </c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B62" s="19"/>
      <c r="BC62" s="19"/>
    </row>
    <row r="64" spans="1:55">
      <c r="T64" s="273" t="s">
        <v>773</v>
      </c>
      <c r="U64" s="273"/>
      <c r="V64" s="273"/>
      <c r="AA64" s="273" t="s">
        <v>771</v>
      </c>
      <c r="AB64" s="273"/>
      <c r="AC64" s="273"/>
      <c r="AD64" s="273"/>
      <c r="AE64" s="273"/>
    </row>
    <row r="65" spans="19:51">
      <c r="S65" s="1" t="s">
        <v>544</v>
      </c>
      <c r="T65" s="197">
        <f>AVERAGE(T3:T62)</f>
        <v>6.0015964866706817E-3</v>
      </c>
      <c r="U65" s="197">
        <f>AVERAGE(U3:U62)</f>
        <v>9.9004118716199668E-3</v>
      </c>
      <c r="V65" s="242">
        <f>AVERAGE(V3:V62)</f>
        <v>3.8988153849492898E-3</v>
      </c>
      <c r="AA65" s="244" t="s">
        <v>0</v>
      </c>
      <c r="AB65" s="244" t="s">
        <v>1</v>
      </c>
      <c r="AC65" s="244" t="s">
        <v>2</v>
      </c>
      <c r="AD65" s="244" t="s">
        <v>433</v>
      </c>
      <c r="AE65" s="244" t="s">
        <v>434</v>
      </c>
      <c r="AG65" s="244" t="s">
        <v>7</v>
      </c>
    </row>
    <row r="66" spans="19:51">
      <c r="S66" s="1" t="s">
        <v>769</v>
      </c>
      <c r="T66" s="197">
        <f>T65*12</f>
        <v>7.2019157840048184E-2</v>
      </c>
      <c r="U66" s="197">
        <f>U65*12</f>
        <v>0.11880494245943959</v>
      </c>
      <c r="V66" s="242">
        <f>V65*12</f>
        <v>4.6785784619391479E-2</v>
      </c>
      <c r="X66" s="14"/>
      <c r="Z66" s="1" t="s">
        <v>544</v>
      </c>
      <c r="AA66" s="197">
        <f>AVERAGE(AA3:AA62)</f>
        <v>-5.4791854870106017E-5</v>
      </c>
      <c r="AB66" s="197">
        <f>AVERAGE(AB3:AB62)</f>
        <v>3.0218343148934929E-3</v>
      </c>
      <c r="AC66" s="197">
        <f>AVERAGE(AC3:AC62)</f>
        <v>3.0161720393206525E-4</v>
      </c>
      <c r="AD66" s="197">
        <f>AVERAGE(AD3:AD62)</f>
        <v>1.2188748107737852E-4</v>
      </c>
      <c r="AE66" s="197">
        <f>AVERAGE(AE3:AE62)</f>
        <v>5.0826823991645853E-4</v>
      </c>
      <c r="AG66" s="242">
        <f>SUM(AA66:AE66)</f>
        <v>3.8988153849492894E-3</v>
      </c>
      <c r="AS66" s="273"/>
      <c r="AT66" s="273"/>
      <c r="AU66" s="273"/>
      <c r="AV66" s="273"/>
      <c r="AW66" s="273"/>
    </row>
    <row r="67" spans="19:51">
      <c r="T67" s="14"/>
      <c r="U67" s="14"/>
      <c r="V67" s="14"/>
      <c r="X67" s="14"/>
      <c r="Z67" s="1" t="s">
        <v>769</v>
      </c>
      <c r="AA67" s="197">
        <f>AA66*12</f>
        <v>-6.575022584412722E-4</v>
      </c>
      <c r="AB67" s="197">
        <f>AB66*12</f>
        <v>3.6262011778721917E-2</v>
      </c>
      <c r="AC67" s="197">
        <f>AC66*12</f>
        <v>3.6194064471847831E-3</v>
      </c>
      <c r="AD67" s="197">
        <f>AD66*12</f>
        <v>1.4626497729285422E-3</v>
      </c>
      <c r="AE67" s="197">
        <f>AE66*12</f>
        <v>6.0992188789975024E-3</v>
      </c>
      <c r="AG67" s="242">
        <f>SUM(AA67:AE67)</f>
        <v>4.6785784619391473E-2</v>
      </c>
      <c r="AS67" s="3"/>
      <c r="AT67" s="3"/>
      <c r="AU67" s="3"/>
      <c r="AV67" s="3"/>
      <c r="AW67" s="3"/>
    </row>
    <row r="68" spans="19:51">
      <c r="T68" s="246" t="s">
        <v>774</v>
      </c>
      <c r="U68" s="246"/>
      <c r="V68" s="246"/>
      <c r="X68" s="14"/>
      <c r="AA68" s="14"/>
      <c r="AB68" s="14"/>
      <c r="AC68" s="14"/>
      <c r="AD68" s="14"/>
      <c r="AE68" s="14"/>
      <c r="AG68" s="14"/>
      <c r="AS68" s="3"/>
      <c r="AT68" s="3"/>
      <c r="AU68" s="3"/>
      <c r="AV68" s="3"/>
      <c r="AW68" s="3"/>
    </row>
    <row r="69" spans="19:51">
      <c r="S69" s="1" t="s">
        <v>544</v>
      </c>
      <c r="T69" s="247">
        <f>INTERCEPT(Y3:Y62,X3:X62)</f>
        <v>2.2732518211335175E-3</v>
      </c>
      <c r="AA69" s="273" t="s">
        <v>772</v>
      </c>
      <c r="AB69" s="273"/>
      <c r="AC69" s="273"/>
      <c r="AD69" s="273"/>
      <c r="AE69" s="273"/>
      <c r="AG69" s="14"/>
      <c r="AS69" s="40"/>
      <c r="AT69" s="40"/>
      <c r="AU69" s="40"/>
      <c r="AV69" s="40"/>
      <c r="AW69" s="40"/>
      <c r="AY69" s="40"/>
    </row>
    <row r="70" spans="19:51">
      <c r="S70" s="1" t="s">
        <v>769</v>
      </c>
      <c r="T70" s="247">
        <f>T69*12</f>
        <v>2.727902185360221E-2</v>
      </c>
      <c r="AA70" s="244" t="s">
        <v>0</v>
      </c>
      <c r="AB70" s="244" t="s">
        <v>1</v>
      </c>
      <c r="AC70" s="244" t="s">
        <v>2</v>
      </c>
      <c r="AD70" s="244" t="s">
        <v>433</v>
      </c>
      <c r="AE70" s="244" t="s">
        <v>434</v>
      </c>
      <c r="AG70" s="14"/>
      <c r="AS70" s="40"/>
      <c r="AT70" s="40"/>
      <c r="AU70" s="40"/>
      <c r="AV70" s="40"/>
      <c r="AW70" s="40"/>
      <c r="AY70" s="40"/>
    </row>
    <row r="71" spans="19:51">
      <c r="Z71" s="1" t="s">
        <v>544</v>
      </c>
      <c r="AA71" s="197">
        <f>INTERCEPT(AA3:AA62,$X$3:$X$62)</f>
        <v>-6.3280927891016725E-5</v>
      </c>
      <c r="AB71" s="197">
        <f>INTERCEPT(AB3:AB62,$X$3:$X$62)</f>
        <v>2.2346518055031978E-3</v>
      </c>
      <c r="AC71" s="197">
        <f>INTERCEPT(AC3:AC62,$X$3:$X$62)</f>
        <v>1.7155095107188945E-4</v>
      </c>
      <c r="AD71" s="197">
        <f>INTERCEPT(AD3:AD62,$X$3:$X$62)</f>
        <v>-8.3861649854842006E-5</v>
      </c>
      <c r="AE71" s="197">
        <f>INTERCEPT(AE3:AE62,$X$3:$X$62)</f>
        <v>1.4191642304293072E-5</v>
      </c>
      <c r="AG71" s="247">
        <f>SUM(AA71:AE71)</f>
        <v>2.2732518211335219E-3</v>
      </c>
    </row>
    <row r="72" spans="19:51">
      <c r="Z72" s="1" t="s">
        <v>769</v>
      </c>
      <c r="AA72" s="197">
        <f>AA71*12</f>
        <v>-7.5937113469220076E-4</v>
      </c>
      <c r="AB72" s="197">
        <f>AB71*12</f>
        <v>2.6815821666038374E-2</v>
      </c>
      <c r="AC72" s="197">
        <f>AC71*12</f>
        <v>2.0586114128626734E-3</v>
      </c>
      <c r="AD72" s="197">
        <f>AD71*12</f>
        <v>-1.0063397982581041E-3</v>
      </c>
      <c r="AE72" s="197">
        <f>AE71*12</f>
        <v>1.7029970765151687E-4</v>
      </c>
      <c r="AG72" s="247">
        <f>SUM(AA72:AE72)</f>
        <v>2.7279021853602259E-2</v>
      </c>
      <c r="AV72" s="40"/>
    </row>
    <row r="74" spans="19:51">
      <c r="AA74" s="273" t="s">
        <v>200</v>
      </c>
      <c r="AB74" s="273"/>
      <c r="AC74" s="273"/>
      <c r="AD74" s="273"/>
      <c r="AE74" s="273"/>
    </row>
    <row r="75" spans="19:51">
      <c r="AA75" s="244" t="s">
        <v>0</v>
      </c>
      <c r="AB75" s="244" t="s">
        <v>1</v>
      </c>
      <c r="AC75" s="244" t="s">
        <v>2</v>
      </c>
      <c r="AD75" s="244" t="s">
        <v>433</v>
      </c>
      <c r="AE75" s="244" t="s">
        <v>434</v>
      </c>
    </row>
    <row r="76" spans="19:51">
      <c r="AA76" s="14">
        <f>SLOPE(B3:B62,$T$3:$T$62)</f>
        <v>1.0886070517343296</v>
      </c>
      <c r="AB76" s="14">
        <f>SLOPE(C3:C62,$T$3:$T$62)</f>
        <v>2.0264722528375603</v>
      </c>
      <c r="AC76" s="14">
        <f>SLOPE(D3:D62,$T$3:$T$62)</f>
        <v>0.74213748368415156</v>
      </c>
      <c r="AD76" s="14">
        <f>SLOPE(E3:E62,$T$3:$T$62)</f>
        <v>2.1026451393125045</v>
      </c>
      <c r="AE76" s="14">
        <f>SLOPE(F3:F62,$T$3:$T$62)</f>
        <v>0.19611833057592065</v>
      </c>
    </row>
  </sheetData>
  <mergeCells count="15">
    <mergeCell ref="AA1:AE1"/>
    <mergeCell ref="AA74:AE74"/>
    <mergeCell ref="AY1:AZ1"/>
    <mergeCell ref="AS66:AW66"/>
    <mergeCell ref="AA64:AE64"/>
    <mergeCell ref="AA69:AE69"/>
    <mergeCell ref="AG1:AK1"/>
    <mergeCell ref="AM1:AN1"/>
    <mergeCell ref="AP1:AQ1"/>
    <mergeCell ref="B1:F1"/>
    <mergeCell ref="X1:Y1"/>
    <mergeCell ref="T64:V64"/>
    <mergeCell ref="H1:L1"/>
    <mergeCell ref="N1:R1"/>
    <mergeCell ref="T1:V1"/>
  </mergeCells>
  <pageMargins left="0.7" right="0.7" top="0.75" bottom="0.75" header="0.3" footer="0.3"/>
  <ignoredErrors>
    <ignoredError sqref="T3:V62" formulaRange="1"/>
  </ignoredError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75628-8B01-4E51-9C58-B4AAC7834484}">
  <dimension ref="A1:C121"/>
  <sheetViews>
    <sheetView topLeftCell="A93" workbookViewId="0">
      <selection activeCell="G10" sqref="G10"/>
    </sheetView>
  </sheetViews>
  <sheetFormatPr defaultRowHeight="14.5"/>
  <cols>
    <col min="4" max="4" width="13.7265625" bestFit="1" customWidth="1"/>
  </cols>
  <sheetData>
    <row r="1" spans="1:3">
      <c r="A1" s="1" t="s">
        <v>533</v>
      </c>
      <c r="B1" s="1" t="s">
        <v>17</v>
      </c>
      <c r="C1" s="1" t="s">
        <v>172</v>
      </c>
    </row>
    <row r="2" spans="1:3">
      <c r="A2" t="s">
        <v>777</v>
      </c>
      <c r="B2">
        <v>-5.1349999999999998E-3</v>
      </c>
      <c r="C2">
        <v>-2.3921999999999999E-2</v>
      </c>
    </row>
    <row r="3" spans="1:3">
      <c r="A3" t="s">
        <v>778</v>
      </c>
      <c r="B3">
        <v>6.5317E-2</v>
      </c>
      <c r="C3">
        <v>7.8460000000000005E-3</v>
      </c>
    </row>
    <row r="4" spans="1:3">
      <c r="A4" t="s">
        <v>779</v>
      </c>
      <c r="B4">
        <v>-4.8079999999999998E-3</v>
      </c>
      <c r="C4">
        <v>1.6959999999999999E-2</v>
      </c>
    </row>
    <row r="5" spans="1:3">
      <c r="A5" t="s">
        <v>780</v>
      </c>
      <c r="B5">
        <v>-1.4598E-2</v>
      </c>
      <c r="C5">
        <v>5.1659999999999996E-3</v>
      </c>
    </row>
    <row r="6" spans="1:3">
      <c r="A6" t="s">
        <v>781</v>
      </c>
      <c r="B6">
        <v>-2.5149999999999999E-3</v>
      </c>
      <c r="C6">
        <v>1.4200000000000001E-4</v>
      </c>
    </row>
    <row r="7" spans="1:3">
      <c r="A7" t="s">
        <v>782</v>
      </c>
      <c r="B7">
        <v>-8.3820000000000006E-3</v>
      </c>
      <c r="C7">
        <v>8.541E-3</v>
      </c>
    </row>
    <row r="8" spans="1:3">
      <c r="A8" t="s">
        <v>783</v>
      </c>
      <c r="B8">
        <v>2.4022000000000002E-2</v>
      </c>
      <c r="C8">
        <v>-4.1406999999999999E-2</v>
      </c>
    </row>
    <row r="9" spans="1:3">
      <c r="A9" t="s">
        <v>784</v>
      </c>
      <c r="B9">
        <v>-9.0881000000000003E-2</v>
      </c>
      <c r="C9">
        <v>-1.2648E-2</v>
      </c>
    </row>
    <row r="10" spans="1:3">
      <c r="A10" t="s">
        <v>785</v>
      </c>
      <c r="B10">
        <v>-4.5158999999999998E-2</v>
      </c>
      <c r="C10">
        <v>-9.5759999999999994E-3</v>
      </c>
    </row>
    <row r="11" spans="1:3">
      <c r="A11" t="s">
        <v>786</v>
      </c>
      <c r="B11">
        <v>9.5797999999999994E-2</v>
      </c>
      <c r="C11">
        <v>1.9914999999999999E-2</v>
      </c>
    </row>
    <row r="12" spans="1:3">
      <c r="A12" t="s">
        <v>787</v>
      </c>
      <c r="B12">
        <v>-7.45E-3</v>
      </c>
      <c r="C12">
        <v>5.855E-3</v>
      </c>
    </row>
    <row r="13" spans="1:3">
      <c r="A13" t="s">
        <v>788</v>
      </c>
      <c r="B13">
        <v>-5.4599999999999996E-3</v>
      </c>
      <c r="C13">
        <v>-3.5617000000000003E-2</v>
      </c>
    </row>
    <row r="14" spans="1:3">
      <c r="A14" t="s">
        <v>789</v>
      </c>
      <c r="B14">
        <v>-3.7279E-2</v>
      </c>
      <c r="C14">
        <v>-2.1218000000000001E-2</v>
      </c>
    </row>
    <row r="15" spans="1:3">
      <c r="A15" t="s">
        <v>790</v>
      </c>
      <c r="B15">
        <v>7.4371999999999994E-2</v>
      </c>
      <c r="C15">
        <v>1.1742000000000001E-2</v>
      </c>
    </row>
    <row r="16" spans="1:3">
      <c r="A16" t="s">
        <v>791</v>
      </c>
      <c r="B16">
        <v>8.5233000000000003E-2</v>
      </c>
      <c r="C16">
        <v>4.3011000000000001E-2</v>
      </c>
    </row>
    <row r="17" spans="1:3">
      <c r="A17" t="s">
        <v>792</v>
      </c>
      <c r="B17">
        <v>-9.1730000000000006E-3</v>
      </c>
      <c r="C17">
        <v>6.1900000000000002E-3</v>
      </c>
    </row>
    <row r="18" spans="1:3">
      <c r="A18" t="s">
        <v>793</v>
      </c>
      <c r="B18">
        <v>6.2119999999999996E-3</v>
      </c>
      <c r="C18">
        <v>-4.457E-3</v>
      </c>
    </row>
    <row r="19" spans="1:3">
      <c r="A19" t="s">
        <v>794</v>
      </c>
      <c r="B19">
        <v>4.2944999999999997E-2</v>
      </c>
      <c r="C19">
        <v>1.5945000000000001E-2</v>
      </c>
    </row>
    <row r="20" spans="1:3">
      <c r="A20" t="s">
        <v>795</v>
      </c>
      <c r="B20">
        <v>7.8302999999999998E-2</v>
      </c>
      <c r="C20">
        <v>2.7824000000000002E-2</v>
      </c>
    </row>
    <row r="21" spans="1:3">
      <c r="A21" t="s">
        <v>796</v>
      </c>
      <c r="B21">
        <v>-3.0813E-2</v>
      </c>
      <c r="C21">
        <v>1.5724999999999999E-2</v>
      </c>
    </row>
    <row r="22" spans="1:3">
      <c r="A22" t="s">
        <v>797</v>
      </c>
      <c r="B22">
        <v>-3.166E-3</v>
      </c>
      <c r="C22">
        <v>4.8900000000000002E-3</v>
      </c>
    </row>
    <row r="23" spans="1:3">
      <c r="A23" t="s">
        <v>798</v>
      </c>
      <c r="B23">
        <v>-4.4521999999999999E-2</v>
      </c>
      <c r="C23">
        <v>-1.1448E-2</v>
      </c>
    </row>
    <row r="24" spans="1:3">
      <c r="A24" t="s">
        <v>799</v>
      </c>
      <c r="B24">
        <v>7.0823999999999998E-2</v>
      </c>
      <c r="C24">
        <v>9.1991000000000003E-2</v>
      </c>
    </row>
    <row r="25" spans="1:3">
      <c r="A25" t="s">
        <v>800</v>
      </c>
      <c r="B25">
        <v>2.9194000000000001E-2</v>
      </c>
      <c r="C25">
        <v>3.2821999999999997E-2</v>
      </c>
    </row>
    <row r="26" spans="1:3">
      <c r="A26" t="s">
        <v>65</v>
      </c>
      <c r="B26">
        <v>1.6191000000000001E-2</v>
      </c>
      <c r="C26">
        <v>-2.6858E-2</v>
      </c>
    </row>
    <row r="27" spans="1:3">
      <c r="A27" t="s">
        <v>68</v>
      </c>
      <c r="B27">
        <v>2.2187999999999999E-2</v>
      </c>
      <c r="C27">
        <v>-4.9740000000000001E-3</v>
      </c>
    </row>
    <row r="28" spans="1:3">
      <c r="A28" t="s">
        <v>71</v>
      </c>
      <c r="B28">
        <v>3.1671999999999999E-2</v>
      </c>
      <c r="C28">
        <v>-8.8789999999999997E-3</v>
      </c>
    </row>
    <row r="29" spans="1:3">
      <c r="A29" t="s">
        <v>72</v>
      </c>
      <c r="B29">
        <v>1.2148000000000001E-2</v>
      </c>
      <c r="C29">
        <v>8.6370000000000006E-3</v>
      </c>
    </row>
    <row r="30" spans="1:3">
      <c r="A30" t="s">
        <v>73</v>
      </c>
      <c r="B30">
        <v>2.5304E-2</v>
      </c>
      <c r="C30">
        <v>-1.4546999999999999E-2</v>
      </c>
    </row>
    <row r="31" spans="1:3">
      <c r="A31" t="s">
        <v>74</v>
      </c>
      <c r="B31">
        <v>-5.8019999999999999E-3</v>
      </c>
      <c r="C31">
        <v>1.5370999999999999E-2</v>
      </c>
    </row>
    <row r="32" spans="1:3">
      <c r="A32" t="s">
        <v>75</v>
      </c>
      <c r="B32">
        <v>-4.496E-3</v>
      </c>
      <c r="C32">
        <v>-9.4079999999999997E-3</v>
      </c>
    </row>
    <row r="33" spans="1:3">
      <c r="A33" t="s">
        <v>76</v>
      </c>
      <c r="B33">
        <v>-1.5403E-2</v>
      </c>
      <c r="C33">
        <v>-1.448E-2</v>
      </c>
    </row>
    <row r="34" spans="1:3">
      <c r="A34" t="s">
        <v>77</v>
      </c>
      <c r="B34">
        <v>2.4246E-2</v>
      </c>
      <c r="C34">
        <v>5.7779999999999998E-2</v>
      </c>
    </row>
    <row r="35" spans="1:3">
      <c r="A35" t="s">
        <v>78</v>
      </c>
      <c r="B35">
        <v>3.3050000000000002E-3</v>
      </c>
      <c r="C35">
        <v>-2.7430000000000002E-3</v>
      </c>
    </row>
    <row r="36" spans="1:3">
      <c r="A36" t="s">
        <v>79</v>
      </c>
      <c r="B36">
        <v>7.1082000000000006E-2</v>
      </c>
      <c r="C36">
        <v>2.1753999999999999E-2</v>
      </c>
    </row>
    <row r="37" spans="1:3">
      <c r="A37" t="s">
        <v>80</v>
      </c>
      <c r="B37">
        <v>3.9709000000000001E-2</v>
      </c>
      <c r="C37">
        <v>5.6800000000000002E-3</v>
      </c>
    </row>
    <row r="38" spans="1:3">
      <c r="A38" t="s">
        <v>81</v>
      </c>
      <c r="B38">
        <v>5.8111000000000003E-2</v>
      </c>
      <c r="C38">
        <v>-5.4990000000000004E-3</v>
      </c>
    </row>
    <row r="39" spans="1:3">
      <c r="A39" t="s">
        <v>82</v>
      </c>
      <c r="B39">
        <v>-6.4797999999999994E-2</v>
      </c>
      <c r="C39">
        <v>-1.0102999999999999E-2</v>
      </c>
    </row>
    <row r="40" spans="1:3">
      <c r="A40" t="s">
        <v>83</v>
      </c>
      <c r="B40">
        <v>-4.0879999999999996E-3</v>
      </c>
      <c r="C40">
        <v>3.2230000000000002E-3</v>
      </c>
    </row>
    <row r="41" spans="1:3">
      <c r="A41" t="s">
        <v>84</v>
      </c>
      <c r="B41">
        <v>-1.0215999999999999E-2</v>
      </c>
      <c r="C41">
        <v>-3.5339999999999998E-3</v>
      </c>
    </row>
    <row r="42" spans="1:3">
      <c r="A42" t="s">
        <v>85</v>
      </c>
      <c r="B42">
        <v>2.9914E-2</v>
      </c>
      <c r="C42">
        <v>5.5830000000000003E-3</v>
      </c>
    </row>
    <row r="43" spans="1:3">
      <c r="A43" t="s">
        <v>86</v>
      </c>
      <c r="B43">
        <v>4.6439000000000001E-2</v>
      </c>
      <c r="C43">
        <v>3.6879999999999999E-3</v>
      </c>
    </row>
    <row r="44" spans="1:3">
      <c r="A44" t="s">
        <v>87</v>
      </c>
      <c r="B44">
        <v>4.5501E-2</v>
      </c>
      <c r="C44">
        <v>1.0584E-2</v>
      </c>
    </row>
    <row r="45" spans="1:3">
      <c r="A45" t="s">
        <v>88</v>
      </c>
      <c r="B45">
        <v>3.5076999999999997E-2</v>
      </c>
      <c r="C45">
        <v>-2.0209999999999998E-3</v>
      </c>
    </row>
    <row r="46" spans="1:3">
      <c r="A46" t="s">
        <v>89</v>
      </c>
      <c r="B46">
        <v>5.8710000000000004E-3</v>
      </c>
      <c r="C46">
        <v>-2.0712999999999999E-2</v>
      </c>
    </row>
    <row r="47" spans="1:3">
      <c r="A47" t="s">
        <v>90</v>
      </c>
      <c r="B47">
        <v>-6.6720000000000002E-2</v>
      </c>
      <c r="C47">
        <v>-3.7257999999999999E-2</v>
      </c>
    </row>
    <row r="48" spans="1:3">
      <c r="A48" t="s">
        <v>91</v>
      </c>
      <c r="B48">
        <v>-1.4940000000000001E-3</v>
      </c>
      <c r="C48">
        <v>1.7382000000000002E-2</v>
      </c>
    </row>
    <row r="49" spans="1:3">
      <c r="A49" t="s">
        <v>92</v>
      </c>
      <c r="B49">
        <v>-0.119834</v>
      </c>
      <c r="C49">
        <v>-6.8385000000000001E-2</v>
      </c>
    </row>
    <row r="50" spans="1:3">
      <c r="A50" t="s">
        <v>93</v>
      </c>
      <c r="B50">
        <v>7.0872000000000004E-2</v>
      </c>
      <c r="C50">
        <v>4.8003999999999998E-2</v>
      </c>
    </row>
    <row r="51" spans="1:3">
      <c r="A51" t="s">
        <v>94</v>
      </c>
      <c r="B51">
        <v>4.8911000000000003E-2</v>
      </c>
      <c r="C51">
        <v>1.3948E-2</v>
      </c>
    </row>
    <row r="52" spans="1:3">
      <c r="A52" t="s">
        <v>95</v>
      </c>
      <c r="B52">
        <v>1.2574999999999999E-2</v>
      </c>
      <c r="C52">
        <v>-4.1648999999999999E-2</v>
      </c>
    </row>
    <row r="53" spans="1:3">
      <c r="A53" t="s">
        <v>96</v>
      </c>
      <c r="B53">
        <v>4.2777999999999997E-2</v>
      </c>
      <c r="C53">
        <v>2.5080000000000002E-2</v>
      </c>
    </row>
    <row r="54" spans="1:3">
      <c r="A54" t="s">
        <v>97</v>
      </c>
      <c r="B54">
        <v>-6.5914E-2</v>
      </c>
      <c r="C54">
        <v>-4.3725E-2</v>
      </c>
    </row>
    <row r="55" spans="1:3">
      <c r="A55" t="s">
        <v>98</v>
      </c>
      <c r="B55">
        <v>8.4517999999999996E-2</v>
      </c>
      <c r="C55">
        <v>2.6713000000000001E-2</v>
      </c>
    </row>
    <row r="56" spans="1:3">
      <c r="A56" t="s">
        <v>99</v>
      </c>
      <c r="B56">
        <v>1.4963000000000001E-2</v>
      </c>
      <c r="C56">
        <v>-5.3200000000000001E-3</v>
      </c>
    </row>
    <row r="57" spans="1:3">
      <c r="A57" t="s">
        <v>100</v>
      </c>
      <c r="B57">
        <v>-1.9734999999999999E-2</v>
      </c>
      <c r="C57">
        <v>-4.623E-2</v>
      </c>
    </row>
    <row r="58" spans="1:3">
      <c r="A58" t="s">
        <v>101</v>
      </c>
      <c r="B58">
        <v>2.7888E-2</v>
      </c>
      <c r="C58">
        <v>4.6650999999999998E-2</v>
      </c>
    </row>
    <row r="59" spans="1:3">
      <c r="A59" t="s">
        <v>102</v>
      </c>
      <c r="B59">
        <v>4.4281000000000001E-2</v>
      </c>
      <c r="C59">
        <v>-3.4699999999999998E-4</v>
      </c>
    </row>
    <row r="60" spans="1:3">
      <c r="A60" t="s">
        <v>103</v>
      </c>
      <c r="B60">
        <v>2.7743E-2</v>
      </c>
      <c r="C60">
        <v>-5.6779999999999999E-3</v>
      </c>
    </row>
    <row r="61" spans="1:3">
      <c r="A61" t="s">
        <v>104</v>
      </c>
      <c r="B61">
        <v>3.6212000000000001E-2</v>
      </c>
      <c r="C61">
        <v>2.3266999999999999E-2</v>
      </c>
    </row>
    <row r="62" spans="1:3">
      <c r="A62" t="s">
        <v>105</v>
      </c>
      <c r="B62">
        <v>-1.3006E-2</v>
      </c>
      <c r="C62">
        <v>-5.6401E-2</v>
      </c>
    </row>
    <row r="63" spans="1:3">
      <c r="A63" t="s">
        <v>106</v>
      </c>
      <c r="B63">
        <v>-0.11197699999999999</v>
      </c>
      <c r="C63">
        <v>-4.1257000000000002E-2</v>
      </c>
    </row>
    <row r="64" spans="1:3">
      <c r="A64" t="s">
        <v>107</v>
      </c>
      <c r="B64">
        <v>-7.3729000000000003E-2</v>
      </c>
      <c r="C64">
        <v>-0.15043400000000001</v>
      </c>
    </row>
    <row r="65" spans="1:3">
      <c r="A65" t="s">
        <v>108</v>
      </c>
      <c r="B65">
        <v>0.179086</v>
      </c>
      <c r="C65">
        <v>8.3719000000000002E-2</v>
      </c>
    </row>
    <row r="66" spans="1:3">
      <c r="A66" t="s">
        <v>109</v>
      </c>
      <c r="B66">
        <v>9.6227999999999994E-2</v>
      </c>
      <c r="C66">
        <v>1.8824E-2</v>
      </c>
    </row>
    <row r="67" spans="1:3">
      <c r="A67" t="s">
        <v>110</v>
      </c>
      <c r="B67">
        <v>5.8097999999999997E-2</v>
      </c>
      <c r="C67">
        <v>7.3600000000000002E-3</v>
      </c>
    </row>
    <row r="68" spans="1:3">
      <c r="A68" t="s">
        <v>111</v>
      </c>
      <c r="B68">
        <v>7.7633999999999995E-2</v>
      </c>
      <c r="C68">
        <v>1.6497000000000001E-2</v>
      </c>
    </row>
    <row r="69" spans="1:3">
      <c r="A69" t="s">
        <v>112</v>
      </c>
      <c r="B69">
        <v>0.14960100000000001</v>
      </c>
      <c r="C69">
        <v>2.7768000000000001E-2</v>
      </c>
    </row>
    <row r="70" spans="1:3">
      <c r="A70" t="s">
        <v>113</v>
      </c>
      <c r="B70">
        <v>-4.3188999999999998E-2</v>
      </c>
      <c r="C70">
        <v>-3.3083000000000001E-2</v>
      </c>
    </row>
    <row r="71" spans="1:3">
      <c r="A71" t="s">
        <v>114</v>
      </c>
      <c r="B71">
        <v>-5.5348000000000001E-2</v>
      </c>
      <c r="C71">
        <v>3.6651000000000003E-2</v>
      </c>
    </row>
    <row r="72" spans="1:3">
      <c r="A72" t="s">
        <v>115</v>
      </c>
      <c r="B72">
        <v>0.14902099999999999</v>
      </c>
      <c r="C72">
        <v>9.8651000000000003E-2</v>
      </c>
    </row>
    <row r="73" spans="1:3">
      <c r="A73" t="s">
        <v>116</v>
      </c>
      <c r="B73">
        <v>5.6899999999999999E-2</v>
      </c>
      <c r="C73">
        <v>3.8743E-2</v>
      </c>
    </row>
    <row r="74" spans="1:3">
      <c r="A74" t="s">
        <v>117</v>
      </c>
      <c r="B74">
        <v>1.5654000000000001E-2</v>
      </c>
      <c r="C74">
        <v>4.3771999999999998E-2</v>
      </c>
    </row>
    <row r="75" spans="1:3">
      <c r="A75" t="s">
        <v>118</v>
      </c>
      <c r="B75">
        <v>-5.7590000000000002E-3</v>
      </c>
      <c r="C75">
        <v>7.1138999999999994E-2</v>
      </c>
    </row>
    <row r="76" spans="1:3">
      <c r="A76" t="s">
        <v>119</v>
      </c>
      <c r="B76">
        <v>8.9948E-2</v>
      </c>
      <c r="C76">
        <v>6.8834000000000006E-2</v>
      </c>
    </row>
    <row r="77" spans="1:3">
      <c r="A77" t="s">
        <v>120</v>
      </c>
      <c r="B77">
        <v>6.3660999999999995E-2</v>
      </c>
      <c r="C77">
        <v>1.0800000000000001E-2</v>
      </c>
    </row>
    <row r="78" spans="1:3">
      <c r="A78" t="s">
        <v>121</v>
      </c>
      <c r="B78">
        <v>2.3896000000000001E-2</v>
      </c>
      <c r="C78">
        <v>4.3666999999999997E-2</v>
      </c>
    </row>
    <row r="79" spans="1:3">
      <c r="A79" t="s">
        <v>122</v>
      </c>
      <c r="B79">
        <v>6.6915000000000002E-2</v>
      </c>
      <c r="C79">
        <v>-3.6978999999999998E-2</v>
      </c>
    </row>
    <row r="80" spans="1:3">
      <c r="A80" t="s">
        <v>123</v>
      </c>
      <c r="B80">
        <v>5.7801999999999999E-2</v>
      </c>
      <c r="C80">
        <v>-3.388E-3</v>
      </c>
    </row>
    <row r="81" spans="1:3">
      <c r="A81" t="s">
        <v>124</v>
      </c>
      <c r="B81">
        <v>1.9056E-2</v>
      </c>
      <c r="C81">
        <v>1.8500000000000001E-3</v>
      </c>
    </row>
    <row r="82" spans="1:3">
      <c r="A82" t="s">
        <v>125</v>
      </c>
      <c r="B82">
        <v>-5.4052000000000003E-2</v>
      </c>
      <c r="C82">
        <v>1.0036E-2</v>
      </c>
    </row>
    <row r="83" spans="1:3">
      <c r="A83" t="s">
        <v>126</v>
      </c>
      <c r="B83">
        <v>7.4697E-2</v>
      </c>
      <c r="C83">
        <v>1.3540999999999999E-2</v>
      </c>
    </row>
    <row r="84" spans="1:3">
      <c r="A84" t="s">
        <v>127</v>
      </c>
      <c r="B84">
        <v>8.1414E-2</v>
      </c>
      <c r="C84">
        <v>1.1769E-2</v>
      </c>
    </row>
    <row r="85" spans="1:3">
      <c r="A85" t="s">
        <v>801</v>
      </c>
      <c r="B85">
        <v>9.8111000000000004E-2</v>
      </c>
      <c r="C85">
        <v>4.0349999999999997E-2</v>
      </c>
    </row>
    <row r="86" spans="1:3">
      <c r="A86" t="s">
        <v>802</v>
      </c>
      <c r="B86">
        <v>-7.5355000000000005E-2</v>
      </c>
      <c r="C86">
        <v>4.6589999999999999E-3</v>
      </c>
    </row>
    <row r="87" spans="1:3">
      <c r="A87" t="s">
        <v>803</v>
      </c>
      <c r="B87">
        <v>-2.9089E-2</v>
      </c>
      <c r="C87">
        <v>1.0500000000000001E-2</v>
      </c>
    </row>
    <row r="88" spans="1:3">
      <c r="A88" t="s">
        <v>804</v>
      </c>
      <c r="B88">
        <v>6.2893000000000004E-2</v>
      </c>
      <c r="C88">
        <v>-4.3819999999999996E-3</v>
      </c>
    </row>
    <row r="89" spans="1:3">
      <c r="A89" t="s">
        <v>805</v>
      </c>
      <c r="B89">
        <v>-6.3219999999999998E-2</v>
      </c>
      <c r="C89">
        <v>7.1269999999999997E-3</v>
      </c>
    </row>
    <row r="90" spans="1:3">
      <c r="A90" t="s">
        <v>806</v>
      </c>
      <c r="B90">
        <v>1.2508999999999999E-2</v>
      </c>
      <c r="C90">
        <v>3.5376999999999999E-2</v>
      </c>
    </row>
    <row r="91" spans="1:3">
      <c r="A91" t="s">
        <v>807</v>
      </c>
      <c r="B91">
        <v>-8.1605999999999998E-2</v>
      </c>
      <c r="C91">
        <v>-3.6000999999999998E-2</v>
      </c>
    </row>
    <row r="92" spans="1:3">
      <c r="A92" t="s">
        <v>808</v>
      </c>
      <c r="B92">
        <v>9.2456999999999998E-2</v>
      </c>
      <c r="C92">
        <v>3.7385000000000002E-2</v>
      </c>
    </row>
    <row r="93" spans="1:3">
      <c r="A93" t="s">
        <v>809</v>
      </c>
      <c r="B93">
        <v>-7.0456000000000005E-2</v>
      </c>
      <c r="C93">
        <v>-1.8610999999999999E-2</v>
      </c>
    </row>
    <row r="94" spans="1:3">
      <c r="A94" t="s">
        <v>810</v>
      </c>
      <c r="B94">
        <v>-0.14000000000000001</v>
      </c>
      <c r="C94">
        <v>-5.7997E-2</v>
      </c>
    </row>
    <row r="95" spans="1:3">
      <c r="A95" t="s">
        <v>406</v>
      </c>
      <c r="B95">
        <v>0.12245499999999999</v>
      </c>
      <c r="C95">
        <v>8.1643999999999994E-2</v>
      </c>
    </row>
    <row r="96" spans="1:3">
      <c r="A96" t="s">
        <v>407</v>
      </c>
      <c r="B96">
        <v>0.119232</v>
      </c>
      <c r="C96">
        <v>3.7984999999999998E-2</v>
      </c>
    </row>
    <row r="97" spans="1:3">
      <c r="A97" t="s">
        <v>408</v>
      </c>
      <c r="B97">
        <v>-4.7477999999999999E-2</v>
      </c>
      <c r="C97">
        <v>-1.3768000000000001E-2</v>
      </c>
    </row>
    <row r="98" spans="1:3">
      <c r="A98" t="s">
        <v>811</v>
      </c>
      <c r="B98">
        <v>7.1791999999999995E-2</v>
      </c>
      <c r="C98">
        <v>2.8065E-2</v>
      </c>
    </row>
    <row r="99" spans="1:3">
      <c r="A99" t="s">
        <v>812</v>
      </c>
      <c r="B99">
        <v>-2.2669999999999999E-3</v>
      </c>
      <c r="C99">
        <v>-2.1066000000000001E-2</v>
      </c>
    </row>
    <row r="100" spans="1:3">
      <c r="A100" t="s">
        <v>813</v>
      </c>
      <c r="B100">
        <v>5.7209999999999997E-2</v>
      </c>
      <c r="C100">
        <v>-5.7017999999999999E-2</v>
      </c>
    </row>
    <row r="101" spans="1:3">
      <c r="A101" t="s">
        <v>814</v>
      </c>
      <c r="B101">
        <v>5.5313000000000001E-2</v>
      </c>
      <c r="C101">
        <v>-1.2312E-2</v>
      </c>
    </row>
    <row r="102" spans="1:3">
      <c r="A102" t="s">
        <v>815</v>
      </c>
      <c r="B102">
        <v>-3.6065E-2</v>
      </c>
      <c r="C102">
        <v>-2.8339E-2</v>
      </c>
    </row>
    <row r="103" spans="1:3">
      <c r="A103" t="s">
        <v>816</v>
      </c>
      <c r="B103">
        <v>9.7267999999999993E-2</v>
      </c>
      <c r="C103">
        <v>3.1725999999999997E-2</v>
      </c>
    </row>
    <row r="104" spans="1:3">
      <c r="A104" t="s">
        <v>817</v>
      </c>
      <c r="B104">
        <v>1.2907E-2</v>
      </c>
      <c r="C104">
        <v>4.1475999999999999E-2</v>
      </c>
    </row>
    <row r="105" spans="1:3">
      <c r="A105" t="s">
        <v>818</v>
      </c>
      <c r="B105">
        <v>-1.3194000000000001E-2</v>
      </c>
      <c r="C105">
        <v>-1.847E-2</v>
      </c>
    </row>
    <row r="106" spans="1:3">
      <c r="A106" t="s">
        <v>819</v>
      </c>
      <c r="B106">
        <v>-7.0044999999999996E-2</v>
      </c>
      <c r="C106">
        <v>-2.5562999999999999E-2</v>
      </c>
    </row>
    <row r="107" spans="1:3">
      <c r="A107" t="s">
        <v>418</v>
      </c>
      <c r="B107">
        <v>-4.1651000000000001E-2</v>
      </c>
      <c r="C107">
        <v>-3.4705E-2</v>
      </c>
    </row>
    <row r="108" spans="1:3">
      <c r="A108" t="s">
        <v>419</v>
      </c>
      <c r="B108">
        <v>4.4873000000000003E-2</v>
      </c>
      <c r="C108">
        <v>2.2460999999999998E-2</v>
      </c>
    </row>
    <row r="109" spans="1:3">
      <c r="A109" t="s">
        <v>420</v>
      </c>
      <c r="B109">
        <v>1.5063E-2</v>
      </c>
      <c r="C109">
        <v>5.3952E-2</v>
      </c>
    </row>
    <row r="110" spans="1:3">
      <c r="A110" t="s">
        <v>820</v>
      </c>
      <c r="B110">
        <v>1.4024999999999999E-2</v>
      </c>
      <c r="C110">
        <v>-3.7241000000000003E-2</v>
      </c>
    </row>
    <row r="111" spans="1:3">
      <c r="A111" t="s">
        <v>821</v>
      </c>
      <c r="B111">
        <v>3.4645000000000002E-2</v>
      </c>
      <c r="C111">
        <v>-8.5380000000000005E-3</v>
      </c>
    </row>
    <row r="112" spans="1:3">
      <c r="A112" t="s">
        <v>822</v>
      </c>
      <c r="B112">
        <v>4.8544999999999998E-2</v>
      </c>
      <c r="C112">
        <v>2.6065000000000001E-2</v>
      </c>
    </row>
    <row r="113" spans="1:3">
      <c r="A113" t="s">
        <v>823</v>
      </c>
      <c r="B113">
        <v>-3.7053999999999997E-2</v>
      </c>
      <c r="C113">
        <v>-4.1659000000000002E-2</v>
      </c>
    </row>
    <row r="114" spans="1:3">
      <c r="A114" t="s">
        <v>824</v>
      </c>
      <c r="B114">
        <v>8.3468000000000001E-2</v>
      </c>
      <c r="C114">
        <v>3.0766000000000002E-2</v>
      </c>
    </row>
    <row r="115" spans="1:3">
      <c r="A115" t="s">
        <v>825</v>
      </c>
      <c r="B115">
        <v>2.8306000000000001E-2</v>
      </c>
      <c r="C115">
        <v>-1.8821999999999998E-2</v>
      </c>
    </row>
    <row r="116" spans="1:3">
      <c r="A116" t="s">
        <v>826</v>
      </c>
      <c r="B116">
        <v>2.7543999999999999E-2</v>
      </c>
      <c r="C116">
        <v>6.7946000000000006E-2</v>
      </c>
    </row>
    <row r="117" spans="1:3">
      <c r="A117" t="s">
        <v>827</v>
      </c>
      <c r="B117">
        <v>4.6532999999999998E-2</v>
      </c>
      <c r="C117">
        <v>-1.2062E-2</v>
      </c>
    </row>
    <row r="118" spans="1:3">
      <c r="A118" t="s">
        <v>828</v>
      </c>
      <c r="B118">
        <v>3.2971E-2</v>
      </c>
      <c r="C118">
        <v>-6.7749999999999998E-3</v>
      </c>
    </row>
    <row r="119" spans="1:3">
      <c r="A119" t="s">
        <v>430</v>
      </c>
      <c r="B119">
        <v>-2.1538000000000002E-2</v>
      </c>
      <c r="C119">
        <v>-1.8389999999999999E-3</v>
      </c>
    </row>
    <row r="120" spans="1:3">
      <c r="A120" t="s">
        <v>431</v>
      </c>
      <c r="B120">
        <v>6.6799999999999998E-2</v>
      </c>
      <c r="C120">
        <v>4.7354E-2</v>
      </c>
    </row>
    <row r="121" spans="1:3">
      <c r="A121" t="s">
        <v>432</v>
      </c>
      <c r="B121">
        <v>-1.823E-2</v>
      </c>
      <c r="C121">
        <v>-3.8618E-2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I20"/>
  <sheetViews>
    <sheetView workbookViewId="0">
      <selection activeCell="G10" sqref="G10"/>
    </sheetView>
  </sheetViews>
  <sheetFormatPr defaultRowHeight="14.5"/>
  <cols>
    <col min="1" max="1" width="11.54296875" customWidth="1"/>
    <col min="7" max="7" width="6.54296875" customWidth="1"/>
    <col min="8" max="8" width="10.453125" customWidth="1"/>
    <col min="9" max="9" width="11.453125" customWidth="1"/>
  </cols>
  <sheetData>
    <row r="1" spans="1:9">
      <c r="B1" s="273" t="s">
        <v>732</v>
      </c>
      <c r="C1" s="283"/>
      <c r="D1" s="283"/>
      <c r="E1" s="283"/>
      <c r="F1" s="283"/>
    </row>
    <row r="3" spans="1:9">
      <c r="B3" s="3" t="s">
        <v>0</v>
      </c>
      <c r="C3" s="3" t="s">
        <v>1</v>
      </c>
      <c r="D3" s="3" t="s">
        <v>2</v>
      </c>
      <c r="E3" s="3" t="s">
        <v>433</v>
      </c>
      <c r="F3" s="3" t="s">
        <v>434</v>
      </c>
    </row>
    <row r="4" spans="1:9">
      <c r="A4" s="3" t="s">
        <v>0</v>
      </c>
      <c r="B4">
        <v>1.9597277323438922E-3</v>
      </c>
      <c r="C4">
        <v>3.76278041067037E-4</v>
      </c>
      <c r="D4">
        <v>-2.6545484312221471E-4</v>
      </c>
      <c r="E4">
        <v>-1.898856953880245E-4</v>
      </c>
      <c r="F4">
        <v>-3.2632455824222199E-4</v>
      </c>
    </row>
    <row r="5" spans="1:9">
      <c r="A5" s="3" t="s">
        <v>1</v>
      </c>
      <c r="B5">
        <v>3.76278041067037E-4</v>
      </c>
      <c r="C5">
        <v>9.1815403115640278E-4</v>
      </c>
      <c r="D5">
        <v>-1.6892280845934701E-5</v>
      </c>
      <c r="E5">
        <v>-2.3429380323617549E-4</v>
      </c>
      <c r="F5">
        <v>-5.3346410134658007E-5</v>
      </c>
    </row>
    <row r="6" spans="1:9">
      <c r="A6" s="3" t="s">
        <v>2</v>
      </c>
      <c r="B6">
        <v>-2.6545484312221471E-4</v>
      </c>
      <c r="C6">
        <v>-1.6892280845934701E-5</v>
      </c>
      <c r="D6">
        <v>8.4011019888231419E-4</v>
      </c>
      <c r="E6">
        <v>5.6929560048213842E-5</v>
      </c>
      <c r="F6">
        <v>3.8468109321352918E-4</v>
      </c>
    </row>
    <row r="7" spans="1:9">
      <c r="A7" s="3" t="s">
        <v>433</v>
      </c>
      <c r="B7">
        <v>-1.898856953880245E-4</v>
      </c>
      <c r="C7">
        <v>-2.3429380323617549E-4</v>
      </c>
      <c r="D7">
        <v>5.6929560048213842E-5</v>
      </c>
      <c r="E7">
        <v>4.8983055537292724E-4</v>
      </c>
      <c r="F7">
        <v>-1.1334378089463519E-5</v>
      </c>
    </row>
    <row r="8" spans="1:9">
      <c r="A8" s="3" t="s">
        <v>434</v>
      </c>
      <c r="B8">
        <v>-3.2632455824222199E-4</v>
      </c>
      <c r="C8">
        <v>-5.3346410134658007E-5</v>
      </c>
      <c r="D8">
        <v>3.8468109321352918E-4</v>
      </c>
      <c r="E8">
        <v>-1.1334378089463519E-5</v>
      </c>
      <c r="F8">
        <v>3.9212918320468212E-4</v>
      </c>
    </row>
    <row r="9" spans="1:9">
      <c r="A9" s="3"/>
    </row>
    <row r="10" spans="1:9">
      <c r="B10" s="273" t="s">
        <v>444</v>
      </c>
      <c r="C10" s="273"/>
      <c r="D10" s="273"/>
      <c r="E10" s="273"/>
      <c r="F10" s="273"/>
      <c r="G10" s="273"/>
    </row>
    <row r="11" spans="1:9">
      <c r="B11" s="4" t="s">
        <v>0</v>
      </c>
      <c r="C11" s="4" t="s">
        <v>1</v>
      </c>
      <c r="D11" s="4" t="s">
        <v>2</v>
      </c>
      <c r="E11" s="4" t="s">
        <v>433</v>
      </c>
      <c r="F11" s="4" t="s">
        <v>434</v>
      </c>
      <c r="G11" s="4" t="s">
        <v>159</v>
      </c>
      <c r="H11" s="4"/>
    </row>
    <row r="12" spans="1:9">
      <c r="A12" s="225" t="s">
        <v>435</v>
      </c>
      <c r="B12">
        <v>0.2</v>
      </c>
      <c r="C12">
        <v>0.3</v>
      </c>
      <c r="D12">
        <v>0.1</v>
      </c>
      <c r="E12">
        <v>0.05</v>
      </c>
      <c r="F12">
        <v>0.35</v>
      </c>
      <c r="G12">
        <f>1-SUM(B12:F12)</f>
        <v>0</v>
      </c>
    </row>
    <row r="13" spans="1:9">
      <c r="A13" s="1" t="s">
        <v>172</v>
      </c>
      <c r="B13">
        <v>0.21</v>
      </c>
      <c r="C13">
        <v>0.19</v>
      </c>
      <c r="D13">
        <v>0.22</v>
      </c>
      <c r="E13">
        <v>0.23</v>
      </c>
      <c r="F13">
        <v>0.15</v>
      </c>
      <c r="G13">
        <f>1-SUM(B13:F13)</f>
        <v>0</v>
      </c>
    </row>
    <row r="14" spans="1:9">
      <c r="A14" s="1"/>
    </row>
    <row r="15" spans="1:9">
      <c r="B15" s="273" t="s">
        <v>436</v>
      </c>
      <c r="C15" s="283"/>
      <c r="D15" s="283"/>
      <c r="E15" s="283"/>
      <c r="F15" s="283"/>
      <c r="H15" s="1" t="s">
        <v>437</v>
      </c>
      <c r="I15" s="1" t="s">
        <v>229</v>
      </c>
    </row>
    <row r="16" spans="1:9">
      <c r="A16" s="225" t="s">
        <v>435</v>
      </c>
      <c r="B16">
        <f>B12-B$13</f>
        <v>-9.9999999999999811E-3</v>
      </c>
      <c r="C16">
        <f>C12-C$13</f>
        <v>0.10999999999999999</v>
      </c>
      <c r="D16">
        <f>D12-D$13</f>
        <v>-0.12</v>
      </c>
      <c r="E16">
        <f>E12-E$13</f>
        <v>-0.18</v>
      </c>
      <c r="F16">
        <f>F12-F$13</f>
        <v>0.19999999999999998</v>
      </c>
      <c r="H16">
        <f>SQRT(SUMPRODUCT(MMULT(B16:F16,$B$4:$F$8),B16:F16))</f>
        <v>6.8046451539348169E-3</v>
      </c>
      <c r="I16">
        <f>H16*SQRT(12)</f>
        <v>2.3571982268184893E-2</v>
      </c>
    </row>
    <row r="19" spans="1:1">
      <c r="A19" s="1"/>
    </row>
    <row r="20" spans="1:1">
      <c r="A20" s="1"/>
    </row>
  </sheetData>
  <mergeCells count="3">
    <mergeCell ref="B15:F15"/>
    <mergeCell ref="B1:F1"/>
    <mergeCell ref="B10:G1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33">
    <pageSetUpPr autoPageBreaks="0"/>
  </sheetPr>
  <dimension ref="B2:M36"/>
  <sheetViews>
    <sheetView showGridLines="0" zoomScale="90" zoomScaleNormal="90" zoomScaleSheetLayoutView="100" workbookViewId="0">
      <selection activeCell="H24" sqref="H24"/>
    </sheetView>
  </sheetViews>
  <sheetFormatPr defaultColWidth="9.1796875" defaultRowHeight="14"/>
  <cols>
    <col min="1" max="1" width="9.1796875" style="64" customWidth="1"/>
    <col min="2" max="2" width="32.453125" style="64" bestFit="1" customWidth="1"/>
    <col min="3" max="6" width="9.1796875" style="64" customWidth="1"/>
    <col min="7" max="7" width="32.453125" style="64" bestFit="1" customWidth="1"/>
    <col min="8" max="8" width="9.1796875" style="64" customWidth="1"/>
    <col min="9" max="9" width="9.54296875" style="64" bestFit="1" customWidth="1"/>
    <col min="10" max="10" width="9.1796875" style="64" customWidth="1"/>
    <col min="11" max="11" width="32.453125" style="64" bestFit="1" customWidth="1"/>
    <col min="12" max="12" width="9.1796875" style="64" customWidth="1"/>
    <col min="13" max="13" width="9.54296875" style="64" bestFit="1" customWidth="1"/>
    <col min="14" max="19" width="9.1796875" style="64" customWidth="1"/>
    <col min="20" max="16384" width="9.1796875" style="64"/>
  </cols>
  <sheetData>
    <row r="2" spans="2:13" ht="14.5">
      <c r="B2" s="284" t="s">
        <v>231</v>
      </c>
      <c r="C2" s="285"/>
      <c r="D2" s="286"/>
      <c r="G2" s="284" t="s">
        <v>231</v>
      </c>
      <c r="H2" s="285"/>
      <c r="I2" s="286"/>
      <c r="K2" s="284" t="s">
        <v>231</v>
      </c>
      <c r="L2" s="285"/>
      <c r="M2" s="286"/>
    </row>
    <row r="3" spans="2:13" ht="14.5">
      <c r="B3" s="287" t="s">
        <v>232</v>
      </c>
      <c r="C3" s="288"/>
      <c r="D3" s="289"/>
      <c r="G3" s="287" t="s">
        <v>233</v>
      </c>
      <c r="H3" s="288"/>
      <c r="I3" s="289"/>
      <c r="K3" s="287" t="s">
        <v>234</v>
      </c>
      <c r="L3" s="288"/>
      <c r="M3" s="289"/>
    </row>
    <row r="4" spans="2:13" ht="14.5">
      <c r="B4" s="290">
        <v>45261</v>
      </c>
      <c r="C4" s="277"/>
      <c r="D4" s="291"/>
      <c r="G4" s="290">
        <v>45261</v>
      </c>
      <c r="H4" s="277"/>
      <c r="I4" s="291"/>
      <c r="K4" s="290">
        <v>45261</v>
      </c>
      <c r="L4" s="277"/>
      <c r="M4" s="291"/>
    </row>
    <row r="5" spans="2:13">
      <c r="B5" s="75" t="s">
        <v>235</v>
      </c>
      <c r="D5" s="76" t="s">
        <v>236</v>
      </c>
      <c r="G5" s="75"/>
      <c r="I5" s="76" t="s">
        <v>236</v>
      </c>
      <c r="K5" s="75"/>
      <c r="M5" s="76" t="s">
        <v>236</v>
      </c>
    </row>
    <row r="6" spans="2:13">
      <c r="B6" s="77" t="s">
        <v>237</v>
      </c>
      <c r="D6" s="76"/>
      <c r="G6" s="78" t="s">
        <v>238</v>
      </c>
      <c r="H6" s="79"/>
      <c r="I6" s="80">
        <v>442</v>
      </c>
      <c r="K6" s="77" t="s">
        <v>239</v>
      </c>
      <c r="M6" s="76"/>
    </row>
    <row r="7" spans="2:13">
      <c r="B7" s="77" t="s">
        <v>240</v>
      </c>
      <c r="D7" s="81">
        <v>20</v>
      </c>
      <c r="G7" s="77"/>
      <c r="I7" s="81"/>
      <c r="K7" s="77" t="s">
        <v>241</v>
      </c>
      <c r="M7" s="81">
        <f>I27</f>
        <v>23.270000000000024</v>
      </c>
    </row>
    <row r="8" spans="2:13">
      <c r="B8" s="77" t="s">
        <v>242</v>
      </c>
      <c r="D8" s="81">
        <v>5</v>
      </c>
      <c r="G8" s="78" t="s">
        <v>243</v>
      </c>
      <c r="H8" s="82"/>
      <c r="I8" s="83"/>
      <c r="K8" s="77" t="s">
        <v>244</v>
      </c>
      <c r="M8" s="81">
        <f>I16</f>
        <v>10</v>
      </c>
    </row>
    <row r="9" spans="2:13">
      <c r="B9" s="77" t="s">
        <v>245</v>
      </c>
      <c r="D9" s="81">
        <v>45</v>
      </c>
      <c r="G9" s="77" t="s">
        <v>246</v>
      </c>
      <c r="I9" s="84">
        <f>I6*0.7</f>
        <v>309.39999999999998</v>
      </c>
      <c r="K9" s="77" t="s">
        <v>247</v>
      </c>
      <c r="M9" s="81"/>
    </row>
    <row r="10" spans="2:13">
      <c r="B10" s="77" t="s">
        <v>248</v>
      </c>
      <c r="D10" s="85">
        <v>25</v>
      </c>
      <c r="G10" s="77" t="s">
        <v>249</v>
      </c>
      <c r="I10" s="81">
        <f>I6-I9</f>
        <v>132.60000000000002</v>
      </c>
      <c r="K10" s="77" t="s">
        <v>250</v>
      </c>
      <c r="M10" s="81"/>
    </row>
    <row r="11" spans="2:13">
      <c r="B11" s="77" t="s">
        <v>251</v>
      </c>
      <c r="D11" s="81">
        <f>SUM(D7:D10)</f>
        <v>95</v>
      </c>
      <c r="G11" s="75"/>
      <c r="I11" s="86"/>
      <c r="K11" s="77" t="s">
        <v>252</v>
      </c>
      <c r="M11" s="81">
        <v>-5</v>
      </c>
    </row>
    <row r="12" spans="2:13">
      <c r="B12" s="77" t="s">
        <v>253</v>
      </c>
      <c r="D12" s="81">
        <v>155</v>
      </c>
      <c r="G12" s="77" t="s">
        <v>254</v>
      </c>
      <c r="I12" s="81"/>
      <c r="K12" s="77" t="s">
        <v>255</v>
      </c>
      <c r="M12" s="81">
        <v>6</v>
      </c>
    </row>
    <row r="13" spans="2:13">
      <c r="B13" s="77" t="s">
        <v>256</v>
      </c>
      <c r="D13" s="85">
        <v>100</v>
      </c>
      <c r="G13" s="77" t="s">
        <v>257</v>
      </c>
      <c r="I13" s="81">
        <v>84</v>
      </c>
      <c r="K13" s="77" t="s">
        <v>258</v>
      </c>
      <c r="M13" s="81"/>
    </row>
    <row r="14" spans="2:13">
      <c r="B14" s="77" t="s">
        <v>259</v>
      </c>
      <c r="D14" s="81">
        <f>D12-D13</f>
        <v>55</v>
      </c>
      <c r="G14" s="75" t="s">
        <v>260</v>
      </c>
      <c r="H14" s="65"/>
      <c r="I14" s="81">
        <v>0.1</v>
      </c>
      <c r="K14" s="77" t="s">
        <v>261</v>
      </c>
      <c r="M14" s="81">
        <v>3</v>
      </c>
    </row>
    <row r="15" spans="2:13">
      <c r="B15" s="77" t="s">
        <v>262</v>
      </c>
      <c r="D15" s="81">
        <v>5</v>
      </c>
      <c r="G15" s="77" t="s">
        <v>263</v>
      </c>
      <c r="H15" s="65"/>
      <c r="I15" s="81">
        <v>0.6</v>
      </c>
      <c r="K15" s="77" t="s">
        <v>264</v>
      </c>
      <c r="M15" s="81">
        <v>1</v>
      </c>
    </row>
    <row r="16" spans="2:13">
      <c r="B16" s="78" t="s">
        <v>265</v>
      </c>
      <c r="C16" s="82"/>
      <c r="D16" s="83">
        <f>D14+D11+D15</f>
        <v>155</v>
      </c>
      <c r="G16" s="77" t="s">
        <v>266</v>
      </c>
      <c r="H16" s="65"/>
      <c r="I16" s="81">
        <v>10</v>
      </c>
      <c r="K16" s="77" t="s">
        <v>267</v>
      </c>
      <c r="M16" s="81">
        <v>-1</v>
      </c>
    </row>
    <row r="17" spans="2:13">
      <c r="B17" s="75" t="s">
        <v>268</v>
      </c>
      <c r="D17" s="76" t="s">
        <v>236</v>
      </c>
      <c r="G17" s="77" t="s">
        <v>269</v>
      </c>
      <c r="I17" s="87">
        <f>SUM(I13:I16)</f>
        <v>94.699999999999989</v>
      </c>
      <c r="K17" s="88" t="s">
        <v>270</v>
      </c>
      <c r="L17" s="89"/>
      <c r="M17" s="85">
        <f>SUM(M11:M16)</f>
        <v>4</v>
      </c>
    </row>
    <row r="18" spans="2:13">
      <c r="B18" s="77" t="s">
        <v>271</v>
      </c>
      <c r="D18" s="81"/>
      <c r="G18" s="77" t="s">
        <v>272</v>
      </c>
      <c r="I18" s="76">
        <f>I10-I17</f>
        <v>37.900000000000034</v>
      </c>
      <c r="K18" s="90" t="s">
        <v>273</v>
      </c>
      <c r="L18" s="91"/>
      <c r="M18" s="92">
        <f>M17+M8+M7</f>
        <v>37.270000000000024</v>
      </c>
    </row>
    <row r="19" spans="2:13">
      <c r="B19" s="77" t="s">
        <v>274</v>
      </c>
      <c r="D19" s="81">
        <v>40</v>
      </c>
      <c r="G19" s="77"/>
      <c r="I19" s="81"/>
      <c r="K19" s="93" t="s">
        <v>275</v>
      </c>
      <c r="L19" s="94"/>
      <c r="M19" s="95"/>
    </row>
    <row r="20" spans="2:13">
      <c r="B20" s="77" t="s">
        <v>276</v>
      </c>
      <c r="D20" s="81">
        <v>15</v>
      </c>
      <c r="G20" s="77" t="s">
        <v>277</v>
      </c>
      <c r="I20" s="81"/>
      <c r="K20" s="77" t="s">
        <v>278</v>
      </c>
      <c r="M20" s="81"/>
    </row>
    <row r="21" spans="2:13">
      <c r="B21" s="77" t="s">
        <v>279</v>
      </c>
      <c r="D21" s="85">
        <v>5</v>
      </c>
      <c r="G21" s="77" t="s">
        <v>280</v>
      </c>
      <c r="I21" s="96">
        <f>0.05*5</f>
        <v>0.25</v>
      </c>
      <c r="K21" s="77" t="s">
        <v>281</v>
      </c>
      <c r="M21" s="81">
        <v>-5</v>
      </c>
    </row>
    <row r="22" spans="2:13">
      <c r="B22" s="77" t="s">
        <v>282</v>
      </c>
      <c r="C22" s="65"/>
      <c r="D22" s="81">
        <f>SUM(D19:D21)</f>
        <v>60</v>
      </c>
      <c r="G22" s="77" t="s">
        <v>283</v>
      </c>
      <c r="I22" s="97">
        <f>0.08*D23</f>
        <v>2.4</v>
      </c>
      <c r="K22" s="77" t="s">
        <v>284</v>
      </c>
      <c r="M22" s="87">
        <v>10</v>
      </c>
    </row>
    <row r="23" spans="2:13">
      <c r="B23" s="77" t="s">
        <v>285</v>
      </c>
      <c r="C23" s="65"/>
      <c r="D23" s="85">
        <v>30</v>
      </c>
      <c r="G23" s="77" t="s">
        <v>286</v>
      </c>
      <c r="I23" s="98">
        <v>-2.1</v>
      </c>
      <c r="K23" s="77" t="s">
        <v>287</v>
      </c>
      <c r="M23" s="81">
        <f>SUM(M21:M22)</f>
        <v>5</v>
      </c>
    </row>
    <row r="24" spans="2:13">
      <c r="B24" s="77" t="s">
        <v>288</v>
      </c>
      <c r="D24" s="81">
        <f>SUM(D22:D23)</f>
        <v>90</v>
      </c>
      <c r="G24" s="77"/>
      <c r="H24" s="65"/>
      <c r="I24" s="81"/>
      <c r="K24" s="77" t="s">
        <v>289</v>
      </c>
      <c r="M24" s="81"/>
    </row>
    <row r="25" spans="2:13">
      <c r="B25" s="88" t="s">
        <v>290</v>
      </c>
      <c r="C25" s="89"/>
      <c r="D25" s="85">
        <f>155-90</f>
        <v>65</v>
      </c>
      <c r="G25" s="77" t="s">
        <v>291</v>
      </c>
      <c r="I25" s="99">
        <f>I10-I17+I23</f>
        <v>35.800000000000033</v>
      </c>
      <c r="K25" s="77" t="s">
        <v>292</v>
      </c>
      <c r="M25" s="81">
        <v>-3</v>
      </c>
    </row>
    <row r="26" spans="2:13">
      <c r="B26" s="90" t="s">
        <v>293</v>
      </c>
      <c r="C26" s="100"/>
      <c r="D26" s="101">
        <f>SUM(D24:D25)</f>
        <v>155</v>
      </c>
      <c r="G26" s="77" t="s">
        <v>294</v>
      </c>
      <c r="H26" s="65"/>
      <c r="I26" s="81">
        <f>0.35*I25</f>
        <v>12.53000000000001</v>
      </c>
      <c r="K26" s="77" t="s">
        <v>295</v>
      </c>
      <c r="M26" s="87">
        <v>2</v>
      </c>
    </row>
    <row r="27" spans="2:13">
      <c r="G27" s="78" t="s">
        <v>296</v>
      </c>
      <c r="H27" s="82"/>
      <c r="I27" s="102">
        <f>I25-I26</f>
        <v>23.270000000000024</v>
      </c>
      <c r="K27" s="88" t="s">
        <v>297</v>
      </c>
      <c r="L27" s="89"/>
      <c r="M27" s="85">
        <f>SUM(M25:M26)</f>
        <v>-1</v>
      </c>
    </row>
    <row r="28" spans="2:13">
      <c r="K28" s="78" t="s">
        <v>298</v>
      </c>
      <c r="L28" s="82"/>
      <c r="M28" s="103">
        <f>M27+M23</f>
        <v>4</v>
      </c>
    </row>
    <row r="29" spans="2:13">
      <c r="K29" s="77" t="s">
        <v>299</v>
      </c>
      <c r="M29" s="104"/>
    </row>
    <row r="30" spans="2:13">
      <c r="K30" s="77" t="s">
        <v>300</v>
      </c>
      <c r="M30" s="81">
        <v>-5</v>
      </c>
    </row>
    <row r="31" spans="2:13">
      <c r="K31" s="77" t="s">
        <v>301</v>
      </c>
      <c r="M31" s="81">
        <v>2</v>
      </c>
    </row>
    <row r="32" spans="2:13">
      <c r="K32" s="77" t="s">
        <v>302</v>
      </c>
      <c r="M32" s="81">
        <v>1</v>
      </c>
    </row>
    <row r="33" spans="11:13">
      <c r="K33" s="88" t="s">
        <v>303</v>
      </c>
      <c r="L33" s="89"/>
      <c r="M33" s="85">
        <v>-2.4</v>
      </c>
    </row>
    <row r="34" spans="11:13">
      <c r="K34" s="90" t="s">
        <v>304</v>
      </c>
      <c r="L34" s="105"/>
      <c r="M34" s="92">
        <f>SUM(M30:M33)</f>
        <v>-4.4000000000000004</v>
      </c>
    </row>
    <row r="35" spans="11:13">
      <c r="K35" s="106"/>
      <c r="L35" s="107"/>
      <c r="M35" s="84"/>
    </row>
    <row r="36" spans="11:13">
      <c r="K36" s="90" t="s">
        <v>305</v>
      </c>
      <c r="L36" s="105"/>
      <c r="M36" s="92">
        <f>M34+M28+M18</f>
        <v>36.870000000000026</v>
      </c>
    </row>
  </sheetData>
  <mergeCells count="9">
    <mergeCell ref="G2:I2"/>
    <mergeCell ref="B3:D3"/>
    <mergeCell ref="K2:M2"/>
    <mergeCell ref="K4:M4"/>
    <mergeCell ref="B4:D4"/>
    <mergeCell ref="G4:I4"/>
    <mergeCell ref="G3:I3"/>
    <mergeCell ref="K3:M3"/>
    <mergeCell ref="B2:D2"/>
  </mergeCells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pageSetUpPr fitToPage="1"/>
  </sheetPr>
  <dimension ref="B1:W20"/>
  <sheetViews>
    <sheetView showGridLines="0" workbookViewId="0">
      <selection activeCell="H24" sqref="H24"/>
    </sheetView>
  </sheetViews>
  <sheetFormatPr defaultColWidth="9.1796875" defaultRowHeight="15.5"/>
  <cols>
    <col min="1" max="1" width="4.54296875" style="129" customWidth="1"/>
    <col min="2" max="2" width="12.453125" style="129" customWidth="1"/>
    <col min="3" max="3" width="11.81640625" style="129" customWidth="1"/>
    <col min="4" max="4" width="14.54296875" style="129" customWidth="1"/>
    <col min="5" max="5" width="23" style="129" customWidth="1"/>
    <col min="6" max="6" width="18" style="129" customWidth="1"/>
    <col min="7" max="7" width="11" style="129" customWidth="1"/>
    <col min="8" max="8" width="13.54296875" style="129" customWidth="1"/>
    <col min="9" max="9" width="3.453125" style="129" customWidth="1"/>
    <col min="10" max="10" width="12.54296875" style="129" customWidth="1"/>
    <col min="11" max="11" width="12.1796875" style="129" customWidth="1"/>
    <col min="12" max="12" width="12" style="129" customWidth="1"/>
    <col min="13" max="13" width="15.81640625" style="129" customWidth="1"/>
    <col min="14" max="14" width="2" style="129" customWidth="1"/>
    <col min="15" max="15" width="10.453125" style="129" customWidth="1"/>
    <col min="16" max="16" width="9.54296875" style="129" customWidth="1"/>
    <col min="17" max="17" width="12.1796875" style="129" customWidth="1"/>
    <col min="18" max="18" width="10.54296875" style="129" bestFit="1" customWidth="1"/>
    <col min="19" max="24" width="9.1796875" style="129" customWidth="1"/>
    <col min="25" max="16384" width="9.1796875" style="129"/>
  </cols>
  <sheetData>
    <row r="1" spans="2:22" ht="20.25" customHeight="1">
      <c r="B1" s="115" t="s">
        <v>306</v>
      </c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</row>
    <row r="2" spans="2:22" ht="20.25" customHeight="1"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</row>
    <row r="3" spans="2:22" ht="20.25" customHeight="1">
      <c r="B3" s="132">
        <v>1</v>
      </c>
      <c r="C3" s="133">
        <v>2</v>
      </c>
      <c r="D3" s="133">
        <v>3</v>
      </c>
      <c r="E3" s="133">
        <v>4</v>
      </c>
      <c r="F3" s="133">
        <v>5</v>
      </c>
      <c r="G3" s="133">
        <v>6</v>
      </c>
      <c r="H3" s="133">
        <v>7</v>
      </c>
      <c r="I3" s="133"/>
      <c r="J3" s="133">
        <v>8</v>
      </c>
      <c r="K3" s="133">
        <v>9</v>
      </c>
      <c r="L3" s="133">
        <v>10</v>
      </c>
      <c r="M3" s="132">
        <v>11</v>
      </c>
    </row>
    <row r="4" spans="2:22" ht="20.25" customHeight="1">
      <c r="B4" s="115"/>
      <c r="C4" s="292" t="s">
        <v>307</v>
      </c>
      <c r="D4" s="293"/>
      <c r="E4" s="293"/>
      <c r="F4" s="293"/>
      <c r="G4" s="293"/>
      <c r="H4" s="293"/>
      <c r="I4" s="128"/>
      <c r="J4" s="292" t="s">
        <v>308</v>
      </c>
      <c r="K4" s="293"/>
      <c r="L4" s="293"/>
      <c r="M4" s="115"/>
      <c r="N4" s="130"/>
      <c r="O4" s="130"/>
      <c r="P4" s="130"/>
    </row>
    <row r="5" spans="2:22" ht="20.25" customHeight="1">
      <c r="B5" s="115" t="s">
        <v>309</v>
      </c>
      <c r="C5" s="117" t="s">
        <v>310</v>
      </c>
      <c r="D5" s="117" t="s">
        <v>311</v>
      </c>
      <c r="E5" s="117" t="s">
        <v>312</v>
      </c>
      <c r="F5" s="117" t="s">
        <v>313</v>
      </c>
      <c r="G5" s="117" t="s">
        <v>314</v>
      </c>
      <c r="H5" s="117" t="s">
        <v>311</v>
      </c>
      <c r="I5" s="117"/>
      <c r="J5" s="117" t="s">
        <v>315</v>
      </c>
      <c r="K5" s="115" t="s">
        <v>316</v>
      </c>
      <c r="L5" s="117" t="s">
        <v>317</v>
      </c>
      <c r="M5" s="117" t="s">
        <v>318</v>
      </c>
      <c r="Q5" s="130"/>
      <c r="R5" s="130"/>
      <c r="S5" s="130"/>
      <c r="U5" s="130"/>
      <c r="V5" s="130"/>
    </row>
    <row r="6" spans="2:22" ht="20.25" customHeight="1">
      <c r="B6" s="116">
        <v>0</v>
      </c>
      <c r="C6" s="118"/>
      <c r="D6" s="118"/>
      <c r="E6" s="118"/>
      <c r="F6" s="118"/>
      <c r="G6" s="118"/>
      <c r="H6" s="118"/>
      <c r="I6" s="118"/>
      <c r="J6" s="119">
        <f>SUM(D7:D10)</f>
        <v>1210.5315215742748</v>
      </c>
      <c r="K6" s="119">
        <f>$C$13*J6</f>
        <v>302.63288039356871</v>
      </c>
      <c r="L6" s="119">
        <f>J6-K6</f>
        <v>907.89864118070614</v>
      </c>
      <c r="M6" s="120">
        <f>K6/J6</f>
        <v>0.25</v>
      </c>
      <c r="N6" s="130"/>
      <c r="O6" s="156"/>
    </row>
    <row r="7" spans="2:22" ht="20.25" customHeight="1">
      <c r="B7" s="116">
        <v>1</v>
      </c>
      <c r="C7" s="118">
        <v>100</v>
      </c>
      <c r="D7" s="119">
        <f>C7/(1+$C$16)^B7</f>
        <v>88.495575221238951</v>
      </c>
      <c r="E7" s="119">
        <f>K7-K6</f>
        <v>14.34227445116386</v>
      </c>
      <c r="F7" s="120">
        <f>$C$15*K6</f>
        <v>30.263288039356873</v>
      </c>
      <c r="G7" s="120">
        <f>C7-F7+E7</f>
        <v>84.078986411806994</v>
      </c>
      <c r="H7" s="134">
        <f>G7/(1+$D$15)^B7</f>
        <v>73.753496852462263</v>
      </c>
      <c r="I7" s="134"/>
      <c r="J7" s="119">
        <f>SUM(D8:D10)*(1+$C$16)^B7</f>
        <v>1267.9006193789303</v>
      </c>
      <c r="K7" s="119">
        <f>$C$13*J7</f>
        <v>316.97515484473257</v>
      </c>
      <c r="L7" s="119">
        <f>J7-K7</f>
        <v>950.92546453419777</v>
      </c>
      <c r="M7" s="120">
        <f>K7/J7</f>
        <v>0.25</v>
      </c>
      <c r="N7" s="130"/>
      <c r="P7" s="130"/>
      <c r="S7" s="130"/>
      <c r="T7" s="130"/>
    </row>
    <row r="8" spans="2:22" ht="20.25" customHeight="1">
      <c r="B8" s="116">
        <v>2</v>
      </c>
      <c r="C8" s="118">
        <v>500</v>
      </c>
      <c r="D8" s="119">
        <f>C8/(1+$C$16)^B8</f>
        <v>391.57334168689806</v>
      </c>
      <c r="E8" s="119">
        <f>K8-K7</f>
        <v>-83.793229870184774</v>
      </c>
      <c r="F8" s="120">
        <f>$C$15*K7</f>
        <v>31.697515484473257</v>
      </c>
      <c r="G8" s="120">
        <f>C8-F8+E8</f>
        <v>384.50925464534203</v>
      </c>
      <c r="H8" s="134">
        <f>G8/(1+$D$15)^B8</f>
        <v>295.8673858459079</v>
      </c>
      <c r="I8" s="134"/>
      <c r="J8" s="119">
        <f>SUM(D9:D11)*(1+$C$16)^B8</f>
        <v>932.72769989819119</v>
      </c>
      <c r="K8" s="119">
        <f>$C$13*J8</f>
        <v>233.1819249745478</v>
      </c>
      <c r="L8" s="119">
        <f>J8-K8</f>
        <v>699.54577492364342</v>
      </c>
      <c r="M8" s="120">
        <f>K8/J8</f>
        <v>0.25</v>
      </c>
      <c r="N8" s="130"/>
      <c r="P8" s="130"/>
      <c r="S8" s="130"/>
      <c r="T8" s="130"/>
    </row>
    <row r="9" spans="2:22" ht="20.25" customHeight="1">
      <c r="B9" s="116">
        <v>3</v>
      </c>
      <c r="C9" s="118">
        <v>700</v>
      </c>
      <c r="D9" s="119">
        <f>C9/(1+$C$16)^B9</f>
        <v>485.13511359438706</v>
      </c>
      <c r="E9" s="119">
        <f>K9-K8</f>
        <v>-144.68634975330886</v>
      </c>
      <c r="F9" s="120">
        <f>$C$15*K8</f>
        <v>23.318192497454781</v>
      </c>
      <c r="G9" s="120">
        <f>C9-F9+E9</f>
        <v>531.99545774923638</v>
      </c>
      <c r="H9" s="134">
        <f>G9/(1+$D$15)^B9</f>
        <v>359.08178072958765</v>
      </c>
      <c r="I9" s="134"/>
      <c r="J9" s="119">
        <f>SUM(D10:D12)*(1+$C$16)^B9</f>
        <v>353.98230088495575</v>
      </c>
      <c r="K9" s="119">
        <f>$C$13*J9</f>
        <v>88.495575221238937</v>
      </c>
      <c r="L9" s="119">
        <f>J9-K9</f>
        <v>265.48672566371681</v>
      </c>
      <c r="M9" s="120">
        <f>K9/J9</f>
        <v>0.25</v>
      </c>
      <c r="N9" s="130"/>
      <c r="O9" s="130"/>
      <c r="S9" s="130"/>
      <c r="T9" s="130"/>
    </row>
    <row r="10" spans="2:22" ht="20.25" customHeight="1">
      <c r="B10" s="121">
        <v>4</v>
      </c>
      <c r="C10" s="122">
        <v>400</v>
      </c>
      <c r="D10" s="123">
        <f>C10/(1+$C$16)^B10</f>
        <v>245.32749107175073</v>
      </c>
      <c r="E10" s="123">
        <f>K10-K9</f>
        <v>-88.495575221238937</v>
      </c>
      <c r="F10" s="124">
        <f>$C$15*K9</f>
        <v>8.8495575221238933</v>
      </c>
      <c r="G10" s="124">
        <f>C10-F10+E10</f>
        <v>302.65486725663715</v>
      </c>
      <c r="H10" s="125">
        <f>G10/(1+$D$15)^B10</f>
        <v>179.19597775274758</v>
      </c>
      <c r="I10" s="125"/>
      <c r="J10" s="123">
        <v>0</v>
      </c>
      <c r="K10" s="123">
        <v>0</v>
      </c>
      <c r="L10" s="123">
        <v>0</v>
      </c>
      <c r="M10" s="121"/>
      <c r="R10" s="130"/>
      <c r="U10" s="130"/>
      <c r="V10" s="130"/>
    </row>
    <row r="11" spans="2:22" ht="20.25" customHeight="1">
      <c r="B11" s="116"/>
      <c r="C11" s="118"/>
      <c r="D11" s="118"/>
      <c r="E11" s="116"/>
      <c r="F11" s="116"/>
      <c r="G11" s="116"/>
      <c r="H11" s="116"/>
      <c r="I11" s="116"/>
      <c r="J11" s="116"/>
      <c r="K11" s="116"/>
      <c r="L11" s="116"/>
      <c r="M11" s="116"/>
      <c r="R11" s="130"/>
      <c r="U11" s="130"/>
      <c r="V11" s="130"/>
    </row>
    <row r="12" spans="2:22" ht="20.25" customHeight="1">
      <c r="B12" s="116"/>
      <c r="C12" s="117" t="s">
        <v>319</v>
      </c>
      <c r="D12" s="117" t="s">
        <v>320</v>
      </c>
      <c r="E12" s="117" t="s">
        <v>321</v>
      </c>
      <c r="F12" s="117"/>
      <c r="I12" s="116"/>
      <c r="J12" s="118"/>
      <c r="K12" s="117" t="s">
        <v>322</v>
      </c>
      <c r="L12" s="116"/>
      <c r="M12" s="116"/>
      <c r="U12" s="130"/>
      <c r="V12" s="130"/>
    </row>
    <row r="13" spans="2:22" ht="20.25" customHeight="1">
      <c r="B13" s="115" t="s">
        <v>6</v>
      </c>
      <c r="C13" s="120">
        <v>0.25</v>
      </c>
      <c r="D13" s="120">
        <f>1-C13</f>
        <v>0.75</v>
      </c>
      <c r="E13" s="120">
        <v>500</v>
      </c>
      <c r="F13" s="120"/>
      <c r="I13" s="116"/>
      <c r="J13" s="135" t="s">
        <v>314</v>
      </c>
      <c r="K13" s="136">
        <f>SUM(H7:H10)+E13</f>
        <v>1407.8986411807055</v>
      </c>
      <c r="L13" s="116"/>
      <c r="M13" s="116"/>
      <c r="P13" s="131"/>
      <c r="Q13" s="131"/>
    </row>
    <row r="14" spans="2:22" ht="21.75" customHeight="1">
      <c r="B14" s="115"/>
      <c r="C14" s="157" t="s">
        <v>323</v>
      </c>
      <c r="D14" s="157" t="s">
        <v>317</v>
      </c>
      <c r="E14" s="120"/>
      <c r="F14" s="120"/>
      <c r="I14" s="116"/>
      <c r="J14" s="135"/>
      <c r="K14" s="136"/>
      <c r="L14" s="116"/>
      <c r="M14" s="116"/>
      <c r="P14" s="131"/>
      <c r="Q14" s="131"/>
    </row>
    <row r="15" spans="2:22" ht="20.25" customHeight="1">
      <c r="B15" s="115" t="s">
        <v>324</v>
      </c>
      <c r="C15" s="120">
        <v>0.1</v>
      </c>
      <c r="D15" s="120">
        <v>0.14000000000000001</v>
      </c>
      <c r="E15" s="116"/>
      <c r="F15" s="116"/>
      <c r="I15" s="116"/>
      <c r="J15" s="135" t="s">
        <v>310</v>
      </c>
      <c r="K15" s="136">
        <f>J6-K6+E13</f>
        <v>1407.8986411807061</v>
      </c>
      <c r="L15" s="116"/>
      <c r="M15" s="116"/>
      <c r="Q15" s="131"/>
    </row>
    <row r="16" spans="2:22" ht="20.25" customHeight="1">
      <c r="B16" s="126" t="s">
        <v>325</v>
      </c>
      <c r="C16" s="124">
        <f>C13*C15+D13*D15</f>
        <v>0.13</v>
      </c>
      <c r="D16" s="137"/>
      <c r="E16" s="121"/>
      <c r="F16" s="121"/>
      <c r="G16" s="121"/>
      <c r="H16" s="127"/>
      <c r="I16" s="127"/>
      <c r="J16" s="127"/>
      <c r="K16" s="121"/>
      <c r="L16" s="121"/>
      <c r="M16" s="121"/>
    </row>
    <row r="18" spans="5:23">
      <c r="E18" s="130"/>
      <c r="F18" s="130"/>
      <c r="V18" s="130"/>
      <c r="W18" s="130"/>
    </row>
    <row r="19" spans="5:23">
      <c r="K19" s="131"/>
      <c r="L19" s="131"/>
    </row>
    <row r="20" spans="5:23">
      <c r="K20" s="131"/>
      <c r="L20" s="131"/>
    </row>
  </sheetData>
  <mergeCells count="2">
    <mergeCell ref="C4:H4"/>
    <mergeCell ref="J4:L4"/>
  </mergeCells>
  <pageMargins left="0.7" right="0.7" top="0.75" bottom="0.75" header="0.3" footer="0.3"/>
  <pageSetup scale="73" orientation="landscape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32">
    <pageSetUpPr fitToPage="1"/>
  </sheetPr>
  <dimension ref="A1:S41"/>
  <sheetViews>
    <sheetView showGridLines="0" workbookViewId="0">
      <selection activeCell="S22" sqref="S22"/>
    </sheetView>
  </sheetViews>
  <sheetFormatPr defaultColWidth="9.1796875" defaultRowHeight="14"/>
  <cols>
    <col min="1" max="1" width="30.453125" style="64" bestFit="1" customWidth="1"/>
    <col min="2" max="4" width="9.1796875" style="64" customWidth="1"/>
    <col min="5" max="5" width="9.54296875" style="64" bestFit="1" customWidth="1"/>
    <col min="6" max="8" width="9.54296875" style="64" customWidth="1"/>
    <col min="9" max="9" width="9.1796875" style="64" customWidth="1"/>
    <col min="10" max="10" width="28.1796875" style="64" bestFit="1" customWidth="1"/>
    <col min="11" max="11" width="9.54296875" style="64" bestFit="1" customWidth="1"/>
    <col min="12" max="12" width="8.81640625" style="64" customWidth="1"/>
    <col min="13" max="13" width="9.54296875" style="64" bestFit="1" customWidth="1"/>
    <col min="14" max="14" width="9.81640625" style="64" bestFit="1" customWidth="1"/>
    <col min="15" max="17" width="9.54296875" style="64" bestFit="1" customWidth="1"/>
    <col min="18" max="23" width="9.1796875" style="64" customWidth="1"/>
    <col min="24" max="16384" width="9.1796875" style="64"/>
  </cols>
  <sheetData>
    <row r="1" spans="1:17">
      <c r="A1" s="294" t="s">
        <v>326</v>
      </c>
      <c r="B1" s="288"/>
      <c r="C1" s="288"/>
      <c r="D1" s="288"/>
      <c r="E1" s="288"/>
      <c r="F1" s="108"/>
      <c r="G1" s="108"/>
      <c r="H1" s="108"/>
      <c r="J1" s="295"/>
      <c r="K1" s="288"/>
      <c r="L1" s="288"/>
      <c r="M1" s="288"/>
      <c r="N1" s="288"/>
    </row>
    <row r="2" spans="1:17">
      <c r="A2" s="65"/>
      <c r="J2" s="65"/>
    </row>
    <row r="3" spans="1:17">
      <c r="A3" s="63"/>
      <c r="B3" s="63">
        <f ca="1">C3-1</f>
        <v>2021</v>
      </c>
      <c r="C3" s="63">
        <f ca="1">D3-1</f>
        <v>2022</v>
      </c>
      <c r="D3" s="63">
        <f ca="1">E3-1</f>
        <v>2023</v>
      </c>
      <c r="E3" s="63">
        <f ca="1">F3-1</f>
        <v>2024</v>
      </c>
      <c r="F3" s="63">
        <f ca="1">YEAR(TODAY())</f>
        <v>2025</v>
      </c>
      <c r="G3" s="63">
        <f ca="1">F3+1</f>
        <v>2026</v>
      </c>
      <c r="H3" s="63">
        <f ca="1">G3+1</f>
        <v>2027</v>
      </c>
      <c r="J3" s="65"/>
      <c r="K3" s="63">
        <f ca="1">B3</f>
        <v>2021</v>
      </c>
      <c r="L3" s="63">
        <f t="shared" ref="L3:Q3" ca="1" si="0">C3</f>
        <v>2022</v>
      </c>
      <c r="M3" s="63">
        <f t="shared" ca="1" si="0"/>
        <v>2023</v>
      </c>
      <c r="N3" s="63">
        <f t="shared" ca="1" si="0"/>
        <v>2024</v>
      </c>
      <c r="O3" s="63">
        <f t="shared" ca="1" si="0"/>
        <v>2025</v>
      </c>
      <c r="P3" s="63">
        <f t="shared" ca="1" si="0"/>
        <v>2026</v>
      </c>
      <c r="Q3" s="63">
        <f t="shared" ca="1" si="0"/>
        <v>2027</v>
      </c>
    </row>
    <row r="4" spans="1:17">
      <c r="A4" s="64" t="s">
        <v>238</v>
      </c>
      <c r="B4" s="66">
        <v>226.66666666666671</v>
      </c>
      <c r="C4" s="66">
        <v>272</v>
      </c>
      <c r="D4" s="64">
        <v>353.6</v>
      </c>
      <c r="E4" s="67">
        <v>442</v>
      </c>
      <c r="F4" s="67">
        <v>561.34</v>
      </c>
      <c r="G4" s="67">
        <v>718.51520000000005</v>
      </c>
      <c r="H4" s="67">
        <v>948.44006400000012</v>
      </c>
      <c r="J4" s="64" t="s">
        <v>241</v>
      </c>
      <c r="K4" s="66">
        <f t="shared" ref="K4:Q4" si="1">B21</f>
        <v>11.28573333333337</v>
      </c>
      <c r="L4" s="66">
        <f t="shared" si="1"/>
        <v>12.835679999999996</v>
      </c>
      <c r="M4" s="66">
        <f t="shared" si="1"/>
        <v>17.146064000000024</v>
      </c>
      <c r="N4" s="66">
        <f t="shared" si="1"/>
        <v>23.075000000000017</v>
      </c>
      <c r="O4" s="66">
        <f t="shared" si="1"/>
        <v>26.854505600000032</v>
      </c>
      <c r="P4" s="66">
        <f t="shared" si="1"/>
        <v>36.241906688</v>
      </c>
      <c r="Q4" s="66">
        <f t="shared" si="1"/>
        <v>47.83931682815998</v>
      </c>
    </row>
    <row r="5" spans="1:17">
      <c r="A5" s="68" t="s">
        <v>327</v>
      </c>
      <c r="C5" s="69">
        <f t="shared" ref="C5:H5" si="2">C4/B4-1</f>
        <v>0.19999999999999973</v>
      </c>
      <c r="D5" s="69">
        <f t="shared" si="2"/>
        <v>0.30000000000000004</v>
      </c>
      <c r="E5" s="69">
        <f t="shared" si="2"/>
        <v>0.25</v>
      </c>
      <c r="F5" s="69">
        <f t="shared" si="2"/>
        <v>0.27</v>
      </c>
      <c r="G5" s="69">
        <f t="shared" si="2"/>
        <v>0.28000000000000003</v>
      </c>
      <c r="H5" s="69">
        <f t="shared" si="2"/>
        <v>0.32000000000000006</v>
      </c>
      <c r="J5" s="64" t="s">
        <v>328</v>
      </c>
      <c r="K5" s="66">
        <v>10</v>
      </c>
      <c r="L5" s="66">
        <v>10</v>
      </c>
      <c r="M5" s="66">
        <v>10</v>
      </c>
      <c r="N5" s="66">
        <v>10</v>
      </c>
      <c r="O5" s="66">
        <v>9.5</v>
      </c>
      <c r="P5" s="66">
        <v>9.5</v>
      </c>
      <c r="Q5" s="66">
        <f>9.5+1.5</f>
        <v>11</v>
      </c>
    </row>
    <row r="6" spans="1:17">
      <c r="A6" s="68"/>
      <c r="C6" s="69"/>
      <c r="D6" s="69"/>
      <c r="E6" s="69"/>
      <c r="F6" s="69"/>
      <c r="G6" s="69"/>
      <c r="H6" s="69"/>
      <c r="J6" s="64" t="s">
        <v>329</v>
      </c>
      <c r="K6" s="64">
        <v>0.5</v>
      </c>
      <c r="L6" s="64">
        <v>1</v>
      </c>
      <c r="M6" s="64">
        <v>3</v>
      </c>
      <c r="N6" s="64">
        <v>4</v>
      </c>
      <c r="O6" s="64">
        <v>2</v>
      </c>
      <c r="P6" s="64">
        <v>1</v>
      </c>
      <c r="Q6" s="64">
        <v>2</v>
      </c>
    </row>
    <row r="7" spans="1:17">
      <c r="A7" s="64" t="s">
        <v>243</v>
      </c>
      <c r="B7" s="65"/>
      <c r="C7" s="65"/>
      <c r="D7" s="65"/>
      <c r="E7" s="65"/>
      <c r="F7" s="65"/>
      <c r="J7" s="64" t="s">
        <v>330</v>
      </c>
      <c r="K7" s="71">
        <f>K4+K5-K6</f>
        <v>20.785733333333368</v>
      </c>
      <c r="L7" s="71">
        <f t="shared" ref="L7:Q7" si="3">L4+L5-L6</f>
        <v>21.835679999999996</v>
      </c>
      <c r="M7" s="71">
        <f t="shared" si="3"/>
        <v>24.146064000000024</v>
      </c>
      <c r="N7" s="71">
        <f t="shared" si="3"/>
        <v>29.075000000000017</v>
      </c>
      <c r="O7" s="71">
        <f t="shared" si="3"/>
        <v>34.354505600000032</v>
      </c>
      <c r="P7" s="71">
        <f t="shared" si="3"/>
        <v>44.741906688</v>
      </c>
      <c r="Q7" s="71">
        <f t="shared" si="3"/>
        <v>56.83931682815998</v>
      </c>
    </row>
    <row r="8" spans="1:17">
      <c r="A8" s="64" t="s">
        <v>246</v>
      </c>
      <c r="B8" s="66">
        <v>160.93333333333331</v>
      </c>
      <c r="C8" s="66">
        <v>195.84</v>
      </c>
      <c r="D8" s="66">
        <v>240.44800000000001</v>
      </c>
      <c r="E8" s="66">
        <v>309.39999999999998</v>
      </c>
      <c r="F8" s="66">
        <v>381.71120000000008</v>
      </c>
      <c r="G8" s="66">
        <v>524.51609600000006</v>
      </c>
      <c r="H8" s="66">
        <v>692.36124672000005</v>
      </c>
      <c r="J8" s="64" t="s">
        <v>331</v>
      </c>
      <c r="K8" s="64">
        <v>0</v>
      </c>
      <c r="L8" s="64">
        <v>0</v>
      </c>
      <c r="M8" s="64">
        <v>0</v>
      </c>
      <c r="N8" s="64">
        <v>-5</v>
      </c>
      <c r="O8" s="64">
        <v>0</v>
      </c>
      <c r="P8" s="64">
        <v>15</v>
      </c>
      <c r="Q8" s="64">
        <v>0</v>
      </c>
    </row>
    <row r="9" spans="1:17">
      <c r="A9" s="64" t="s">
        <v>249</v>
      </c>
      <c r="B9" s="66">
        <f>B4-B8</f>
        <v>65.733333333333405</v>
      </c>
      <c r="C9" s="66">
        <f t="shared" ref="C9:H9" si="4">C4-C8</f>
        <v>76.16</v>
      </c>
      <c r="D9" s="66">
        <f t="shared" si="4"/>
        <v>113.15200000000002</v>
      </c>
      <c r="E9" s="66">
        <f t="shared" si="4"/>
        <v>132.60000000000002</v>
      </c>
      <c r="F9" s="66">
        <f t="shared" si="4"/>
        <v>179.62879999999996</v>
      </c>
      <c r="G9" s="66">
        <f t="shared" si="4"/>
        <v>193.99910399999999</v>
      </c>
      <c r="H9" s="66">
        <f t="shared" si="4"/>
        <v>256.07881728000007</v>
      </c>
      <c r="J9" s="64" t="s">
        <v>332</v>
      </c>
      <c r="K9" s="66">
        <f t="shared" ref="K9:Q9" si="5">B16</f>
        <v>1.224</v>
      </c>
      <c r="L9" s="66">
        <f t="shared" si="5"/>
        <v>1.4688000000000001</v>
      </c>
      <c r="M9" s="66">
        <f t="shared" si="5"/>
        <v>1.90944</v>
      </c>
      <c r="N9" s="66">
        <f t="shared" si="5"/>
        <v>2.4</v>
      </c>
      <c r="O9" s="66">
        <f t="shared" si="5"/>
        <v>3.0312359999999998</v>
      </c>
      <c r="P9" s="66">
        <f t="shared" si="5"/>
        <v>3.87998208</v>
      </c>
      <c r="Q9" s="66">
        <f t="shared" si="5"/>
        <v>5.1215763456000012</v>
      </c>
    </row>
    <row r="10" spans="1:17">
      <c r="A10" s="64" t="s">
        <v>333</v>
      </c>
      <c r="B10" s="64">
        <f t="shared" ref="B10:H10" si="6">B9/B4</f>
        <v>0.29000000000000026</v>
      </c>
      <c r="C10" s="64">
        <f t="shared" si="6"/>
        <v>0.27999999999999997</v>
      </c>
      <c r="D10" s="64">
        <f t="shared" si="6"/>
        <v>0.32</v>
      </c>
      <c r="E10" s="64">
        <f t="shared" si="6"/>
        <v>0.30000000000000004</v>
      </c>
      <c r="F10" s="64">
        <f t="shared" si="6"/>
        <v>0.3199999999999999</v>
      </c>
      <c r="G10" s="64">
        <f t="shared" si="6"/>
        <v>0.26999999999999996</v>
      </c>
      <c r="H10" s="64">
        <f t="shared" si="6"/>
        <v>0.27</v>
      </c>
      <c r="J10" s="64" t="s">
        <v>334</v>
      </c>
      <c r="K10" s="64">
        <v>0.35</v>
      </c>
      <c r="L10" s="64">
        <v>0.35</v>
      </c>
      <c r="M10" s="64">
        <v>0.35</v>
      </c>
      <c r="N10" s="64">
        <v>0.35</v>
      </c>
      <c r="O10" s="64">
        <v>0.35</v>
      </c>
      <c r="P10" s="64">
        <v>0.35</v>
      </c>
      <c r="Q10" s="64">
        <v>0.35</v>
      </c>
    </row>
    <row r="11" spans="1:17">
      <c r="A11" s="65"/>
      <c r="F11" s="63"/>
      <c r="J11" s="64" t="s">
        <v>335</v>
      </c>
      <c r="K11" s="71">
        <f t="shared" ref="K11:Q11" si="7">K9*(1-K10)</f>
        <v>0.79559999999999997</v>
      </c>
      <c r="L11" s="71">
        <f t="shared" si="7"/>
        <v>0.95472000000000012</v>
      </c>
      <c r="M11" s="71">
        <f t="shared" si="7"/>
        <v>1.241136</v>
      </c>
      <c r="N11" s="71">
        <f t="shared" si="7"/>
        <v>1.56</v>
      </c>
      <c r="O11" s="71">
        <f t="shared" si="7"/>
        <v>1.9703033999999999</v>
      </c>
      <c r="P11" s="71">
        <f t="shared" si="7"/>
        <v>2.5219883520000002</v>
      </c>
      <c r="Q11" s="71">
        <f t="shared" si="7"/>
        <v>3.329024624640001</v>
      </c>
    </row>
    <row r="12" spans="1:17">
      <c r="A12" s="64" t="s">
        <v>269</v>
      </c>
      <c r="B12" s="66">
        <v>47.146666666666682</v>
      </c>
      <c r="C12" s="66">
        <v>54.944000000000003</v>
      </c>
      <c r="D12" s="66">
        <v>84.863999999999976</v>
      </c>
      <c r="E12" s="63">
        <v>94.7</v>
      </c>
      <c r="F12" s="66">
        <v>135.28293999999991</v>
      </c>
      <c r="G12" s="66">
        <v>134.36234239999999</v>
      </c>
      <c r="H12" s="66">
        <v>177.35829196800009</v>
      </c>
      <c r="J12" s="64" t="s">
        <v>310</v>
      </c>
      <c r="K12" s="66">
        <f>K7-K8+K11</f>
        <v>21.581333333333369</v>
      </c>
      <c r="L12" s="66">
        <f t="shared" ref="L12:Q12" si="8">L7-L8+L11</f>
        <v>22.790399999999998</v>
      </c>
      <c r="M12" s="66">
        <f t="shared" si="8"/>
        <v>25.387200000000025</v>
      </c>
      <c r="N12" s="66">
        <f t="shared" si="8"/>
        <v>35.635000000000019</v>
      </c>
      <c r="O12" s="66">
        <f t="shared" si="8"/>
        <v>36.32480900000003</v>
      </c>
      <c r="P12" s="66">
        <f t="shared" si="8"/>
        <v>32.263895040000001</v>
      </c>
      <c r="Q12" s="66">
        <f t="shared" si="8"/>
        <v>60.168341452799979</v>
      </c>
    </row>
    <row r="13" spans="1:17">
      <c r="A13" s="64" t="s">
        <v>272</v>
      </c>
      <c r="B13" s="66">
        <f>B9-B12</f>
        <v>18.586666666666723</v>
      </c>
      <c r="C13" s="66">
        <f t="shared" ref="C13:H13" si="9">C9-C12</f>
        <v>21.215999999999994</v>
      </c>
      <c r="D13" s="66">
        <f t="shared" si="9"/>
        <v>28.288000000000039</v>
      </c>
      <c r="E13" s="66">
        <f t="shared" si="9"/>
        <v>37.90000000000002</v>
      </c>
      <c r="F13" s="66">
        <f t="shared" si="9"/>
        <v>44.345860000000044</v>
      </c>
      <c r="G13" s="66">
        <f t="shared" si="9"/>
        <v>59.6367616</v>
      </c>
      <c r="H13" s="66">
        <f t="shared" si="9"/>
        <v>78.720525311999978</v>
      </c>
      <c r="J13" s="64" t="s">
        <v>336</v>
      </c>
      <c r="K13" s="109">
        <f t="shared" ref="K13:Q13" si="10">K12/B4</f>
        <v>9.5211764705882496E-2</v>
      </c>
      <c r="L13" s="109">
        <f t="shared" si="10"/>
        <v>8.3788235294117636E-2</v>
      </c>
      <c r="M13" s="109">
        <f t="shared" si="10"/>
        <v>7.1796380090497797E-2</v>
      </c>
      <c r="N13" s="109">
        <f t="shared" si="10"/>
        <v>8.0622171945701399E-2</v>
      </c>
      <c r="O13" s="109">
        <f t="shared" si="10"/>
        <v>6.4710886450279739E-2</v>
      </c>
      <c r="P13" s="109">
        <f t="shared" si="10"/>
        <v>4.490356646595646E-2</v>
      </c>
      <c r="Q13" s="109">
        <f t="shared" si="10"/>
        <v>6.3439265944800885E-2</v>
      </c>
    </row>
    <row r="14" spans="1:17">
      <c r="A14" s="64" t="s">
        <v>337</v>
      </c>
      <c r="B14" s="111">
        <f>B13/B4</f>
        <v>8.2000000000000225E-2</v>
      </c>
      <c r="C14" s="111">
        <f t="shared" ref="C14:H14" si="11">C13/C4</f>
        <v>7.7999999999999972E-2</v>
      </c>
      <c r="D14" s="111">
        <f t="shared" si="11"/>
        <v>8.0000000000000113E-2</v>
      </c>
      <c r="E14" s="111">
        <f t="shared" si="11"/>
        <v>8.5746606334841671E-2</v>
      </c>
      <c r="F14" s="111">
        <f t="shared" si="11"/>
        <v>7.900000000000007E-2</v>
      </c>
      <c r="G14" s="111">
        <f t="shared" si="11"/>
        <v>8.299999999999999E-2</v>
      </c>
      <c r="H14" s="111">
        <f t="shared" si="11"/>
        <v>8.2999999999999963E-2</v>
      </c>
    </row>
    <row r="15" spans="1:17">
      <c r="B15" s="66"/>
      <c r="C15" s="66"/>
      <c r="D15" s="66"/>
      <c r="E15" s="67"/>
      <c r="F15" s="66"/>
      <c r="G15" s="66"/>
      <c r="H15" s="66"/>
      <c r="J15" s="68" t="s">
        <v>219</v>
      </c>
    </row>
    <row r="16" spans="1:17">
      <c r="A16" s="64" t="s">
        <v>283</v>
      </c>
      <c r="B16" s="66">
        <v>1.224</v>
      </c>
      <c r="C16" s="66">
        <v>1.4688000000000001</v>
      </c>
      <c r="D16" s="66">
        <v>1.90944</v>
      </c>
      <c r="E16" s="66">
        <v>2.4</v>
      </c>
      <c r="F16" s="66">
        <v>3.0312359999999998</v>
      </c>
      <c r="G16" s="66">
        <v>3.87998208</v>
      </c>
      <c r="H16" s="66">
        <v>5.1215763456000012</v>
      </c>
      <c r="J16" s="68" t="s">
        <v>296</v>
      </c>
      <c r="L16" s="69">
        <f t="shared" ref="L16:Q16" si="12">L4/K4-1</f>
        <v>0.13733681462140579</v>
      </c>
      <c r="M16" s="69">
        <f t="shared" si="12"/>
        <v>0.33581267217631083</v>
      </c>
      <c r="N16" s="69">
        <f t="shared" si="12"/>
        <v>0.34578991423337646</v>
      </c>
      <c r="O16" s="69">
        <f t="shared" si="12"/>
        <v>0.16379222535211313</v>
      </c>
      <c r="P16" s="69">
        <f t="shared" si="12"/>
        <v>0.34956521739130286</v>
      </c>
      <c r="Q16" s="69">
        <f t="shared" si="12"/>
        <v>0.3199999999999994</v>
      </c>
    </row>
    <row r="17" spans="1:19">
      <c r="B17" s="72"/>
      <c r="C17" s="72"/>
      <c r="D17" s="72"/>
      <c r="E17" s="72"/>
      <c r="F17" s="72"/>
      <c r="G17" s="72"/>
      <c r="H17" s="72"/>
      <c r="J17" s="68" t="s">
        <v>330</v>
      </c>
      <c r="K17" s="65"/>
      <c r="L17" s="69">
        <f t="shared" ref="L17:Q17" si="13">L7/K7-1</f>
        <v>5.0512851763707678E-2</v>
      </c>
      <c r="M17" s="69">
        <f t="shared" si="13"/>
        <v>0.10580774219076439</v>
      </c>
      <c r="N17" s="69">
        <f t="shared" si="13"/>
        <v>0.20412999816450372</v>
      </c>
      <c r="O17" s="69">
        <f t="shared" si="13"/>
        <v>0.18158230782459195</v>
      </c>
      <c r="P17" s="69">
        <f t="shared" si="13"/>
        <v>0.30235920752123868</v>
      </c>
      <c r="Q17" s="69">
        <f t="shared" si="13"/>
        <v>0.27038208774872263</v>
      </c>
    </row>
    <row r="18" spans="1:19">
      <c r="B18" s="65"/>
      <c r="C18" s="65"/>
      <c r="D18" s="65"/>
      <c r="F18" s="73"/>
      <c r="G18" s="66"/>
      <c r="H18" s="66"/>
      <c r="J18" s="68" t="s">
        <v>310</v>
      </c>
      <c r="K18" s="65"/>
      <c r="L18" s="69">
        <f t="shared" ref="L18:Q18" si="14">L12/K12-1</f>
        <v>5.6023724206102132E-2</v>
      </c>
      <c r="M18" s="69">
        <f t="shared" si="14"/>
        <v>0.11394271272114698</v>
      </c>
      <c r="N18" s="69">
        <f t="shared" si="14"/>
        <v>0.40366011218251652</v>
      </c>
      <c r="O18" s="69">
        <f t="shared" si="14"/>
        <v>1.9357625929564026E-2</v>
      </c>
      <c r="P18" s="69">
        <f t="shared" si="14"/>
        <v>-0.11179450275980873</v>
      </c>
      <c r="Q18" s="69">
        <f t="shared" si="14"/>
        <v>0.8648815147149691</v>
      </c>
    </row>
    <row r="19" spans="1:19" ht="28">
      <c r="A19" s="64" t="s">
        <v>291</v>
      </c>
      <c r="B19" s="66">
        <f>B13-B16</f>
        <v>17.362666666666723</v>
      </c>
      <c r="C19" s="66">
        <f t="shared" ref="C19:H19" si="15">C13-C16</f>
        <v>19.747199999999992</v>
      </c>
      <c r="D19" s="66">
        <f t="shared" si="15"/>
        <v>26.378560000000039</v>
      </c>
      <c r="E19" s="66">
        <f t="shared" si="15"/>
        <v>35.500000000000021</v>
      </c>
      <c r="F19" s="66">
        <f t="shared" si="15"/>
        <v>41.314624000000045</v>
      </c>
      <c r="G19" s="66">
        <f t="shared" si="15"/>
        <v>55.756779520000002</v>
      </c>
      <c r="H19" s="66">
        <f t="shared" si="15"/>
        <v>73.598948966399973</v>
      </c>
      <c r="N19" s="73"/>
      <c r="R19" s="187" t="s">
        <v>338</v>
      </c>
    </row>
    <row r="20" spans="1:19">
      <c r="A20" s="64" t="s">
        <v>294</v>
      </c>
      <c r="B20" s="66">
        <f>0.35*B19</f>
        <v>6.0769333333333524</v>
      </c>
      <c r="C20" s="66">
        <f t="shared" ref="C20:H20" si="16">0.35*C19</f>
        <v>6.9115199999999968</v>
      </c>
      <c r="D20" s="66">
        <f t="shared" si="16"/>
        <v>9.2324960000000136</v>
      </c>
      <c r="E20" s="64">
        <f t="shared" si="16"/>
        <v>12.425000000000006</v>
      </c>
      <c r="F20" s="66">
        <f t="shared" si="16"/>
        <v>14.460118400000015</v>
      </c>
      <c r="G20" s="66">
        <f t="shared" si="16"/>
        <v>19.514872831999998</v>
      </c>
      <c r="H20" s="66">
        <f t="shared" si="16"/>
        <v>25.75963213823999</v>
      </c>
      <c r="O20" s="63">
        <f ca="1">O3</f>
        <v>2025</v>
      </c>
      <c r="P20" s="63">
        <f ca="1">P3</f>
        <v>2026</v>
      </c>
      <c r="Q20" s="63">
        <f ca="1">Q3</f>
        <v>2027</v>
      </c>
      <c r="R20" s="64">
        <v>2026</v>
      </c>
      <c r="S20" s="64" t="s">
        <v>339</v>
      </c>
    </row>
    <row r="21" spans="1:19">
      <c r="A21" s="70" t="s">
        <v>296</v>
      </c>
      <c r="B21" s="66">
        <f t="shared" ref="B21:H21" si="17">B19-B20</f>
        <v>11.28573333333337</v>
      </c>
      <c r="C21" s="66">
        <f t="shared" si="17"/>
        <v>12.835679999999996</v>
      </c>
      <c r="D21" s="66">
        <f t="shared" si="17"/>
        <v>17.146064000000024</v>
      </c>
      <c r="E21" s="66">
        <f t="shared" si="17"/>
        <v>23.075000000000017</v>
      </c>
      <c r="F21" s="66">
        <f t="shared" si="17"/>
        <v>26.854505600000032</v>
      </c>
      <c r="G21" s="66">
        <f t="shared" si="17"/>
        <v>36.241906688</v>
      </c>
      <c r="H21" s="66">
        <f t="shared" si="17"/>
        <v>47.83931682815998</v>
      </c>
      <c r="I21" s="66"/>
      <c r="J21" s="64" t="s">
        <v>325</v>
      </c>
      <c r="K21" s="64">
        <v>0.18</v>
      </c>
    </row>
    <row r="22" spans="1:19">
      <c r="G22" s="73"/>
      <c r="J22" s="64" t="s">
        <v>340</v>
      </c>
      <c r="O22" s="66">
        <f>O12</f>
        <v>36.32480900000003</v>
      </c>
      <c r="P22" s="66">
        <f>P12</f>
        <v>32.263895040000001</v>
      </c>
      <c r="Q22" s="66">
        <f>Q12</f>
        <v>60.168341452799979</v>
      </c>
      <c r="R22" s="71">
        <f>S22*(H13+Q5)</f>
        <v>865.75443933910799</v>
      </c>
      <c r="S22" s="71">
        <v>9.6494579844297306</v>
      </c>
    </row>
    <row r="23" spans="1:19">
      <c r="H23" s="73"/>
      <c r="J23" s="64" t="s">
        <v>315</v>
      </c>
      <c r="K23" s="66">
        <f>SUM(O23:R23)</f>
        <v>617.50035360888171</v>
      </c>
      <c r="O23" s="66">
        <f>O22/(1+$K$21)^1</f>
        <v>30.783736440677995</v>
      </c>
      <c r="P23" s="66">
        <f>P22/(1+$K$21)^2</f>
        <v>23.171427061189316</v>
      </c>
      <c r="Q23" s="66">
        <f>Q22/(1+$K$21)^3</f>
        <v>36.620310166083186</v>
      </c>
      <c r="R23" s="66">
        <f>R22/(1+$K$21)^3</f>
        <v>526.92487994093119</v>
      </c>
    </row>
    <row r="24" spans="1:19">
      <c r="G24" s="110"/>
      <c r="J24" s="64" t="s">
        <v>341</v>
      </c>
      <c r="K24" s="64">
        <f>30-20</f>
        <v>10</v>
      </c>
      <c r="N24" s="70"/>
    </row>
    <row r="25" spans="1:19">
      <c r="H25" s="110"/>
      <c r="J25" s="64" t="s">
        <v>342</v>
      </c>
      <c r="K25" s="66">
        <f>K23-K24</f>
        <v>607.50035360888171</v>
      </c>
    </row>
    <row r="26" spans="1:19">
      <c r="J26" s="64" t="s">
        <v>343</v>
      </c>
      <c r="K26" s="64">
        <v>50</v>
      </c>
      <c r="N26" s="70"/>
    </row>
    <row r="27" spans="1:19">
      <c r="J27" s="64" t="s">
        <v>344</v>
      </c>
      <c r="K27" s="71">
        <f>K25/K26</f>
        <v>12.150007072177635</v>
      </c>
    </row>
    <row r="28" spans="1:19">
      <c r="J28" s="64" t="s">
        <v>345</v>
      </c>
      <c r="K28" s="64">
        <v>12.15</v>
      </c>
    </row>
    <row r="39" spans="11:14">
      <c r="K39" s="66"/>
    </row>
    <row r="40" spans="11:14">
      <c r="N40" s="70"/>
    </row>
    <row r="41" spans="11:14">
      <c r="K41" s="71"/>
    </row>
  </sheetData>
  <mergeCells count="2">
    <mergeCell ref="A1:E1"/>
    <mergeCell ref="J1:N1"/>
  </mergeCells>
  <pageMargins left="0.7" right="0.7" top="0.75" bottom="0.75" header="0.3" footer="0.3"/>
  <pageSetup scale="53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pageSetUpPr fitToPage="1"/>
  </sheetPr>
  <dimension ref="A1:S38"/>
  <sheetViews>
    <sheetView showGridLines="0" workbookViewId="0">
      <selection activeCell="K34" sqref="K34"/>
    </sheetView>
  </sheetViews>
  <sheetFormatPr defaultColWidth="9.1796875" defaultRowHeight="14"/>
  <cols>
    <col min="1" max="1" width="30.453125" style="64" bestFit="1" customWidth="1"/>
    <col min="2" max="4" width="9.1796875" style="64" customWidth="1"/>
    <col min="5" max="5" width="9.54296875" style="64" bestFit="1" customWidth="1"/>
    <col min="6" max="8" width="9.54296875" style="64" customWidth="1"/>
    <col min="9" max="9" width="9.1796875" style="64" customWidth="1"/>
    <col min="10" max="10" width="28.1796875" style="64" bestFit="1" customWidth="1"/>
    <col min="11" max="13" width="9.54296875" style="64" bestFit="1" customWidth="1"/>
    <col min="14" max="14" width="9.81640625" style="64" bestFit="1" customWidth="1"/>
    <col min="15" max="17" width="9.54296875" style="64" bestFit="1" customWidth="1"/>
    <col min="18" max="23" width="9.1796875" style="64" customWidth="1"/>
    <col min="24" max="16384" width="9.1796875" style="64"/>
  </cols>
  <sheetData>
    <row r="1" spans="1:17">
      <c r="A1" s="294" t="s">
        <v>326</v>
      </c>
      <c r="B1" s="288"/>
      <c r="C1" s="288"/>
      <c r="D1" s="288"/>
      <c r="E1" s="288"/>
      <c r="F1" s="108"/>
      <c r="G1" s="108"/>
      <c r="H1" s="108"/>
      <c r="J1" s="295"/>
      <c r="K1" s="288"/>
      <c r="L1" s="288"/>
      <c r="M1" s="288"/>
      <c r="N1" s="288"/>
    </row>
    <row r="2" spans="1:17">
      <c r="A2" s="65"/>
      <c r="E2" s="63"/>
      <c r="F2" s="63"/>
      <c r="G2" s="63"/>
      <c r="H2" s="63"/>
      <c r="J2" s="65"/>
      <c r="N2" s="63"/>
    </row>
    <row r="3" spans="1:17">
      <c r="A3" s="63"/>
      <c r="B3" s="63">
        <f ca="1">C3-1</f>
        <v>2021</v>
      </c>
      <c r="C3" s="63">
        <f ca="1">D3-1</f>
        <v>2022</v>
      </c>
      <c r="D3" s="63">
        <f ca="1">E3-1</f>
        <v>2023</v>
      </c>
      <c r="E3" s="63">
        <f ca="1">F3-1</f>
        <v>2024</v>
      </c>
      <c r="F3" s="63">
        <f ca="1">YEAR(TODAY())</f>
        <v>2025</v>
      </c>
      <c r="G3" s="63">
        <f ca="1">F3+1</f>
        <v>2026</v>
      </c>
      <c r="H3" s="63">
        <f ca="1">G3+1</f>
        <v>2027</v>
      </c>
      <c r="J3" s="65"/>
      <c r="K3" s="63">
        <f ca="1">B3</f>
        <v>2021</v>
      </c>
      <c r="L3" s="63">
        <f t="shared" ref="L3:Q3" ca="1" si="0">C3</f>
        <v>2022</v>
      </c>
      <c r="M3" s="63">
        <f t="shared" ca="1" si="0"/>
        <v>2023</v>
      </c>
      <c r="N3" s="63">
        <f t="shared" ca="1" si="0"/>
        <v>2024</v>
      </c>
      <c r="O3" s="63">
        <f t="shared" ca="1" si="0"/>
        <v>2025</v>
      </c>
      <c r="P3" s="63">
        <f t="shared" ca="1" si="0"/>
        <v>2026</v>
      </c>
      <c r="Q3" s="63">
        <f t="shared" ca="1" si="0"/>
        <v>2027</v>
      </c>
    </row>
    <row r="4" spans="1:17">
      <c r="A4" s="64" t="s">
        <v>238</v>
      </c>
      <c r="B4" s="66">
        <v>226.66666666666671</v>
      </c>
      <c r="C4" s="66">
        <f>B4*(1+C6)</f>
        <v>272.00000000000006</v>
      </c>
      <c r="D4" s="66">
        <f>C4*(1+D6)</f>
        <v>353.60000000000008</v>
      </c>
      <c r="E4" s="66">
        <f>D4*(1+E6)</f>
        <v>442.00000000000011</v>
      </c>
      <c r="F4" s="66">
        <f>E4*(1+F5)</f>
        <v>583.44000000000017</v>
      </c>
      <c r="G4" s="66">
        <f>F4*(1+G5)</f>
        <v>775.97520000000031</v>
      </c>
      <c r="H4" s="66">
        <f>G4*(1+H5)</f>
        <v>1063.0860240000004</v>
      </c>
      <c r="J4" s="64" t="s">
        <v>241</v>
      </c>
      <c r="K4" s="66">
        <f t="shared" ref="K4:Q4" si="1">B23</f>
        <v>11.285733333333337</v>
      </c>
      <c r="L4" s="66">
        <f t="shared" si="1"/>
        <v>12.835680000000004</v>
      </c>
      <c r="M4" s="66">
        <f t="shared" si="1"/>
        <v>17.146064000000006</v>
      </c>
      <c r="N4" s="66">
        <f t="shared" si="1"/>
        <v>23.075000000000017</v>
      </c>
      <c r="O4" s="66">
        <f t="shared" si="1"/>
        <v>27.989340600000013</v>
      </c>
      <c r="P4" s="66">
        <f t="shared" si="1"/>
        <v>39.341873688000021</v>
      </c>
      <c r="Q4" s="66">
        <f t="shared" si="1"/>
        <v>54.024466370160027</v>
      </c>
    </row>
    <row r="5" spans="1:17">
      <c r="A5" s="64" t="s">
        <v>346</v>
      </c>
      <c r="B5" s="66"/>
      <c r="C5" s="66"/>
      <c r="D5" s="66"/>
      <c r="E5" s="66"/>
      <c r="F5" s="74">
        <f>F7+F6</f>
        <v>0.32</v>
      </c>
      <c r="G5" s="74">
        <f>G7+G6</f>
        <v>0.33</v>
      </c>
      <c r="H5" s="74">
        <f>H7+H6</f>
        <v>0.37000000000000011</v>
      </c>
      <c r="J5" s="64" t="s">
        <v>328</v>
      </c>
      <c r="K5" s="66">
        <v>10</v>
      </c>
      <c r="L5" s="66">
        <v>10</v>
      </c>
      <c r="M5" s="66">
        <v>10</v>
      </c>
      <c r="N5" s="66">
        <v>10</v>
      </c>
      <c r="O5" s="66">
        <v>9.5</v>
      </c>
      <c r="P5" s="66">
        <v>9.5</v>
      </c>
      <c r="Q5" s="66">
        <f>9.5+1.5</f>
        <v>11</v>
      </c>
    </row>
    <row r="6" spans="1:17">
      <c r="A6" s="64" t="s">
        <v>347</v>
      </c>
      <c r="C6" s="69">
        <v>0.2</v>
      </c>
      <c r="D6" s="69">
        <v>0.3</v>
      </c>
      <c r="E6" s="69">
        <v>0.25</v>
      </c>
      <c r="F6" s="69">
        <v>0.27</v>
      </c>
      <c r="G6" s="69">
        <v>0.28000000000000003</v>
      </c>
      <c r="H6" s="69">
        <v>0.32000000000000012</v>
      </c>
      <c r="J6" s="64" t="s">
        <v>329</v>
      </c>
      <c r="K6" s="64">
        <v>0.5</v>
      </c>
      <c r="L6" s="64">
        <v>1</v>
      </c>
      <c r="M6" s="64">
        <v>3</v>
      </c>
      <c r="N6" s="64">
        <v>4</v>
      </c>
      <c r="O6" s="64">
        <v>2</v>
      </c>
      <c r="P6" s="64">
        <v>1</v>
      </c>
      <c r="Q6" s="64">
        <v>2</v>
      </c>
    </row>
    <row r="7" spans="1:17">
      <c r="A7" s="64" t="s">
        <v>348</v>
      </c>
      <c r="C7" s="69"/>
      <c r="D7" s="69"/>
      <c r="E7" s="69"/>
      <c r="F7" s="69">
        <v>0.05</v>
      </c>
      <c r="G7" s="69">
        <v>0.05</v>
      </c>
      <c r="H7" s="69">
        <v>0.05</v>
      </c>
      <c r="J7" s="64" t="s">
        <v>330</v>
      </c>
      <c r="K7" s="71">
        <f t="shared" ref="K7:Q7" si="2">K4+K5-K6</f>
        <v>20.785733333333337</v>
      </c>
      <c r="L7" s="71">
        <f t="shared" si="2"/>
        <v>21.835680000000004</v>
      </c>
      <c r="M7" s="71">
        <f t="shared" si="2"/>
        <v>24.146064000000006</v>
      </c>
      <c r="N7" s="71">
        <f t="shared" si="2"/>
        <v>29.075000000000017</v>
      </c>
      <c r="O7" s="71">
        <f t="shared" si="2"/>
        <v>35.489340600000013</v>
      </c>
      <c r="P7" s="71">
        <f t="shared" si="2"/>
        <v>47.841873688000021</v>
      </c>
      <c r="Q7" s="71">
        <f t="shared" si="2"/>
        <v>63.024466370160027</v>
      </c>
    </row>
    <row r="8" spans="1:17">
      <c r="A8" s="68"/>
      <c r="C8" s="69"/>
      <c r="D8" s="69"/>
      <c r="E8" s="69"/>
      <c r="F8" s="69"/>
      <c r="G8" s="69"/>
      <c r="H8" s="69"/>
      <c r="J8" s="64" t="s">
        <v>331</v>
      </c>
      <c r="K8" s="64">
        <v>0</v>
      </c>
      <c r="L8" s="64">
        <v>0</v>
      </c>
      <c r="M8" s="64">
        <v>0</v>
      </c>
      <c r="N8" s="64">
        <v>-5</v>
      </c>
      <c r="O8" s="64">
        <v>0</v>
      </c>
      <c r="P8" s="64">
        <v>15</v>
      </c>
      <c r="Q8" s="64">
        <v>0</v>
      </c>
    </row>
    <row r="9" spans="1:17">
      <c r="A9" s="64" t="s">
        <v>243</v>
      </c>
      <c r="B9" s="113"/>
      <c r="C9" s="65"/>
      <c r="D9" s="65"/>
      <c r="E9" s="65"/>
      <c r="F9" s="65"/>
      <c r="J9" s="64" t="s">
        <v>332</v>
      </c>
      <c r="K9" s="66">
        <f t="shared" ref="K9:Q9" si="3">B18</f>
        <v>1.224</v>
      </c>
      <c r="L9" s="66">
        <f t="shared" si="3"/>
        <v>1.4688000000000001</v>
      </c>
      <c r="M9" s="66">
        <f t="shared" si="3"/>
        <v>1.90944</v>
      </c>
      <c r="N9" s="66">
        <f t="shared" si="3"/>
        <v>2.4</v>
      </c>
      <c r="O9" s="66">
        <f t="shared" si="3"/>
        <v>3.0312359999999998</v>
      </c>
      <c r="P9" s="66">
        <f t="shared" si="3"/>
        <v>3.87998208</v>
      </c>
      <c r="Q9" s="66">
        <f t="shared" si="3"/>
        <v>5.1215763456000012</v>
      </c>
    </row>
    <row r="10" spans="1:17">
      <c r="A10" s="64" t="s">
        <v>246</v>
      </c>
      <c r="B10" s="66">
        <f t="shared" ref="B10:H10" si="4">B4-B11</f>
        <v>160.93333333333337</v>
      </c>
      <c r="C10" s="66">
        <f t="shared" si="4"/>
        <v>195.84000000000003</v>
      </c>
      <c r="D10" s="66">
        <f t="shared" si="4"/>
        <v>240.44800000000004</v>
      </c>
      <c r="E10" s="66">
        <f t="shared" si="4"/>
        <v>309.40000000000009</v>
      </c>
      <c r="F10" s="66">
        <f t="shared" si="4"/>
        <v>396.73920000000021</v>
      </c>
      <c r="G10" s="66">
        <f t="shared" si="4"/>
        <v>566.46189600000025</v>
      </c>
      <c r="H10" s="66">
        <f t="shared" si="4"/>
        <v>776.05279752000024</v>
      </c>
      <c r="J10" s="64" t="s">
        <v>334</v>
      </c>
      <c r="K10" s="64">
        <v>0.35</v>
      </c>
      <c r="L10" s="64">
        <v>0.35</v>
      </c>
      <c r="M10" s="64">
        <v>0.35</v>
      </c>
      <c r="N10" s="64">
        <v>0.35</v>
      </c>
      <c r="O10" s="64">
        <v>0.35</v>
      </c>
      <c r="P10" s="64">
        <v>0.35</v>
      </c>
      <c r="Q10" s="64">
        <v>0.35</v>
      </c>
    </row>
    <row r="11" spans="1:17">
      <c r="A11" s="64" t="s">
        <v>249</v>
      </c>
      <c r="B11" s="66">
        <f>B12*B4</f>
        <v>65.733333333333348</v>
      </c>
      <c r="C11" s="66">
        <f t="shared" ref="C11:H11" si="5">C12*C4</f>
        <v>76.160000000000025</v>
      </c>
      <c r="D11" s="66">
        <f t="shared" si="5"/>
        <v>113.15200000000003</v>
      </c>
      <c r="E11" s="66">
        <f t="shared" si="5"/>
        <v>132.60000000000002</v>
      </c>
      <c r="F11" s="66">
        <f t="shared" si="5"/>
        <v>186.70079999999999</v>
      </c>
      <c r="G11" s="66">
        <f t="shared" si="5"/>
        <v>209.51330400000009</v>
      </c>
      <c r="H11" s="66">
        <f t="shared" si="5"/>
        <v>287.03322648000011</v>
      </c>
      <c r="J11" s="64" t="s">
        <v>335</v>
      </c>
      <c r="K11" s="71">
        <f t="shared" ref="K11:Q11" si="6">K9*(1-K10)</f>
        <v>0.79559999999999997</v>
      </c>
      <c r="L11" s="71">
        <f t="shared" si="6"/>
        <v>0.95472000000000012</v>
      </c>
      <c r="M11" s="71">
        <f t="shared" si="6"/>
        <v>1.241136</v>
      </c>
      <c r="N11" s="71">
        <f t="shared" si="6"/>
        <v>1.56</v>
      </c>
      <c r="O11" s="71">
        <f t="shared" si="6"/>
        <v>1.9703033999999999</v>
      </c>
      <c r="P11" s="71">
        <f t="shared" si="6"/>
        <v>2.5219883520000002</v>
      </c>
      <c r="Q11" s="71">
        <f t="shared" si="6"/>
        <v>3.329024624640001</v>
      </c>
    </row>
    <row r="12" spans="1:17">
      <c r="A12" s="64" t="s">
        <v>333</v>
      </c>
      <c r="B12" s="64">
        <v>0.28999999999999998</v>
      </c>
      <c r="C12" s="64">
        <v>0.28000000000000003</v>
      </c>
      <c r="D12" s="64">
        <v>0.32</v>
      </c>
      <c r="E12" s="64">
        <v>0.3</v>
      </c>
      <c r="F12" s="64">
        <v>0.3199999999999999</v>
      </c>
      <c r="G12" s="64">
        <v>0.27</v>
      </c>
      <c r="H12" s="64">
        <v>0.27</v>
      </c>
      <c r="J12" s="64" t="s">
        <v>310</v>
      </c>
      <c r="K12" s="66">
        <f t="shared" ref="K12:Q12" si="7">K7-K8+K11</f>
        <v>21.581333333333337</v>
      </c>
      <c r="L12" s="66">
        <f t="shared" si="7"/>
        <v>22.790400000000005</v>
      </c>
      <c r="M12" s="66">
        <f t="shared" si="7"/>
        <v>25.387200000000007</v>
      </c>
      <c r="N12" s="66">
        <f t="shared" si="7"/>
        <v>35.635000000000019</v>
      </c>
      <c r="O12" s="66">
        <f t="shared" si="7"/>
        <v>37.459644000000011</v>
      </c>
      <c r="P12" s="66">
        <f t="shared" si="7"/>
        <v>35.363862040000022</v>
      </c>
      <c r="Q12" s="66">
        <f t="shared" si="7"/>
        <v>66.353490994800026</v>
      </c>
    </row>
    <row r="13" spans="1:17">
      <c r="A13" s="65"/>
      <c r="F13" s="63"/>
      <c r="J13" s="68" t="s">
        <v>219</v>
      </c>
      <c r="L13" s="109">
        <f t="shared" ref="L13:Q13" si="8">L12/K12-1</f>
        <v>5.6023724206104131E-2</v>
      </c>
      <c r="M13" s="109">
        <f t="shared" si="8"/>
        <v>0.11394271272114587</v>
      </c>
      <c r="N13" s="109">
        <f t="shared" si="8"/>
        <v>0.40366011218251763</v>
      </c>
      <c r="O13" s="109">
        <f t="shared" si="8"/>
        <v>5.1203704223375723E-2</v>
      </c>
      <c r="P13" s="109">
        <f t="shared" si="8"/>
        <v>-5.5947727639909961E-2</v>
      </c>
      <c r="Q13" s="109">
        <f t="shared" si="8"/>
        <v>0.87630782293369625</v>
      </c>
    </row>
    <row r="14" spans="1:17">
      <c r="A14" s="64" t="s">
        <v>269</v>
      </c>
      <c r="B14" s="66">
        <f>B11-B15</f>
        <v>47.146666666666675</v>
      </c>
      <c r="C14" s="66">
        <f>C11-C15</f>
        <v>54.944000000000017</v>
      </c>
      <c r="D14" s="66">
        <f>D11-D15</f>
        <v>84.864000000000019</v>
      </c>
      <c r="E14" s="66">
        <f>E11-E15</f>
        <v>94.699999999999989</v>
      </c>
      <c r="F14" s="66">
        <f>F11-F15</f>
        <v>140.60903999999996</v>
      </c>
      <c r="G14" s="66">
        <v>134.36234239999999</v>
      </c>
      <c r="H14" s="66">
        <v>177.35829196800009</v>
      </c>
      <c r="J14" s="64" t="s">
        <v>336</v>
      </c>
      <c r="K14" s="109">
        <f t="shared" ref="K14:Q14" si="9">K12/B4</f>
        <v>9.5211764705882343E-2</v>
      </c>
      <c r="L14" s="109">
        <f t="shared" si="9"/>
        <v>8.3788235294117649E-2</v>
      </c>
      <c r="M14" s="109">
        <f t="shared" si="9"/>
        <v>7.1796380090497741E-2</v>
      </c>
      <c r="N14" s="109">
        <f t="shared" si="9"/>
        <v>8.0622171945701385E-2</v>
      </c>
      <c r="O14" s="109">
        <f t="shared" si="9"/>
        <v>6.4204792266556968E-2</v>
      </c>
      <c r="P14" s="109">
        <f t="shared" si="9"/>
        <v>4.5573443635827549E-2</v>
      </c>
      <c r="Q14" s="109">
        <f t="shared" si="9"/>
        <v>6.2415918840825625E-2</v>
      </c>
    </row>
    <row r="15" spans="1:17">
      <c r="A15" s="64" t="s">
        <v>272</v>
      </c>
      <c r="B15" s="66">
        <f>B16*B4</f>
        <v>18.58666666666667</v>
      </c>
      <c r="C15" s="66">
        <f t="shared" ref="C15:H15" si="10">C16*C4</f>
        <v>21.216000000000005</v>
      </c>
      <c r="D15" s="66">
        <f t="shared" si="10"/>
        <v>28.288000000000007</v>
      </c>
      <c r="E15" s="66">
        <f t="shared" si="10"/>
        <v>37.900000000000027</v>
      </c>
      <c r="F15" s="66">
        <f t="shared" si="10"/>
        <v>46.091760000000015</v>
      </c>
      <c r="G15" s="66">
        <f t="shared" si="10"/>
        <v>64.405941600000034</v>
      </c>
      <c r="H15" s="66">
        <f t="shared" si="10"/>
        <v>88.236139992000048</v>
      </c>
    </row>
    <row r="16" spans="1:17">
      <c r="A16" s="64" t="s">
        <v>337</v>
      </c>
      <c r="B16" s="111">
        <v>8.2000000000000003E-2</v>
      </c>
      <c r="C16" s="111">
        <v>7.8E-2</v>
      </c>
      <c r="D16" s="111">
        <v>0.08</v>
      </c>
      <c r="E16" s="111">
        <v>8.5746606334841671E-2</v>
      </c>
      <c r="F16" s="111">
        <v>7.9000000000000001E-2</v>
      </c>
      <c r="G16" s="111">
        <v>8.3000000000000004E-2</v>
      </c>
      <c r="H16" s="111">
        <v>8.3000000000000018E-2</v>
      </c>
      <c r="J16" s="68" t="s">
        <v>219</v>
      </c>
    </row>
    <row r="17" spans="1:19">
      <c r="B17" s="66"/>
      <c r="C17" s="66"/>
      <c r="D17" s="66"/>
      <c r="E17" s="67"/>
      <c r="F17" s="66"/>
      <c r="G17" s="66"/>
      <c r="H17" s="66"/>
      <c r="J17" s="64" t="s">
        <v>296</v>
      </c>
      <c r="L17" s="74">
        <f t="shared" ref="L17:Q17" si="11">L4/K4-1</f>
        <v>0.13733681462141001</v>
      </c>
      <c r="M17" s="74">
        <f t="shared" si="11"/>
        <v>0.33581267217630861</v>
      </c>
      <c r="N17" s="74">
        <f t="shared" si="11"/>
        <v>0.34578991423337802</v>
      </c>
      <c r="O17" s="74">
        <f t="shared" si="11"/>
        <v>0.21297250704225323</v>
      </c>
      <c r="P17" s="74">
        <f t="shared" si="11"/>
        <v>0.40560202007760071</v>
      </c>
      <c r="Q17" s="74">
        <f t="shared" si="11"/>
        <v>0.37320522145437263</v>
      </c>
    </row>
    <row r="18" spans="1:19">
      <c r="A18" s="64" t="s">
        <v>283</v>
      </c>
      <c r="B18" s="66">
        <v>1.224</v>
      </c>
      <c r="C18" s="66">
        <v>1.4688000000000001</v>
      </c>
      <c r="D18" s="66">
        <v>1.90944</v>
      </c>
      <c r="E18" s="66">
        <v>2.4</v>
      </c>
      <c r="F18" s="66">
        <v>3.0312359999999998</v>
      </c>
      <c r="G18" s="66">
        <v>3.87998208</v>
      </c>
      <c r="H18" s="66">
        <v>5.1215763456000012</v>
      </c>
      <c r="J18" s="64" t="s">
        <v>330</v>
      </c>
      <c r="K18" s="65"/>
      <c r="L18" s="74">
        <f t="shared" ref="L18:Q18" si="12">L7/K7-1</f>
        <v>5.0512851763709676E-2</v>
      </c>
      <c r="M18" s="74">
        <f t="shared" si="12"/>
        <v>0.10580774219076305</v>
      </c>
      <c r="N18" s="74">
        <f t="shared" si="12"/>
        <v>0.20412999816450461</v>
      </c>
      <c r="O18" s="74">
        <f t="shared" si="12"/>
        <v>0.22061360619088544</v>
      </c>
      <c r="P18" s="74">
        <f t="shared" si="12"/>
        <v>0.34806318965531879</v>
      </c>
      <c r="Q18" s="74">
        <f t="shared" si="12"/>
        <v>0.31734945794918135</v>
      </c>
    </row>
    <row r="19" spans="1:19">
      <c r="B19" s="72"/>
      <c r="C19" s="72"/>
      <c r="D19" s="72"/>
      <c r="E19" s="72"/>
      <c r="F19" s="72"/>
      <c r="G19" s="72"/>
      <c r="H19" s="72"/>
      <c r="N19" s="73"/>
      <c r="R19" s="64" t="s">
        <v>338</v>
      </c>
    </row>
    <row r="20" spans="1:19">
      <c r="B20" s="65"/>
      <c r="C20" s="65"/>
      <c r="D20" s="65"/>
      <c r="F20" s="73"/>
      <c r="G20" s="66"/>
      <c r="H20" s="66"/>
      <c r="O20" s="63">
        <f ca="1">O3</f>
        <v>2025</v>
      </c>
      <c r="P20" s="63">
        <f ca="1">P3</f>
        <v>2026</v>
      </c>
      <c r="Q20" s="63">
        <f ca="1">Q3</f>
        <v>2027</v>
      </c>
      <c r="R20" s="64">
        <v>2026</v>
      </c>
      <c r="S20" s="64" t="s">
        <v>339</v>
      </c>
    </row>
    <row r="21" spans="1:19">
      <c r="A21" s="64" t="s">
        <v>291</v>
      </c>
      <c r="B21" s="66">
        <f t="shared" ref="B21:H21" si="13">B15-B18</f>
        <v>17.362666666666669</v>
      </c>
      <c r="C21" s="66">
        <f t="shared" si="13"/>
        <v>19.747200000000003</v>
      </c>
      <c r="D21" s="66">
        <f t="shared" si="13"/>
        <v>26.378560000000007</v>
      </c>
      <c r="E21" s="66">
        <f t="shared" si="13"/>
        <v>35.500000000000028</v>
      </c>
      <c r="F21" s="66">
        <f t="shared" si="13"/>
        <v>43.060524000000015</v>
      </c>
      <c r="G21" s="66">
        <f t="shared" si="13"/>
        <v>60.525959520000036</v>
      </c>
      <c r="H21" s="66">
        <f t="shared" si="13"/>
        <v>83.114563646400043</v>
      </c>
      <c r="J21" s="64" t="s">
        <v>325</v>
      </c>
      <c r="K21" s="64">
        <v>0.18</v>
      </c>
    </row>
    <row r="22" spans="1:19">
      <c r="A22" s="64" t="s">
        <v>294</v>
      </c>
      <c r="B22" s="66">
        <f t="shared" ref="B22:H22" si="14">0.35*B21</f>
        <v>6.0769333333333337</v>
      </c>
      <c r="C22" s="66">
        <f t="shared" si="14"/>
        <v>6.9115200000000003</v>
      </c>
      <c r="D22" s="66">
        <f t="shared" si="14"/>
        <v>9.2324960000000011</v>
      </c>
      <c r="E22" s="64">
        <f t="shared" si="14"/>
        <v>12.42500000000001</v>
      </c>
      <c r="F22" s="66">
        <f t="shared" si="14"/>
        <v>15.071183400000004</v>
      </c>
      <c r="G22" s="66">
        <f t="shared" si="14"/>
        <v>21.184085832000012</v>
      </c>
      <c r="H22" s="66">
        <f t="shared" si="14"/>
        <v>29.090097276240012</v>
      </c>
      <c r="J22" s="64" t="s">
        <v>340</v>
      </c>
      <c r="O22" s="66">
        <f>O12</f>
        <v>37.459644000000011</v>
      </c>
      <c r="P22" s="66">
        <f>P12</f>
        <v>35.363862040000022</v>
      </c>
      <c r="Q22" s="66">
        <f>Q12</f>
        <v>66.353490994800026</v>
      </c>
      <c r="R22" s="71">
        <f>S22*(H15+Q5)</f>
        <v>957.57432078014915</v>
      </c>
      <c r="S22" s="71">
        <v>9.64945150886909</v>
      </c>
    </row>
    <row r="23" spans="1:19">
      <c r="A23" s="70" t="s">
        <v>296</v>
      </c>
      <c r="B23" s="73">
        <f t="shared" ref="B23:H23" si="15">B21-B22</f>
        <v>11.285733333333337</v>
      </c>
      <c r="C23" s="73">
        <f t="shared" si="15"/>
        <v>12.835680000000004</v>
      </c>
      <c r="D23" s="73">
        <f t="shared" si="15"/>
        <v>17.146064000000006</v>
      </c>
      <c r="E23" s="73">
        <f t="shared" si="15"/>
        <v>23.075000000000017</v>
      </c>
      <c r="F23" s="73">
        <f t="shared" si="15"/>
        <v>27.989340600000013</v>
      </c>
      <c r="G23" s="73">
        <f t="shared" si="15"/>
        <v>39.341873688000021</v>
      </c>
      <c r="H23" s="73">
        <f t="shared" si="15"/>
        <v>54.024466370160027</v>
      </c>
      <c r="J23" s="64" t="s">
        <v>349</v>
      </c>
      <c r="K23" s="66">
        <f>SUM(O23:R23)</f>
        <v>680.33731375149682</v>
      </c>
      <c r="O23" s="66">
        <f>O22/(1+$K$21)^1</f>
        <v>31.745461016949164</v>
      </c>
      <c r="P23" s="66">
        <f>P22/(1+$K$21)^2</f>
        <v>25.397775093363993</v>
      </c>
      <c r="Q23" s="66">
        <f>Q22/(1+$K$21)^3</f>
        <v>40.384783129482585</v>
      </c>
      <c r="R23" s="66">
        <f>R22/(1+$K$21)^3</f>
        <v>582.80929451170107</v>
      </c>
    </row>
    <row r="24" spans="1:19">
      <c r="G24" s="73"/>
      <c r="J24" s="64" t="s">
        <v>341</v>
      </c>
      <c r="K24" s="64">
        <f>30-20</f>
        <v>10</v>
      </c>
      <c r="N24" s="70"/>
    </row>
    <row r="25" spans="1:19">
      <c r="H25" s="73"/>
      <c r="J25" s="64" t="s">
        <v>342</v>
      </c>
      <c r="K25" s="66">
        <f>K23-K24</f>
        <v>670.33731375149682</v>
      </c>
    </row>
    <row r="26" spans="1:19">
      <c r="G26" s="110"/>
      <c r="J26" s="64" t="s">
        <v>343</v>
      </c>
      <c r="K26" s="64">
        <v>50</v>
      </c>
      <c r="N26" s="70"/>
    </row>
    <row r="27" spans="1:19">
      <c r="H27" s="110"/>
      <c r="J27" s="64" t="s">
        <v>344</v>
      </c>
      <c r="K27" s="71">
        <f>K25/K26</f>
        <v>13.406746275029937</v>
      </c>
    </row>
    <row r="28" spans="1:19">
      <c r="J28" s="64" t="s">
        <v>345</v>
      </c>
      <c r="K28" s="64">
        <v>12.15</v>
      </c>
    </row>
    <row r="29" spans="1:19">
      <c r="J29" s="112" t="s">
        <v>66</v>
      </c>
      <c r="K29" s="114">
        <f>K27/K28-1</f>
        <v>0.10343590740987141</v>
      </c>
      <c r="L29" s="64" t="s">
        <v>563</v>
      </c>
    </row>
    <row r="31" spans="1:19">
      <c r="J31" s="68" t="s">
        <v>564</v>
      </c>
      <c r="K31" s="64">
        <v>0.19</v>
      </c>
    </row>
    <row r="32" spans="1:19">
      <c r="J32" s="64" t="s">
        <v>566</v>
      </c>
      <c r="R32" s="71"/>
      <c r="S32" s="71"/>
    </row>
    <row r="33" spans="10:18">
      <c r="J33" s="64" t="s">
        <v>565</v>
      </c>
      <c r="K33" s="71">
        <f>K27*(1+K31)</f>
        <v>15.954028067285623</v>
      </c>
      <c r="O33" s="66"/>
      <c r="P33" s="66"/>
      <c r="Q33" s="66"/>
      <c r="R33" s="66"/>
    </row>
    <row r="34" spans="10:18">
      <c r="J34" s="64" t="s">
        <v>567</v>
      </c>
      <c r="K34" s="111">
        <f>K33/K28-1</f>
        <v>0.31308872981774671</v>
      </c>
      <c r="O34" s="66"/>
      <c r="P34" s="66"/>
      <c r="Q34" s="66"/>
    </row>
    <row r="35" spans="10:18">
      <c r="N35" s="70"/>
    </row>
    <row r="36" spans="10:18">
      <c r="K36" s="66"/>
    </row>
    <row r="37" spans="10:18">
      <c r="N37" s="70"/>
    </row>
    <row r="38" spans="10:18">
      <c r="K38" s="71"/>
    </row>
  </sheetData>
  <mergeCells count="2">
    <mergeCell ref="A1:E1"/>
    <mergeCell ref="J1:N1"/>
  </mergeCells>
  <pageMargins left="0.7" right="0.7" top="0.75" bottom="0.75" header="0.3" footer="0.3"/>
  <pageSetup scale="3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B1:F43"/>
  <sheetViews>
    <sheetView showGridLines="0" zoomScale="80" zoomScaleNormal="80" workbookViewId="0">
      <selection activeCell="T27" sqref="T27"/>
    </sheetView>
  </sheetViews>
  <sheetFormatPr defaultColWidth="9.1796875" defaultRowHeight="14"/>
  <cols>
    <col min="1" max="1" width="8.54296875" style="64" customWidth="1"/>
    <col min="2" max="2" width="9.1796875" style="142" customWidth="1"/>
    <col min="3" max="3" width="22.453125" style="65" customWidth="1"/>
    <col min="4" max="4" width="32.453125" style="64" customWidth="1"/>
    <col min="5" max="5" width="10.81640625" style="64" customWidth="1"/>
    <col min="6" max="6" width="9.54296875" style="64" bestFit="1" customWidth="1"/>
    <col min="7" max="9" width="9.1796875" style="64" customWidth="1"/>
    <col min="10" max="10" width="10.1796875" style="64" bestFit="1" customWidth="1"/>
    <col min="11" max="16" width="9.1796875" style="64" customWidth="1"/>
    <col min="17" max="16384" width="9.1796875" style="64"/>
  </cols>
  <sheetData>
    <row r="1" spans="2:6">
      <c r="B1" s="143"/>
      <c r="C1" s="138"/>
      <c r="D1" s="89"/>
      <c r="E1" s="89"/>
      <c r="F1" s="89"/>
    </row>
    <row r="2" spans="2:6">
      <c r="E2" s="296" t="s">
        <v>350</v>
      </c>
      <c r="F2" s="288"/>
    </row>
    <row r="3" spans="2:6">
      <c r="B3" s="143" t="s">
        <v>351</v>
      </c>
      <c r="C3" s="138"/>
      <c r="D3" s="89"/>
      <c r="E3" s="139" t="s">
        <v>0</v>
      </c>
      <c r="F3" s="139" t="s">
        <v>1</v>
      </c>
    </row>
    <row r="4" spans="2:6" ht="14.5">
      <c r="C4" s="297"/>
      <c r="D4" s="285"/>
      <c r="E4" s="285"/>
      <c r="F4" s="285"/>
    </row>
    <row r="5" spans="2:6">
      <c r="B5" s="144">
        <v>1</v>
      </c>
      <c r="C5" s="65" t="s">
        <v>352</v>
      </c>
      <c r="D5" s="64" t="s">
        <v>235</v>
      </c>
      <c r="E5" s="64">
        <v>200</v>
      </c>
      <c r="F5" s="64">
        <v>200</v>
      </c>
    </row>
    <row r="6" spans="2:6">
      <c r="B6" s="144">
        <f>B5+1</f>
        <v>2</v>
      </c>
      <c r="C6" s="65" t="s">
        <v>232</v>
      </c>
      <c r="D6" s="64" t="s">
        <v>353</v>
      </c>
      <c r="E6" s="64">
        <v>20</v>
      </c>
      <c r="F6" s="64">
        <v>20</v>
      </c>
    </row>
    <row r="7" spans="2:6">
      <c r="B7" s="144">
        <f>B6+1</f>
        <v>3</v>
      </c>
      <c r="D7" s="140" t="s">
        <v>316</v>
      </c>
      <c r="E7" s="140">
        <v>0</v>
      </c>
      <c r="F7" s="140">
        <v>100</v>
      </c>
    </row>
    <row r="8" spans="2:6">
      <c r="B8" s="144">
        <f>B7+1</f>
        <v>4</v>
      </c>
      <c r="C8" s="138"/>
      <c r="D8" s="89" t="s">
        <v>354</v>
      </c>
      <c r="E8" s="89">
        <f>E5-E7</f>
        <v>200</v>
      </c>
      <c r="F8" s="89">
        <f>F5-F7</f>
        <v>100</v>
      </c>
    </row>
    <row r="9" spans="2:6">
      <c r="B9" s="144"/>
    </row>
    <row r="10" spans="2:6">
      <c r="B10" s="144">
        <f>B8+1</f>
        <v>5</v>
      </c>
      <c r="C10" s="65" t="s">
        <v>355</v>
      </c>
      <c r="D10" s="64" t="s">
        <v>356</v>
      </c>
      <c r="E10" s="64">
        <v>190</v>
      </c>
      <c r="F10" s="64">
        <v>190</v>
      </c>
    </row>
    <row r="11" spans="2:6">
      <c r="B11" s="144">
        <f t="shared" ref="B11:B16" si="0">B10+1</f>
        <v>6</v>
      </c>
      <c r="C11" s="65" t="s">
        <v>357</v>
      </c>
      <c r="D11" s="64" t="s">
        <v>358</v>
      </c>
      <c r="E11" s="64">
        <v>155</v>
      </c>
      <c r="F11" s="64">
        <v>155</v>
      </c>
    </row>
    <row r="12" spans="2:6">
      <c r="B12" s="144">
        <f t="shared" si="0"/>
        <v>7</v>
      </c>
      <c r="D12" s="64" t="s">
        <v>272</v>
      </c>
      <c r="E12" s="64">
        <f>E10-E11</f>
        <v>35</v>
      </c>
      <c r="F12" s="64">
        <f>F10-F11</f>
        <v>35</v>
      </c>
    </row>
    <row r="13" spans="2:6">
      <c r="B13" s="144">
        <f t="shared" si="0"/>
        <v>8</v>
      </c>
      <c r="D13" s="64" t="s">
        <v>332</v>
      </c>
      <c r="E13" s="71">
        <f>E7*E42-E43*E6</f>
        <v>-0.4</v>
      </c>
      <c r="F13" s="71">
        <f>F7*F42-F43*F6</f>
        <v>5.6</v>
      </c>
    </row>
    <row r="14" spans="2:6">
      <c r="B14" s="144">
        <f t="shared" si="0"/>
        <v>9</v>
      </c>
      <c r="D14" s="64" t="s">
        <v>334</v>
      </c>
      <c r="E14" s="64">
        <v>0.35</v>
      </c>
      <c r="F14" s="64">
        <v>0.35</v>
      </c>
    </row>
    <row r="15" spans="2:6">
      <c r="B15" s="144">
        <f t="shared" si="0"/>
        <v>10</v>
      </c>
      <c r="D15" s="64" t="s">
        <v>359</v>
      </c>
      <c r="E15" s="64">
        <f>E14*(E12-E13)</f>
        <v>12.389999999999999</v>
      </c>
      <c r="F15" s="71">
        <f>F14*(F12-F13)</f>
        <v>10.29</v>
      </c>
    </row>
    <row r="16" spans="2:6">
      <c r="B16" s="144">
        <f t="shared" si="0"/>
        <v>11</v>
      </c>
      <c r="C16" s="138"/>
      <c r="D16" s="89" t="s">
        <v>296</v>
      </c>
      <c r="E16" s="141">
        <f>E12-E13-E15</f>
        <v>23.009999999999998</v>
      </c>
      <c r="F16" s="141">
        <f>F12-F13-F15</f>
        <v>19.11</v>
      </c>
    </row>
    <row r="17" spans="2:6">
      <c r="B17" s="144"/>
    </row>
    <row r="18" spans="2:6">
      <c r="B18" s="144">
        <f>B16+1</f>
        <v>12</v>
      </c>
      <c r="C18" s="65" t="s">
        <v>360</v>
      </c>
      <c r="D18" s="64" t="s">
        <v>296</v>
      </c>
      <c r="E18" s="64">
        <f>E16</f>
        <v>23.009999999999998</v>
      </c>
      <c r="F18" s="64">
        <f>F16</f>
        <v>19.11</v>
      </c>
    </row>
    <row r="19" spans="2:6">
      <c r="B19" s="144">
        <f>B18+1</f>
        <v>13</v>
      </c>
      <c r="C19" s="65" t="s">
        <v>361</v>
      </c>
      <c r="D19" s="64" t="s">
        <v>362</v>
      </c>
      <c r="E19" s="64">
        <v>5</v>
      </c>
      <c r="F19" s="64">
        <v>5</v>
      </c>
    </row>
    <row r="20" spans="2:6">
      <c r="B20" s="144">
        <f>B19+1</f>
        <v>14</v>
      </c>
      <c r="D20" s="146" t="s">
        <v>486</v>
      </c>
      <c r="E20" s="64">
        <v>2</v>
      </c>
      <c r="F20" s="64">
        <v>2</v>
      </c>
    </row>
    <row r="21" spans="2:6">
      <c r="B21" s="144">
        <f>B20+1</f>
        <v>15</v>
      </c>
      <c r="D21" s="64" t="s">
        <v>363</v>
      </c>
      <c r="E21" s="64">
        <f>E18+E19-E20</f>
        <v>26.009999999999998</v>
      </c>
      <c r="F21" s="64">
        <f>F18+F19-F20</f>
        <v>22.11</v>
      </c>
    </row>
    <row r="22" spans="2:6">
      <c r="B22" s="144">
        <f>B21+1</f>
        <v>16</v>
      </c>
      <c r="C22" s="138"/>
      <c r="D22" s="145" t="s">
        <v>487</v>
      </c>
      <c r="E22" s="89">
        <v>5</v>
      </c>
      <c r="F22" s="89">
        <v>5</v>
      </c>
    </row>
    <row r="23" spans="2:6">
      <c r="B23" s="144"/>
    </row>
    <row r="24" spans="2:6">
      <c r="B24" s="144">
        <f>B22+1</f>
        <v>17</v>
      </c>
      <c r="C24" s="65" t="s">
        <v>364</v>
      </c>
      <c r="D24" s="64" t="s">
        <v>310</v>
      </c>
      <c r="E24" s="64">
        <f>E21+E13*(1-E14)-E22</f>
        <v>20.749999999999996</v>
      </c>
      <c r="F24" s="64">
        <f>F21+F13*(1-F14)-F22</f>
        <v>20.75</v>
      </c>
    </row>
    <row r="25" spans="2:6">
      <c r="B25" s="144">
        <f>B24+1</f>
        <v>18</v>
      </c>
      <c r="C25" s="65" t="s">
        <v>365</v>
      </c>
      <c r="D25" s="64" t="s">
        <v>366</v>
      </c>
      <c r="E25" s="64">
        <f>E24/E40</f>
        <v>207.49999999999994</v>
      </c>
      <c r="F25" s="64">
        <f>F24/F40</f>
        <v>207.5</v>
      </c>
    </row>
    <row r="26" spans="2:6">
      <c r="B26" s="144">
        <f>B25+1</f>
        <v>19</v>
      </c>
      <c r="D26" s="64" t="s">
        <v>367</v>
      </c>
      <c r="E26" s="64">
        <f>E25-E7+E6</f>
        <v>227.49999999999994</v>
      </c>
      <c r="F26" s="64">
        <f>F25-F7+F6</f>
        <v>127.5</v>
      </c>
    </row>
    <row r="27" spans="2:6">
      <c r="B27" s="144">
        <f>B26+1</f>
        <v>20</v>
      </c>
      <c r="D27" s="64" t="s">
        <v>314</v>
      </c>
      <c r="E27" s="64">
        <f>E24-(E42*E7)*(1-E14)</f>
        <v>20.749999999999996</v>
      </c>
      <c r="F27" s="64">
        <f>F24-(F42*F7)*(1-F14)</f>
        <v>16.850000000000001</v>
      </c>
    </row>
    <row r="28" spans="2:6">
      <c r="B28" s="144">
        <f>B27+1</f>
        <v>21</v>
      </c>
      <c r="C28" s="138"/>
      <c r="D28" s="89" t="s">
        <v>368</v>
      </c>
      <c r="E28" s="155">
        <f>E27/E41+E6</f>
        <v>227.49999999999994</v>
      </c>
      <c r="F28" s="155">
        <f>F27/F41+F6</f>
        <v>127.49999999999999</v>
      </c>
    </row>
    <row r="29" spans="2:6">
      <c r="B29" s="144"/>
    </row>
    <row r="30" spans="2:6">
      <c r="B30" s="144">
        <f>B28+1</f>
        <v>22</v>
      </c>
      <c r="C30" s="65" t="s">
        <v>369</v>
      </c>
      <c r="D30" s="64" t="s">
        <v>370</v>
      </c>
      <c r="E30" s="71">
        <f>E16/E10</f>
        <v>0.12110526315789473</v>
      </c>
      <c r="F30" s="71">
        <f>F16/F10</f>
        <v>0.10057894736842105</v>
      </c>
    </row>
    <row r="31" spans="2:6">
      <c r="B31" s="144">
        <f t="shared" ref="B31:B38" si="1">B30+1</f>
        <v>23</v>
      </c>
      <c r="C31" s="65" t="s">
        <v>371</v>
      </c>
      <c r="D31" s="64" t="s">
        <v>372</v>
      </c>
      <c r="E31" s="64">
        <f>E10/E5</f>
        <v>0.95</v>
      </c>
      <c r="F31" s="64">
        <f>F10/F5</f>
        <v>0.95</v>
      </c>
    </row>
    <row r="32" spans="2:6">
      <c r="B32" s="144">
        <f t="shared" si="1"/>
        <v>24</v>
      </c>
      <c r="D32" s="64" t="s">
        <v>373</v>
      </c>
      <c r="E32" s="64">
        <f>E5/E8</f>
        <v>1</v>
      </c>
      <c r="F32" s="64">
        <f>F5/F8</f>
        <v>2</v>
      </c>
    </row>
    <row r="33" spans="2:6">
      <c r="B33" s="144">
        <f t="shared" si="1"/>
        <v>25</v>
      </c>
      <c r="D33" s="64" t="s">
        <v>374</v>
      </c>
      <c r="E33" s="71">
        <f>E30*E31*E32</f>
        <v>0.11504999999999999</v>
      </c>
      <c r="F33" s="71">
        <f>F30*F31*F32</f>
        <v>0.19109999999999996</v>
      </c>
    </row>
    <row r="34" spans="2:6">
      <c r="B34" s="144">
        <f t="shared" si="1"/>
        <v>26</v>
      </c>
      <c r="D34" s="64" t="s">
        <v>375</v>
      </c>
      <c r="E34" s="71">
        <f>E26/E18</f>
        <v>9.8870056497175121</v>
      </c>
      <c r="F34" s="71">
        <f>F26/F18</f>
        <v>6.6718995290423866</v>
      </c>
    </row>
    <row r="35" spans="2:6">
      <c r="B35" s="144">
        <f t="shared" si="1"/>
        <v>27</v>
      </c>
      <c r="D35" s="64" t="s">
        <v>376</v>
      </c>
      <c r="E35" s="71">
        <f>E26/E8</f>
        <v>1.1374999999999997</v>
      </c>
      <c r="F35" s="71">
        <f>F26/F8</f>
        <v>1.2749999999999999</v>
      </c>
    </row>
    <row r="36" spans="2:6">
      <c r="B36" s="144">
        <f t="shared" si="1"/>
        <v>28</v>
      </c>
      <c r="D36" s="64" t="s">
        <v>377</v>
      </c>
      <c r="E36" s="111">
        <f>E18/E5</f>
        <v>0.11504999999999999</v>
      </c>
      <c r="F36" s="111">
        <f>F18/F5</f>
        <v>9.5549999999999996E-2</v>
      </c>
    </row>
    <row r="37" spans="2:6">
      <c r="B37" s="144">
        <f t="shared" si="1"/>
        <v>29</v>
      </c>
      <c r="D37" s="64" t="s">
        <v>378</v>
      </c>
      <c r="E37" s="111">
        <f>E27/E26</f>
        <v>9.1208791208791218E-2</v>
      </c>
      <c r="F37" s="111">
        <f>F27/F26</f>
        <v>0.13215686274509805</v>
      </c>
    </row>
    <row r="38" spans="2:6">
      <c r="B38" s="144">
        <f t="shared" si="1"/>
        <v>30</v>
      </c>
      <c r="C38" s="138"/>
      <c r="D38" s="89" t="s">
        <v>339</v>
      </c>
      <c r="E38" s="141">
        <f>E25/(E12+E19)</f>
        <v>5.1874999999999982</v>
      </c>
      <c r="F38" s="141">
        <f>F25/(F12+F19)</f>
        <v>5.1875</v>
      </c>
    </row>
    <row r="39" spans="2:6">
      <c r="B39" s="144"/>
    </row>
    <row r="40" spans="2:6">
      <c r="B40" s="144">
        <f>B38+1</f>
        <v>31</v>
      </c>
      <c r="C40" s="65" t="s">
        <v>379</v>
      </c>
      <c r="D40" s="64" t="s">
        <v>380</v>
      </c>
      <c r="E40" s="71">
        <v>0.1</v>
      </c>
      <c r="F40" s="71">
        <v>0.1</v>
      </c>
    </row>
    <row r="41" spans="2:6">
      <c r="B41" s="144">
        <f>B40+1</f>
        <v>32</v>
      </c>
      <c r="C41" s="65" t="s">
        <v>381</v>
      </c>
      <c r="D41" s="64" t="s">
        <v>382</v>
      </c>
      <c r="E41" s="71">
        <v>0.1</v>
      </c>
      <c r="F41" s="71">
        <f>(F25)/(F26-F6)*0.1-(F7/(F26-F6))*0.06*(1-0.35)</f>
        <v>0.15674418604651166</v>
      </c>
    </row>
    <row r="42" spans="2:6">
      <c r="B42" s="144">
        <f>B41+1</f>
        <v>33</v>
      </c>
      <c r="D42" s="64" t="s">
        <v>383</v>
      </c>
      <c r="E42" s="71">
        <v>0.06</v>
      </c>
      <c r="F42" s="71">
        <v>0.06</v>
      </c>
    </row>
    <row r="43" spans="2:6">
      <c r="B43" s="144">
        <v>34</v>
      </c>
      <c r="C43" s="138"/>
      <c r="D43" s="89" t="s">
        <v>384</v>
      </c>
      <c r="E43" s="89">
        <v>0.02</v>
      </c>
      <c r="F43" s="89">
        <v>0.02</v>
      </c>
    </row>
  </sheetData>
  <mergeCells count="2">
    <mergeCell ref="E2:F2"/>
    <mergeCell ref="C4:F4"/>
  </mergeCells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O40"/>
  <sheetViews>
    <sheetView workbookViewId="0">
      <selection activeCell="I5" sqref="I5"/>
    </sheetView>
  </sheetViews>
  <sheetFormatPr defaultRowHeight="14.5"/>
  <cols>
    <col min="2" max="2" width="16" bestFit="1" customWidth="1"/>
    <col min="3" max="3" width="11.81640625" customWidth="1"/>
    <col min="4" max="4" width="3.54296875" customWidth="1"/>
    <col min="5" max="5" width="16" bestFit="1" customWidth="1"/>
    <col min="6" max="6" width="14.1796875" customWidth="1"/>
    <col min="7" max="7" width="14.54296875" customWidth="1"/>
    <col min="8" max="8" width="12.54296875" bestFit="1" customWidth="1"/>
    <col min="9" max="9" width="13.453125" bestFit="1" customWidth="1"/>
    <col min="11" max="11" width="27" bestFit="1" customWidth="1"/>
    <col min="12" max="12" width="12" bestFit="1" customWidth="1"/>
    <col min="13" max="15" width="11.54296875" bestFit="1" customWidth="1"/>
    <col min="18" max="18" width="12.54296875" bestFit="1" customWidth="1"/>
    <col min="19" max="19" width="14.54296875" bestFit="1" customWidth="1"/>
    <col min="22" max="23" width="12.54296875" bestFit="1" customWidth="1"/>
  </cols>
  <sheetData>
    <row r="1" spans="1:15">
      <c r="A1" t="s">
        <v>64</v>
      </c>
    </row>
    <row r="2" spans="1:15">
      <c r="A2">
        <v>5.0000000000000001E-3</v>
      </c>
      <c r="C2" t="s">
        <v>228</v>
      </c>
      <c r="E2" s="274" t="s">
        <v>60</v>
      </c>
      <c r="F2" s="275"/>
      <c r="G2" s="275"/>
      <c r="H2" s="275"/>
      <c r="I2" s="275"/>
    </row>
    <row r="3" spans="1:15">
      <c r="A3" t="s">
        <v>210</v>
      </c>
      <c r="B3" t="s">
        <v>385</v>
      </c>
      <c r="C3" t="s">
        <v>386</v>
      </c>
      <c r="E3" t="s">
        <v>385</v>
      </c>
      <c r="F3" t="s">
        <v>386</v>
      </c>
      <c r="G3" t="s">
        <v>386</v>
      </c>
      <c r="H3" t="s">
        <v>386</v>
      </c>
      <c r="I3" t="s">
        <v>386</v>
      </c>
    </row>
    <row r="4" spans="1:15">
      <c r="F4" t="s">
        <v>387</v>
      </c>
      <c r="G4" t="s">
        <v>388</v>
      </c>
      <c r="H4" t="s">
        <v>389</v>
      </c>
      <c r="I4" t="s">
        <v>390</v>
      </c>
      <c r="L4" t="s">
        <v>190</v>
      </c>
    </row>
    <row r="5" spans="1:15">
      <c r="A5" t="s">
        <v>391</v>
      </c>
      <c r="B5">
        <v>9.4903467723052026E-2</v>
      </c>
      <c r="C5">
        <v>0.12576632861455439</v>
      </c>
      <c r="E5">
        <f t="shared" ref="E5:E40" si="0">B5-$A$2</f>
        <v>8.9903467723052022E-2</v>
      </c>
      <c r="F5">
        <f t="shared" ref="F5:F40" si="1">C5-$A$2</f>
        <v>0.12076632861455439</v>
      </c>
      <c r="G5">
        <f t="shared" ref="G5:G40" si="2">1.2*C5+(1-1.2)*$A$2-$A$2</f>
        <v>0.14491959433746526</v>
      </c>
      <c r="H5">
        <f t="shared" ref="H5:H40" si="3">1.6*C5+(1-1.6)*$A$2-$A$2</f>
        <v>0.19322612578328702</v>
      </c>
      <c r="I5">
        <f t="shared" ref="I5:I40" si="4">2*C5+(1-2)*$A$2-$A$2</f>
        <v>0.24153265722910877</v>
      </c>
      <c r="L5" t="s">
        <v>392</v>
      </c>
      <c r="M5" t="s">
        <v>393</v>
      </c>
      <c r="N5" t="s">
        <v>394</v>
      </c>
      <c r="O5" t="s">
        <v>395</v>
      </c>
    </row>
    <row r="6" spans="1:15">
      <c r="A6" t="s">
        <v>396</v>
      </c>
      <c r="B6">
        <v>6.7314161949761919E-2</v>
      </c>
      <c r="C6">
        <v>9.0201800225622727E-2</v>
      </c>
      <c r="E6">
        <f t="shared" si="0"/>
        <v>6.2314161949761922E-2</v>
      </c>
      <c r="F6">
        <f t="shared" si="1"/>
        <v>8.5201800225622723E-2</v>
      </c>
      <c r="G6">
        <f t="shared" si="2"/>
        <v>0.10224216027074727</v>
      </c>
      <c r="H6">
        <f t="shared" si="3"/>
        <v>0.13632288036099635</v>
      </c>
      <c r="I6">
        <f t="shared" si="4"/>
        <v>0.17040360045124545</v>
      </c>
      <c r="L6">
        <f>INTERCEPT(F5:F40,$E$5:$E$40)</f>
        <v>1.409719292676604E-2</v>
      </c>
      <c r="M6">
        <f>INTERCEPT(G5:G40,$E$5:$E$40)</f>
        <v>1.6916631512119251E-2</v>
      </c>
      <c r="N6">
        <f>INTERCEPT(H5:H40,$E$5:$E$40)</f>
        <v>2.2555508682825666E-2</v>
      </c>
      <c r="O6">
        <f>INTERCEPT(I5:I40,$E$5:$E$40)</f>
        <v>2.8194385853532081E-2</v>
      </c>
    </row>
    <row r="7" spans="1:15">
      <c r="A7" t="s">
        <v>397</v>
      </c>
      <c r="B7">
        <v>-1.093221382892807E-2</v>
      </c>
      <c r="C7">
        <v>-6.2743964059336606E-3</v>
      </c>
      <c r="E7">
        <f t="shared" si="0"/>
        <v>-1.5932213828928069E-2</v>
      </c>
      <c r="F7">
        <f t="shared" si="1"/>
        <v>-1.1274396405933661E-2</v>
      </c>
      <c r="G7">
        <f t="shared" si="2"/>
        <v>-1.3529275687120392E-2</v>
      </c>
      <c r="H7">
        <f t="shared" si="3"/>
        <v>-1.8039034249493859E-2</v>
      </c>
      <c r="I7">
        <f t="shared" si="4"/>
        <v>-2.2548792811867321E-2</v>
      </c>
      <c r="K7" t="s">
        <v>398</v>
      </c>
      <c r="L7">
        <v>1</v>
      </c>
      <c r="M7">
        <v>1.2</v>
      </c>
      <c r="N7">
        <v>1.6</v>
      </c>
      <c r="O7">
        <v>2</v>
      </c>
    </row>
    <row r="8" spans="1:15">
      <c r="A8" t="s">
        <v>399</v>
      </c>
      <c r="B8">
        <v>0.14445969671010969</v>
      </c>
      <c r="C8">
        <v>0.15350684925069799</v>
      </c>
      <c r="E8">
        <f t="shared" si="0"/>
        <v>0.13945969671010969</v>
      </c>
      <c r="F8">
        <f t="shared" si="1"/>
        <v>0.14850684925069799</v>
      </c>
      <c r="G8">
        <f t="shared" si="2"/>
        <v>0.17820821910083759</v>
      </c>
      <c r="H8">
        <f t="shared" si="3"/>
        <v>0.2376109588011168</v>
      </c>
      <c r="I8">
        <f t="shared" si="4"/>
        <v>0.29701369850139597</v>
      </c>
      <c r="K8" t="s">
        <v>400</v>
      </c>
      <c r="L8">
        <f>L7*$L$6</f>
        <v>1.409719292676604E-2</v>
      </c>
      <c r="M8">
        <f>M7*$L$6</f>
        <v>1.6916631512119248E-2</v>
      </c>
      <c r="N8">
        <f>N7*$L$6</f>
        <v>2.2555508682825666E-2</v>
      </c>
      <c r="O8">
        <f>O7*$L$6</f>
        <v>2.8194385853532081E-2</v>
      </c>
    </row>
    <row r="9" spans="1:15">
      <c r="A9" t="s">
        <v>401</v>
      </c>
      <c r="B9">
        <v>6.7659303820400973E-2</v>
      </c>
      <c r="C9">
        <v>6.731826551404084E-2</v>
      </c>
      <c r="E9">
        <f t="shared" si="0"/>
        <v>6.2659303820400969E-2</v>
      </c>
      <c r="F9">
        <f t="shared" si="1"/>
        <v>6.2318265514040842E-2</v>
      </c>
      <c r="G9">
        <f t="shared" si="2"/>
        <v>7.4781918616849005E-2</v>
      </c>
      <c r="H9">
        <f t="shared" si="3"/>
        <v>9.9709224822465345E-2</v>
      </c>
      <c r="I9">
        <f t="shared" si="4"/>
        <v>0.12463653102808167</v>
      </c>
    </row>
    <row r="10" spans="1:15">
      <c r="A10" t="s">
        <v>402</v>
      </c>
      <c r="B10">
        <v>-9.9430266093113479E-2</v>
      </c>
      <c r="C10">
        <v>-9.1959586193843298E-2</v>
      </c>
      <c r="E10">
        <f t="shared" si="0"/>
        <v>-0.10443026609311348</v>
      </c>
      <c r="F10">
        <f t="shared" si="1"/>
        <v>-9.6959586193843303E-2</v>
      </c>
      <c r="G10">
        <f t="shared" si="2"/>
        <v>-0.11635150343261196</v>
      </c>
      <c r="H10">
        <f t="shared" si="3"/>
        <v>-0.1551353379101493</v>
      </c>
      <c r="I10">
        <f t="shared" si="4"/>
        <v>-0.19391917238768661</v>
      </c>
    </row>
    <row r="11" spans="1:15">
      <c r="A11" t="s">
        <v>403</v>
      </c>
      <c r="B11">
        <v>-0.1081965672003571</v>
      </c>
      <c r="C11">
        <v>-8.9811041385110021E-2</v>
      </c>
      <c r="E11">
        <f t="shared" si="0"/>
        <v>-0.1131965672003571</v>
      </c>
      <c r="F11">
        <f t="shared" si="1"/>
        <v>-9.4811041385110026E-2</v>
      </c>
      <c r="G11">
        <f t="shared" si="2"/>
        <v>-0.11377324966213202</v>
      </c>
      <c r="H11">
        <f t="shared" si="3"/>
        <v>-0.15169766621617606</v>
      </c>
      <c r="I11">
        <f t="shared" si="4"/>
        <v>-0.18962208277022005</v>
      </c>
    </row>
    <row r="12" spans="1:15">
      <c r="A12" t="s">
        <v>404</v>
      </c>
      <c r="B12">
        <v>-2.0305716336442861E-2</v>
      </c>
      <c r="C12">
        <v>3.9990738463529796E-3</v>
      </c>
      <c r="E12">
        <f t="shared" si="0"/>
        <v>-2.5305716336442862E-2</v>
      </c>
      <c r="F12">
        <f t="shared" si="1"/>
        <v>-1.0009261536470205E-3</v>
      </c>
      <c r="G12">
        <f t="shared" si="2"/>
        <v>-1.2011113843764252E-3</v>
      </c>
      <c r="H12">
        <f t="shared" si="3"/>
        <v>-1.6014818458352331E-3</v>
      </c>
      <c r="I12">
        <f t="shared" si="4"/>
        <v>-2.0018523072940411E-3</v>
      </c>
    </row>
    <row r="13" spans="1:15">
      <c r="A13" t="s">
        <v>405</v>
      </c>
      <c r="B13">
        <v>6.6599943945766429E-3</v>
      </c>
      <c r="C13">
        <v>1.363904693280347E-2</v>
      </c>
      <c r="E13">
        <f t="shared" si="0"/>
        <v>1.6599943945766428E-3</v>
      </c>
      <c r="F13">
        <f t="shared" si="1"/>
        <v>8.6390469328034708E-3</v>
      </c>
      <c r="G13">
        <f t="shared" si="2"/>
        <v>1.0366856319364164E-2</v>
      </c>
      <c r="H13">
        <f t="shared" si="3"/>
        <v>1.3822475092485555E-2</v>
      </c>
      <c r="I13">
        <f t="shared" si="4"/>
        <v>1.7278093865606938E-2</v>
      </c>
    </row>
    <row r="14" spans="1:15">
      <c r="A14" t="s">
        <v>406</v>
      </c>
      <c r="B14">
        <v>-3.5069862153468433E-2</v>
      </c>
      <c r="C14">
        <v>-3.4505225635803077E-2</v>
      </c>
      <c r="E14">
        <f t="shared" si="0"/>
        <v>-4.006986215346843E-2</v>
      </c>
      <c r="F14">
        <f t="shared" si="1"/>
        <v>-3.9505225635803075E-2</v>
      </c>
      <c r="G14">
        <f t="shared" si="2"/>
        <v>-4.7406270762963693E-2</v>
      </c>
      <c r="H14">
        <f t="shared" si="3"/>
        <v>-6.3208361017284928E-2</v>
      </c>
      <c r="I14">
        <f t="shared" si="4"/>
        <v>-7.9010451271606164E-2</v>
      </c>
    </row>
    <row r="15" spans="1:15">
      <c r="A15" t="s">
        <v>407</v>
      </c>
      <c r="B15">
        <v>0.1983148797787726</v>
      </c>
      <c r="C15">
        <v>0.20417277546075641</v>
      </c>
      <c r="E15">
        <f t="shared" si="0"/>
        <v>0.1933148797787726</v>
      </c>
      <c r="F15">
        <f t="shared" si="1"/>
        <v>0.1991727754607564</v>
      </c>
      <c r="G15">
        <f t="shared" si="2"/>
        <v>0.23900733055290768</v>
      </c>
      <c r="H15">
        <f t="shared" si="3"/>
        <v>0.31867644073721024</v>
      </c>
      <c r="I15">
        <f t="shared" si="4"/>
        <v>0.3983455509215128</v>
      </c>
    </row>
    <row r="16" spans="1:15">
      <c r="A16" t="s">
        <v>408</v>
      </c>
      <c r="B16">
        <v>7.6913116825162428E-2</v>
      </c>
      <c r="C16">
        <v>0.1098261606734013</v>
      </c>
      <c r="E16">
        <f t="shared" si="0"/>
        <v>7.1913116825162424E-2</v>
      </c>
      <c r="F16">
        <f t="shared" si="1"/>
        <v>0.10482616067340129</v>
      </c>
      <c r="G16">
        <f t="shared" si="2"/>
        <v>0.12579139280808155</v>
      </c>
      <c r="H16">
        <f t="shared" si="3"/>
        <v>0.16772185707744208</v>
      </c>
      <c r="I16">
        <f t="shared" si="4"/>
        <v>0.20965232134680259</v>
      </c>
    </row>
    <row r="17" spans="1:9">
      <c r="A17" t="s">
        <v>409</v>
      </c>
      <c r="B17">
        <v>0.10281125130655711</v>
      </c>
      <c r="C17">
        <v>0.1111087983139441</v>
      </c>
      <c r="E17">
        <f t="shared" si="0"/>
        <v>9.7811251306557101E-2</v>
      </c>
      <c r="F17">
        <f t="shared" si="1"/>
        <v>0.1061087983139441</v>
      </c>
      <c r="G17">
        <f t="shared" si="2"/>
        <v>0.1273305579767329</v>
      </c>
      <c r="H17">
        <f t="shared" si="3"/>
        <v>0.16977407730231056</v>
      </c>
      <c r="I17">
        <f t="shared" si="4"/>
        <v>0.21221759662788819</v>
      </c>
    </row>
    <row r="18" spans="1:9">
      <c r="A18" t="s">
        <v>410</v>
      </c>
      <c r="B18">
        <v>-2.522985707604675E-2</v>
      </c>
      <c r="C18">
        <v>-2.021681375990738E-2</v>
      </c>
      <c r="E18">
        <f t="shared" si="0"/>
        <v>-3.0229857076046751E-2</v>
      </c>
      <c r="F18">
        <f t="shared" si="1"/>
        <v>-2.5216813759907381E-2</v>
      </c>
      <c r="G18">
        <f t="shared" si="2"/>
        <v>-3.0260176511888857E-2</v>
      </c>
      <c r="H18">
        <f t="shared" si="3"/>
        <v>-4.034690201585181E-2</v>
      </c>
      <c r="I18">
        <f t="shared" si="4"/>
        <v>-5.0433627519814755E-2</v>
      </c>
    </row>
    <row r="19" spans="1:9">
      <c r="A19" t="s">
        <v>411</v>
      </c>
      <c r="B19">
        <v>2.9263723061158091E-2</v>
      </c>
      <c r="C19">
        <v>4.6080961687403027E-2</v>
      </c>
      <c r="E19">
        <f t="shared" si="0"/>
        <v>2.426372306115809E-2</v>
      </c>
      <c r="F19">
        <f t="shared" si="1"/>
        <v>4.108096168740303E-2</v>
      </c>
      <c r="G19">
        <f t="shared" si="2"/>
        <v>4.9297154024883633E-2</v>
      </c>
      <c r="H19">
        <f t="shared" si="3"/>
        <v>6.5729538699844839E-2</v>
      </c>
      <c r="I19">
        <f t="shared" si="4"/>
        <v>8.2161923374806045E-2</v>
      </c>
    </row>
    <row r="20" spans="1:9">
      <c r="A20" t="s">
        <v>412</v>
      </c>
      <c r="B20">
        <v>1.3779689450311709E-2</v>
      </c>
      <c r="C20">
        <v>1.4219588769628901E-2</v>
      </c>
      <c r="E20">
        <f t="shared" si="0"/>
        <v>8.7796894503117083E-3</v>
      </c>
      <c r="F20">
        <f t="shared" si="1"/>
        <v>9.2195887696288996E-3</v>
      </c>
      <c r="G20">
        <f t="shared" si="2"/>
        <v>1.106350652355468E-2</v>
      </c>
      <c r="H20">
        <f t="shared" si="3"/>
        <v>1.4751342031406243E-2</v>
      </c>
      <c r="I20">
        <f t="shared" si="4"/>
        <v>1.8439177539257799E-2</v>
      </c>
    </row>
    <row r="21" spans="1:9">
      <c r="A21" t="s">
        <v>413</v>
      </c>
      <c r="B21">
        <v>9.2260112321819188E-2</v>
      </c>
      <c r="C21">
        <v>0.1049088638814283</v>
      </c>
      <c r="E21">
        <f t="shared" si="0"/>
        <v>8.7260112321819183E-2</v>
      </c>
      <c r="F21">
        <f t="shared" si="1"/>
        <v>9.9908863881428292E-2</v>
      </c>
      <c r="G21">
        <f t="shared" si="2"/>
        <v>0.11989063665771393</v>
      </c>
      <c r="H21">
        <f t="shared" si="3"/>
        <v>0.15985418221028527</v>
      </c>
      <c r="I21">
        <f t="shared" si="4"/>
        <v>0.19981772776285658</v>
      </c>
    </row>
    <row r="22" spans="1:9">
      <c r="A22" t="s">
        <v>414</v>
      </c>
      <c r="B22">
        <v>-1.2883693873154699E-2</v>
      </c>
      <c r="C22">
        <v>-5.3704268844740038E-3</v>
      </c>
      <c r="E22">
        <f t="shared" si="0"/>
        <v>-1.78836938731547E-2</v>
      </c>
      <c r="F22">
        <f t="shared" si="1"/>
        <v>-1.0370426884474003E-2</v>
      </c>
      <c r="G22">
        <f t="shared" si="2"/>
        <v>-1.2444512261368805E-2</v>
      </c>
      <c r="H22">
        <f t="shared" si="3"/>
        <v>-1.6592683015158406E-2</v>
      </c>
      <c r="I22">
        <f t="shared" si="4"/>
        <v>-2.074085376894801E-2</v>
      </c>
    </row>
    <row r="23" spans="1:9">
      <c r="A23" t="s">
        <v>415</v>
      </c>
      <c r="B23">
        <v>-7.5217175183061064E-2</v>
      </c>
      <c r="C23">
        <v>-5.1677793003909768E-2</v>
      </c>
      <c r="E23">
        <f t="shared" si="0"/>
        <v>-8.0217175183061068E-2</v>
      </c>
      <c r="F23">
        <f t="shared" si="1"/>
        <v>-5.6677793003909765E-2</v>
      </c>
      <c r="G23">
        <f t="shared" si="2"/>
        <v>-6.8013351604691727E-2</v>
      </c>
      <c r="H23">
        <f t="shared" si="3"/>
        <v>-9.0684468806255636E-2</v>
      </c>
      <c r="I23">
        <f t="shared" si="4"/>
        <v>-0.11335558600781954</v>
      </c>
    </row>
    <row r="24" spans="1:9">
      <c r="A24" t="s">
        <v>416</v>
      </c>
      <c r="B24">
        <v>0.18339698388241241</v>
      </c>
      <c r="C24">
        <v>0.21476134015247231</v>
      </c>
      <c r="E24">
        <f t="shared" si="0"/>
        <v>0.1783969838824124</v>
      </c>
      <c r="F24">
        <f t="shared" si="1"/>
        <v>0.2097613401524723</v>
      </c>
      <c r="G24">
        <f t="shared" si="2"/>
        <v>0.25171360818296673</v>
      </c>
      <c r="H24">
        <f t="shared" si="3"/>
        <v>0.3356181442439557</v>
      </c>
      <c r="I24">
        <f t="shared" si="4"/>
        <v>0.41952268030494461</v>
      </c>
    </row>
    <row r="25" spans="1:9">
      <c r="A25" t="s">
        <v>417</v>
      </c>
      <c r="B25">
        <v>-2.6260826163925229E-2</v>
      </c>
      <c r="C25">
        <v>-1.2877759950788459E-2</v>
      </c>
      <c r="E25">
        <f t="shared" si="0"/>
        <v>-3.1260826163925226E-2</v>
      </c>
      <c r="F25">
        <f t="shared" si="1"/>
        <v>-1.7877759950788458E-2</v>
      </c>
      <c r="G25">
        <f t="shared" si="2"/>
        <v>-2.145331194094615E-2</v>
      </c>
      <c r="H25">
        <f t="shared" si="3"/>
        <v>-2.8604415921261537E-2</v>
      </c>
      <c r="I25">
        <f t="shared" si="4"/>
        <v>-3.5755519901576917E-2</v>
      </c>
    </row>
    <row r="26" spans="1:9">
      <c r="A26" t="s">
        <v>418</v>
      </c>
      <c r="B26">
        <v>-3.8920855988399131E-2</v>
      </c>
      <c r="C26">
        <v>-3.950459295592737E-2</v>
      </c>
      <c r="E26">
        <f t="shared" si="0"/>
        <v>-4.3920855988399128E-2</v>
      </c>
      <c r="F26">
        <f t="shared" si="1"/>
        <v>-4.4504592955927368E-2</v>
      </c>
      <c r="G26">
        <f t="shared" si="2"/>
        <v>-5.3405511547112844E-2</v>
      </c>
      <c r="H26">
        <f t="shared" si="3"/>
        <v>-7.1207348729483796E-2</v>
      </c>
      <c r="I26">
        <f t="shared" si="4"/>
        <v>-8.9009185911854749E-2</v>
      </c>
    </row>
    <row r="27" spans="1:9">
      <c r="A27" t="s">
        <v>419</v>
      </c>
      <c r="B27">
        <v>-6.6272294791124314E-2</v>
      </c>
      <c r="C27">
        <v>-3.9921823650365708E-2</v>
      </c>
      <c r="E27">
        <f t="shared" si="0"/>
        <v>-7.1272294791124319E-2</v>
      </c>
      <c r="F27">
        <f t="shared" si="1"/>
        <v>-4.4921823650365705E-2</v>
      </c>
      <c r="G27">
        <f t="shared" si="2"/>
        <v>-5.3906188380438848E-2</v>
      </c>
      <c r="H27">
        <f t="shared" si="3"/>
        <v>-7.187491784058514E-2</v>
      </c>
      <c r="I27">
        <f t="shared" si="4"/>
        <v>-8.9843647300731425E-2</v>
      </c>
    </row>
    <row r="28" spans="1:9">
      <c r="A28" t="s">
        <v>420</v>
      </c>
      <c r="B28">
        <v>8.428643584717066E-2</v>
      </c>
      <c r="C28">
        <v>8.5166894400026658E-2</v>
      </c>
      <c r="E28">
        <f t="shared" si="0"/>
        <v>7.9286435847170655E-2</v>
      </c>
      <c r="F28">
        <f t="shared" si="1"/>
        <v>8.0166894400026653E-2</v>
      </c>
      <c r="G28">
        <f t="shared" si="2"/>
        <v>9.6200273280031987E-2</v>
      </c>
      <c r="H28">
        <f t="shared" si="3"/>
        <v>0.12826703104004264</v>
      </c>
      <c r="I28">
        <f t="shared" si="4"/>
        <v>0.16033378880005331</v>
      </c>
    </row>
    <row r="29" spans="1:9">
      <c r="A29" t="s">
        <v>421</v>
      </c>
      <c r="B29">
        <v>-2.043519427592401E-2</v>
      </c>
      <c r="C29">
        <v>1.022371242870576E-2</v>
      </c>
      <c r="E29">
        <f t="shared" si="0"/>
        <v>-2.5435194275924011E-2</v>
      </c>
      <c r="F29">
        <f t="shared" si="1"/>
        <v>5.2237124287057594E-3</v>
      </c>
      <c r="G29">
        <f t="shared" si="2"/>
        <v>6.2684549144469111E-3</v>
      </c>
      <c r="H29">
        <f t="shared" si="3"/>
        <v>8.3579398859292171E-3</v>
      </c>
      <c r="I29">
        <f t="shared" si="4"/>
        <v>1.0447424857411517E-2</v>
      </c>
    </row>
    <row r="30" spans="1:9">
      <c r="A30" t="s">
        <v>422</v>
      </c>
      <c r="B30">
        <v>0.1624468643765431</v>
      </c>
      <c r="C30">
        <v>0.16735224625736009</v>
      </c>
      <c r="E30">
        <f t="shared" si="0"/>
        <v>0.15744686437654309</v>
      </c>
      <c r="F30">
        <f t="shared" si="1"/>
        <v>0.16235224625736008</v>
      </c>
      <c r="G30">
        <f t="shared" si="2"/>
        <v>0.19482269550883211</v>
      </c>
      <c r="H30">
        <f t="shared" si="3"/>
        <v>0.25976359401177612</v>
      </c>
      <c r="I30">
        <f t="shared" si="4"/>
        <v>0.32470449251472017</v>
      </c>
    </row>
    <row r="31" spans="1:9">
      <c r="A31" t="s">
        <v>423</v>
      </c>
      <c r="B31">
        <v>-1.3488985334552129E-2</v>
      </c>
      <c r="C31">
        <v>1.165667817476787E-2</v>
      </c>
      <c r="E31">
        <f t="shared" si="0"/>
        <v>-1.8488985334552129E-2</v>
      </c>
      <c r="F31">
        <f t="shared" si="1"/>
        <v>6.6566781747678704E-3</v>
      </c>
      <c r="G31">
        <f t="shared" si="2"/>
        <v>7.9880138097214448E-3</v>
      </c>
      <c r="H31">
        <f t="shared" si="3"/>
        <v>1.0650685079628592E-2</v>
      </c>
      <c r="I31">
        <f t="shared" si="4"/>
        <v>1.3313356349535739E-2</v>
      </c>
    </row>
    <row r="32" spans="1:9">
      <c r="A32" t="s">
        <v>424</v>
      </c>
      <c r="B32">
        <v>0.1082166966423392</v>
      </c>
      <c r="C32">
        <v>0.1075863935460802</v>
      </c>
      <c r="E32">
        <f t="shared" si="0"/>
        <v>0.10321669664233919</v>
      </c>
      <c r="F32">
        <f t="shared" si="1"/>
        <v>0.10258639354608019</v>
      </c>
      <c r="G32">
        <f t="shared" si="2"/>
        <v>0.12310367225529623</v>
      </c>
      <c r="H32">
        <f t="shared" si="3"/>
        <v>0.16413822967372832</v>
      </c>
      <c r="I32">
        <f t="shared" si="4"/>
        <v>0.20517278709216039</v>
      </c>
    </row>
    <row r="33" spans="1:9">
      <c r="A33" t="s">
        <v>425</v>
      </c>
      <c r="B33">
        <v>4.2719341561314643E-3</v>
      </c>
      <c r="C33">
        <v>1.206675796711352E-2</v>
      </c>
      <c r="E33">
        <f t="shared" si="0"/>
        <v>-7.2806584386853578E-4</v>
      </c>
      <c r="F33">
        <f t="shared" si="1"/>
        <v>7.0667579671135202E-3</v>
      </c>
      <c r="G33">
        <f t="shared" si="2"/>
        <v>8.4801095605362246E-3</v>
      </c>
      <c r="H33">
        <f t="shared" si="3"/>
        <v>1.1306812747381635E-2</v>
      </c>
      <c r="I33">
        <f t="shared" si="4"/>
        <v>1.4133515934227039E-2</v>
      </c>
    </row>
    <row r="34" spans="1:9">
      <c r="A34" t="s">
        <v>426</v>
      </c>
      <c r="B34">
        <v>7.1159903452789885E-2</v>
      </c>
      <c r="C34">
        <v>9.372380708955462E-2</v>
      </c>
      <c r="E34">
        <f t="shared" si="0"/>
        <v>6.6159903452789881E-2</v>
      </c>
      <c r="F34">
        <f t="shared" si="1"/>
        <v>8.8723807089554615E-2</v>
      </c>
      <c r="G34">
        <f t="shared" si="2"/>
        <v>0.10646856850746553</v>
      </c>
      <c r="H34">
        <f t="shared" si="3"/>
        <v>0.14195809134328741</v>
      </c>
      <c r="I34">
        <f t="shared" si="4"/>
        <v>0.17744761417910923</v>
      </c>
    </row>
    <row r="35" spans="1:9">
      <c r="A35" t="s">
        <v>427</v>
      </c>
      <c r="B35">
        <v>2.2116811376472471E-2</v>
      </c>
      <c r="C35">
        <v>4.8262805370904972E-2</v>
      </c>
      <c r="E35">
        <f t="shared" si="0"/>
        <v>1.711681137647247E-2</v>
      </c>
      <c r="F35">
        <f t="shared" si="1"/>
        <v>4.3262805370904975E-2</v>
      </c>
      <c r="G35">
        <f t="shared" si="2"/>
        <v>5.1915366445085966E-2</v>
      </c>
      <c r="H35">
        <f t="shared" si="3"/>
        <v>6.9220488593447954E-2</v>
      </c>
      <c r="I35">
        <f t="shared" si="4"/>
        <v>8.6525610741809936E-2</v>
      </c>
    </row>
    <row r="36" spans="1:9">
      <c r="A36" t="s">
        <v>428</v>
      </c>
      <c r="B36">
        <v>-4.3318649406719492E-2</v>
      </c>
      <c r="C36">
        <v>-3.6776790971634922E-2</v>
      </c>
      <c r="E36">
        <f t="shared" si="0"/>
        <v>-4.831864940671949E-2</v>
      </c>
      <c r="F36">
        <f t="shared" si="1"/>
        <v>-4.177679097163492E-2</v>
      </c>
      <c r="G36">
        <f t="shared" si="2"/>
        <v>-5.0132149165961905E-2</v>
      </c>
      <c r="H36">
        <f t="shared" si="3"/>
        <v>-6.6842865554615882E-2</v>
      </c>
      <c r="I36">
        <f t="shared" si="4"/>
        <v>-8.3553581943269853E-2</v>
      </c>
    </row>
    <row r="37" spans="1:9">
      <c r="A37" t="s">
        <v>429</v>
      </c>
      <c r="B37">
        <v>-8.0452476797509026E-2</v>
      </c>
      <c r="C37">
        <v>-6.1436898527608738E-2</v>
      </c>
      <c r="E37">
        <f t="shared" si="0"/>
        <v>-8.545247679750903E-2</v>
      </c>
      <c r="F37">
        <f t="shared" si="1"/>
        <v>-6.6436898527608743E-2</v>
      </c>
      <c r="G37">
        <f t="shared" si="2"/>
        <v>-7.9724278233130483E-2</v>
      </c>
      <c r="H37">
        <f t="shared" si="3"/>
        <v>-0.10629903764417399</v>
      </c>
      <c r="I37">
        <f t="shared" si="4"/>
        <v>-0.13287379705521749</v>
      </c>
    </row>
    <row r="38" spans="1:9">
      <c r="A38" t="s">
        <v>430</v>
      </c>
      <c r="B38">
        <v>1.664197159494506E-2</v>
      </c>
      <c r="C38">
        <v>3.43335984274745E-2</v>
      </c>
      <c r="E38">
        <f t="shared" si="0"/>
        <v>1.1641971594945059E-2</v>
      </c>
      <c r="F38">
        <f t="shared" si="1"/>
        <v>2.9333598427474499E-2</v>
      </c>
      <c r="G38">
        <f t="shared" si="2"/>
        <v>3.5200318112969399E-2</v>
      </c>
      <c r="H38">
        <f t="shared" si="3"/>
        <v>4.6933757483959206E-2</v>
      </c>
      <c r="I38">
        <f t="shared" si="4"/>
        <v>5.8667196854948998E-2</v>
      </c>
    </row>
    <row r="39" spans="1:9">
      <c r="A39" t="s">
        <v>431</v>
      </c>
      <c r="B39">
        <v>6.5440273172280294E-2</v>
      </c>
      <c r="C39">
        <v>7.4170216698257727E-2</v>
      </c>
      <c r="E39">
        <f t="shared" si="0"/>
        <v>6.0440273172280297E-2</v>
      </c>
      <c r="F39">
        <f t="shared" si="1"/>
        <v>6.9170216698257722E-2</v>
      </c>
      <c r="G39">
        <f t="shared" si="2"/>
        <v>8.3004260037909269E-2</v>
      </c>
      <c r="H39">
        <f t="shared" si="3"/>
        <v>0.11067234671721236</v>
      </c>
      <c r="I39">
        <f t="shared" si="4"/>
        <v>0.13834043339651544</v>
      </c>
    </row>
    <row r="40" spans="1:9">
      <c r="A40" t="s">
        <v>432</v>
      </c>
      <c r="B40">
        <v>2.0056146493298E-2</v>
      </c>
      <c r="C40">
        <v>4.4858384803228547E-2</v>
      </c>
      <c r="E40">
        <f t="shared" si="0"/>
        <v>1.5056146493297999E-2</v>
      </c>
      <c r="F40">
        <f t="shared" si="1"/>
        <v>3.985838480322855E-2</v>
      </c>
      <c r="G40">
        <f t="shared" si="2"/>
        <v>4.7830061763874256E-2</v>
      </c>
      <c r="H40">
        <f t="shared" si="3"/>
        <v>6.3773415685165674E-2</v>
      </c>
      <c r="I40">
        <f t="shared" si="4"/>
        <v>7.9716769606457086E-2</v>
      </c>
    </row>
  </sheetData>
  <mergeCells count="1">
    <mergeCell ref="E2:I2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I12"/>
  <sheetViews>
    <sheetView workbookViewId="0">
      <selection activeCell="K17" sqref="K17"/>
    </sheetView>
  </sheetViews>
  <sheetFormatPr defaultRowHeight="14.5"/>
  <cols>
    <col min="1" max="1" width="15.81640625" bestFit="1" customWidth="1"/>
  </cols>
  <sheetData>
    <row r="1" spans="1:9">
      <c r="B1" s="274" t="s">
        <v>157</v>
      </c>
      <c r="C1" s="275"/>
      <c r="D1" s="275"/>
      <c r="E1" s="275"/>
      <c r="F1" s="275"/>
    </row>
    <row r="2" spans="1:9">
      <c r="B2" s="4" t="s">
        <v>0</v>
      </c>
      <c r="C2" s="4" t="s">
        <v>1</v>
      </c>
      <c r="D2" s="4" t="s">
        <v>2</v>
      </c>
      <c r="E2" s="4" t="s">
        <v>433</v>
      </c>
      <c r="F2" s="4" t="s">
        <v>434</v>
      </c>
    </row>
    <row r="3" spans="1:9">
      <c r="A3" s="4" t="s">
        <v>0</v>
      </c>
      <c r="B3">
        <v>1.9597277323438922E-3</v>
      </c>
      <c r="C3">
        <v>3.76278041067037E-4</v>
      </c>
      <c r="D3">
        <v>-2.6545484312221471E-4</v>
      </c>
      <c r="E3">
        <v>-1.898856953880245E-4</v>
      </c>
      <c r="F3">
        <v>-3.2632455824222199E-4</v>
      </c>
    </row>
    <row r="4" spans="1:9">
      <c r="A4" s="4" t="s">
        <v>1</v>
      </c>
      <c r="B4">
        <v>3.76278041067037E-4</v>
      </c>
      <c r="C4">
        <v>9.1815403115640278E-4</v>
      </c>
      <c r="D4">
        <v>-1.6892280845934701E-5</v>
      </c>
      <c r="E4">
        <v>-2.3429380323617549E-4</v>
      </c>
      <c r="F4">
        <v>-5.3346410134658007E-5</v>
      </c>
    </row>
    <row r="5" spans="1:9">
      <c r="A5" s="4" t="s">
        <v>2</v>
      </c>
      <c r="B5">
        <v>-2.6545484312221471E-4</v>
      </c>
      <c r="C5">
        <v>-1.6892280845934701E-5</v>
      </c>
      <c r="D5">
        <v>8.4011019888231419E-4</v>
      </c>
      <c r="E5">
        <v>5.6929560048213842E-5</v>
      </c>
      <c r="F5">
        <v>3.8468109321352918E-4</v>
      </c>
    </row>
    <row r="6" spans="1:9">
      <c r="A6" s="4" t="s">
        <v>433</v>
      </c>
      <c r="B6">
        <v>-1.898856953880245E-4</v>
      </c>
      <c r="C6">
        <v>-2.3429380323617549E-4</v>
      </c>
      <c r="D6">
        <v>5.6929560048213842E-5</v>
      </c>
      <c r="E6">
        <v>4.8983055537292724E-4</v>
      </c>
      <c r="F6">
        <v>-1.1334378089463519E-5</v>
      </c>
    </row>
    <row r="7" spans="1:9">
      <c r="A7" s="4" t="s">
        <v>434</v>
      </c>
      <c r="B7">
        <v>-3.2632455824222199E-4</v>
      </c>
      <c r="C7">
        <v>-5.3346410134658007E-5</v>
      </c>
      <c r="D7">
        <v>3.8468109321352918E-4</v>
      </c>
      <c r="E7">
        <v>-1.1334378089463519E-5</v>
      </c>
      <c r="F7">
        <v>3.9212918320468212E-4</v>
      </c>
    </row>
    <row r="9" spans="1:9">
      <c r="A9" s="4" t="s">
        <v>439</v>
      </c>
      <c r="G9" t="s">
        <v>440</v>
      </c>
      <c r="H9" t="s">
        <v>441</v>
      </c>
    </row>
    <row r="10" spans="1:9">
      <c r="A10">
        <v>1</v>
      </c>
      <c r="B10">
        <v>0.2</v>
      </c>
      <c r="C10">
        <v>-0.3</v>
      </c>
      <c r="D10">
        <v>0.2</v>
      </c>
      <c r="E10">
        <v>-0.2</v>
      </c>
      <c r="F10">
        <f>0-SUM(B10:E10)</f>
        <v>9.9999999999999978E-2</v>
      </c>
      <c r="G10">
        <v>1</v>
      </c>
      <c r="H10">
        <f>SQRT(SUMPRODUCT(MMULT(B10:F10,$B$3:$F$7),B10:F10))</f>
        <v>1.1928489887371873E-2</v>
      </c>
    </row>
    <row r="11" spans="1:9">
      <c r="A11">
        <v>2</v>
      </c>
      <c r="B11">
        <f>B10*$G$11</f>
        <v>0.1</v>
      </c>
      <c r="C11">
        <f>C10*$G$11</f>
        <v>-0.15</v>
      </c>
      <c r="D11">
        <f>D10*$G$11</f>
        <v>0.1</v>
      </c>
      <c r="E11">
        <f>E10*$G$11</f>
        <v>-0.1</v>
      </c>
      <c r="F11">
        <f>F10*$G$11</f>
        <v>4.9999999999999989E-2</v>
      </c>
      <c r="G11">
        <v>0.5</v>
      </c>
      <c r="H11">
        <f>SQRT(SUMPRODUCT(MMULT(B11:F11,$B$3:$F$7),B11:F11))</f>
        <v>5.9642449436859363E-3</v>
      </c>
      <c r="I11">
        <f>H10*0.5</f>
        <v>5.9642449436859363E-3</v>
      </c>
    </row>
    <row r="12" spans="1:9">
      <c r="A12">
        <v>3</v>
      </c>
      <c r="B12">
        <f>B10*$G$12</f>
        <v>0.60000000000000009</v>
      </c>
      <c r="C12">
        <f>C10*$G$12</f>
        <v>-0.89999999999999991</v>
      </c>
      <c r="D12">
        <f>D10*$G$12</f>
        <v>0.60000000000000009</v>
      </c>
      <c r="E12">
        <f>E10*$G$12</f>
        <v>-0.60000000000000009</v>
      </c>
      <c r="F12">
        <f>F10*$G$12</f>
        <v>0.29999999999999993</v>
      </c>
      <c r="G12">
        <v>3</v>
      </c>
      <c r="H12">
        <f>SQRT(SUMPRODUCT(MMULT(B12:F12,$B$3:$F$7),B12:F12))</f>
        <v>3.578546966211562E-2</v>
      </c>
      <c r="I12">
        <f>H10*3</f>
        <v>3.578546966211562E-2</v>
      </c>
    </row>
  </sheetData>
  <mergeCells count="1">
    <mergeCell ref="B1:F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J16"/>
  <sheetViews>
    <sheetView workbookViewId="0">
      <selection sqref="A1:XFD1048576"/>
    </sheetView>
  </sheetViews>
  <sheetFormatPr defaultRowHeight="14.5"/>
  <cols>
    <col min="1" max="1" width="15.81640625" bestFit="1" customWidth="1"/>
    <col min="8" max="8" width="11.453125" customWidth="1"/>
    <col min="9" max="9" width="10.453125" customWidth="1"/>
  </cols>
  <sheetData>
    <row r="1" spans="1:10">
      <c r="B1" s="274" t="s">
        <v>157</v>
      </c>
      <c r="C1" s="275"/>
      <c r="D1" s="275"/>
      <c r="E1" s="275"/>
      <c r="F1" s="275"/>
    </row>
    <row r="2" spans="1:10">
      <c r="B2" s="4" t="s">
        <v>0</v>
      </c>
      <c r="C2" s="4" t="s">
        <v>1</v>
      </c>
      <c r="D2" s="4" t="s">
        <v>2</v>
      </c>
      <c r="E2" s="4" t="s">
        <v>433</v>
      </c>
      <c r="F2" s="4" t="s">
        <v>434</v>
      </c>
    </row>
    <row r="3" spans="1:10">
      <c r="A3" s="4" t="s">
        <v>0</v>
      </c>
      <c r="B3">
        <v>1.9597277323438922E-3</v>
      </c>
      <c r="C3">
        <v>3.76278041067037E-4</v>
      </c>
      <c r="D3">
        <v>-2.6545484312221471E-4</v>
      </c>
      <c r="E3">
        <v>-1.898856953880245E-4</v>
      </c>
      <c r="F3">
        <v>-3.2632455824222199E-4</v>
      </c>
    </row>
    <row r="4" spans="1:10">
      <c r="A4" s="4" t="s">
        <v>1</v>
      </c>
      <c r="B4">
        <v>3.76278041067037E-4</v>
      </c>
      <c r="C4">
        <v>9.1815403115640278E-4</v>
      </c>
      <c r="D4">
        <v>-1.6892280845934701E-5</v>
      </c>
      <c r="E4">
        <v>-2.3429380323617549E-4</v>
      </c>
      <c r="F4">
        <v>-5.3346410134658007E-5</v>
      </c>
    </row>
    <row r="5" spans="1:10">
      <c r="A5" s="4" t="s">
        <v>2</v>
      </c>
      <c r="B5">
        <v>-2.6545484312221471E-4</v>
      </c>
      <c r="C5">
        <v>-1.6892280845934701E-5</v>
      </c>
      <c r="D5">
        <v>8.4011019888231419E-4</v>
      </c>
      <c r="E5">
        <v>5.6929560048213842E-5</v>
      </c>
      <c r="F5">
        <v>3.8468109321352918E-4</v>
      </c>
    </row>
    <row r="6" spans="1:10">
      <c r="A6" s="4" t="s">
        <v>433</v>
      </c>
      <c r="B6">
        <v>-1.898856953880245E-4</v>
      </c>
      <c r="C6">
        <v>-2.3429380323617549E-4</v>
      </c>
      <c r="D6">
        <v>5.6929560048213842E-5</v>
      </c>
      <c r="E6">
        <v>4.8983055537292724E-4</v>
      </c>
      <c r="F6">
        <v>-1.1334378089463519E-5</v>
      </c>
    </row>
    <row r="7" spans="1:10">
      <c r="A7" s="4" t="s">
        <v>434</v>
      </c>
      <c r="B7">
        <v>-3.2632455824222199E-4</v>
      </c>
      <c r="C7">
        <v>-5.3346410134658007E-5</v>
      </c>
      <c r="D7">
        <v>3.8468109321352918E-4</v>
      </c>
      <c r="E7">
        <v>-1.1334378089463519E-5</v>
      </c>
      <c r="F7">
        <v>3.9212918320468212E-4</v>
      </c>
    </row>
    <row r="10" spans="1:10">
      <c r="B10" t="s">
        <v>0</v>
      </c>
      <c r="C10" t="s">
        <v>2</v>
      </c>
      <c r="D10" t="s">
        <v>433</v>
      </c>
      <c r="E10" t="s">
        <v>434</v>
      </c>
      <c r="F10" t="s">
        <v>140</v>
      </c>
    </row>
    <row r="11" spans="1:10">
      <c r="A11" s="4" t="s">
        <v>13</v>
      </c>
      <c r="B11">
        <v>0.15</v>
      </c>
      <c r="C11">
        <v>0.2</v>
      </c>
      <c r="D11">
        <v>0.3</v>
      </c>
      <c r="E11">
        <v>0.15</v>
      </c>
      <c r="F11">
        <v>0.08</v>
      </c>
    </row>
    <row r="13" spans="1:10">
      <c r="A13" s="4" t="s">
        <v>439</v>
      </c>
      <c r="G13" t="s">
        <v>440</v>
      </c>
      <c r="H13" t="s">
        <v>441</v>
      </c>
      <c r="I13" t="s">
        <v>442</v>
      </c>
      <c r="J13" t="s">
        <v>443</v>
      </c>
    </row>
    <row r="14" spans="1:10">
      <c r="A14">
        <v>1</v>
      </c>
      <c r="B14">
        <v>0.2</v>
      </c>
      <c r="C14">
        <v>-0.3</v>
      </c>
      <c r="D14">
        <v>0.2</v>
      </c>
      <c r="E14">
        <v>-0.2</v>
      </c>
      <c r="F14">
        <f>0-SUM(B14:E14)</f>
        <v>9.9999999999999978E-2</v>
      </c>
      <c r="G14">
        <v>1</v>
      </c>
      <c r="H14">
        <f>SQRT(SUMPRODUCT(MMULT(B14:F14,$B$3:$F$7),B14:F14))</f>
        <v>1.1928489887371873E-2</v>
      </c>
      <c r="I14">
        <f>SUMPRODUCT(B14:F14,$B$11:$F$11)</f>
        <v>7.9999999999999984E-3</v>
      </c>
      <c r="J14">
        <f>I14/H14</f>
        <v>0.67066326714743829</v>
      </c>
    </row>
    <row r="15" spans="1:10">
      <c r="A15">
        <v>2</v>
      </c>
      <c r="B15">
        <f>B14*$G$15</f>
        <v>0.1</v>
      </c>
      <c r="C15">
        <f>C14*$G$15</f>
        <v>-0.15</v>
      </c>
      <c r="D15">
        <f>D14*$G$15</f>
        <v>0.1</v>
      </c>
      <c r="E15">
        <f>E14*$G$15</f>
        <v>-0.1</v>
      </c>
      <c r="F15">
        <f>0-SUM(B15:E15)</f>
        <v>4.9999999999999989E-2</v>
      </c>
      <c r="G15">
        <v>0.5</v>
      </c>
      <c r="H15">
        <f>SQRT(SUMPRODUCT(MMULT(B15:F15,$B$3:$F$7),B15:F15))</f>
        <v>5.9642449436859363E-3</v>
      </c>
      <c r="I15">
        <f>SUMPRODUCT(B15:F15,$B$11:$F$11)</f>
        <v>3.9999999999999992E-3</v>
      </c>
      <c r="J15">
        <f>I15/H15</f>
        <v>0.67066326714743829</v>
      </c>
    </row>
    <row r="16" spans="1:10">
      <c r="A16">
        <v>3</v>
      </c>
      <c r="B16">
        <f>B14*$G$16</f>
        <v>0.60000000000000009</v>
      </c>
      <c r="C16">
        <f>C14*$G$16</f>
        <v>-0.89999999999999991</v>
      </c>
      <c r="D16">
        <f>D14*$G$16</f>
        <v>0.60000000000000009</v>
      </c>
      <c r="E16">
        <f>E14*$G$16</f>
        <v>-0.60000000000000009</v>
      </c>
      <c r="F16">
        <f>0-SUM(B16:E16)</f>
        <v>0.29999999999999982</v>
      </c>
      <c r="G16">
        <v>3</v>
      </c>
      <c r="H16">
        <f>SQRT(SUMPRODUCT(MMULT(B16:F16,$B$3:$F$7),B16:F16))</f>
        <v>3.578546966211562E-2</v>
      </c>
      <c r="I16">
        <f>SUMPRODUCT(B16:F16,$B$11:$F$11)</f>
        <v>2.4000000000000014E-2</v>
      </c>
      <c r="J16">
        <f>I16/H16</f>
        <v>0.67066326714743885</v>
      </c>
    </row>
  </sheetData>
  <mergeCells count="1">
    <mergeCell ref="B1:F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J18"/>
  <sheetViews>
    <sheetView workbookViewId="0">
      <selection activeCell="I14" sqref="I14"/>
    </sheetView>
  </sheetViews>
  <sheetFormatPr defaultRowHeight="14.5"/>
  <cols>
    <col min="1" max="1" width="18.81640625" bestFit="1" customWidth="1"/>
    <col min="8" max="8" width="11.453125" customWidth="1"/>
    <col min="9" max="9" width="10.453125" customWidth="1"/>
  </cols>
  <sheetData>
    <row r="1" spans="1:10">
      <c r="B1" s="274" t="s">
        <v>157</v>
      </c>
      <c r="C1" s="275"/>
      <c r="D1" s="275"/>
      <c r="E1" s="275"/>
      <c r="F1" s="275"/>
    </row>
    <row r="2" spans="1:10">
      <c r="B2" s="4" t="s">
        <v>0</v>
      </c>
      <c r="C2" s="4" t="s">
        <v>1</v>
      </c>
      <c r="D2" s="4" t="s">
        <v>2</v>
      </c>
      <c r="E2" s="4" t="s">
        <v>433</v>
      </c>
      <c r="F2" s="4" t="s">
        <v>434</v>
      </c>
    </row>
    <row r="3" spans="1:10">
      <c r="A3" s="4" t="s">
        <v>0</v>
      </c>
      <c r="B3">
        <v>1.9597277323438922E-3</v>
      </c>
      <c r="C3">
        <v>3.76278041067037E-4</v>
      </c>
      <c r="D3">
        <v>-2.6545484312221471E-4</v>
      </c>
      <c r="E3">
        <v>-1.898856953880245E-4</v>
      </c>
      <c r="F3">
        <v>-3.2632455824222199E-4</v>
      </c>
    </row>
    <row r="4" spans="1:10">
      <c r="A4" s="4" t="s">
        <v>1</v>
      </c>
      <c r="B4">
        <v>3.76278041067037E-4</v>
      </c>
      <c r="C4">
        <v>9.1815403115640278E-4</v>
      </c>
      <c r="D4">
        <v>-1.6892280845934701E-5</v>
      </c>
      <c r="E4">
        <v>-2.3429380323617549E-4</v>
      </c>
      <c r="F4">
        <v>-5.3346410134658007E-5</v>
      </c>
    </row>
    <row r="5" spans="1:10">
      <c r="A5" s="4" t="s">
        <v>2</v>
      </c>
      <c r="B5">
        <v>-2.6545484312221471E-4</v>
      </c>
      <c r="C5">
        <v>-1.6892280845934701E-5</v>
      </c>
      <c r="D5">
        <v>8.4011019888231419E-4</v>
      </c>
      <c r="E5">
        <v>5.6929560048213842E-5</v>
      </c>
      <c r="F5">
        <v>3.8468109321352918E-4</v>
      </c>
    </row>
    <row r="6" spans="1:10">
      <c r="A6" s="4" t="s">
        <v>433</v>
      </c>
      <c r="B6">
        <v>-1.898856953880245E-4</v>
      </c>
      <c r="C6">
        <v>-2.3429380323617549E-4</v>
      </c>
      <c r="D6">
        <v>5.6929560048213842E-5</v>
      </c>
      <c r="E6">
        <v>4.8983055537292724E-4</v>
      </c>
      <c r="F6">
        <v>-1.1334378089463519E-5</v>
      </c>
    </row>
    <row r="7" spans="1:10">
      <c r="A7" s="4" t="s">
        <v>434</v>
      </c>
      <c r="B7">
        <v>-3.2632455824222199E-4</v>
      </c>
      <c r="C7">
        <v>-5.3346410134658007E-5</v>
      </c>
      <c r="D7">
        <v>3.8468109321352918E-4</v>
      </c>
      <c r="E7">
        <v>-1.1334378089463519E-5</v>
      </c>
      <c r="F7">
        <v>3.9212918320468212E-4</v>
      </c>
    </row>
    <row r="10" spans="1:10">
      <c r="B10" t="s">
        <v>0</v>
      </c>
      <c r="C10" t="s">
        <v>2</v>
      </c>
      <c r="D10" t="s">
        <v>433</v>
      </c>
      <c r="E10" t="s">
        <v>434</v>
      </c>
      <c r="F10" t="s">
        <v>140</v>
      </c>
    </row>
    <row r="11" spans="1:10">
      <c r="A11" s="4" t="s">
        <v>13</v>
      </c>
      <c r="B11">
        <v>0.17</v>
      </c>
      <c r="C11">
        <v>0.19500000000000001</v>
      </c>
      <c r="D11">
        <v>0.215</v>
      </c>
      <c r="E11">
        <v>0.20499999999999999</v>
      </c>
      <c r="F11">
        <v>0.21099999999999999</v>
      </c>
    </row>
    <row r="13" spans="1:10">
      <c r="A13" s="4" t="s">
        <v>439</v>
      </c>
      <c r="B13" t="s">
        <v>0</v>
      </c>
      <c r="C13" t="s">
        <v>2</v>
      </c>
      <c r="D13" t="s">
        <v>433</v>
      </c>
      <c r="E13" t="s">
        <v>434</v>
      </c>
      <c r="F13" t="s">
        <v>140</v>
      </c>
      <c r="G13" t="s">
        <v>440</v>
      </c>
      <c r="H13" t="s">
        <v>441</v>
      </c>
      <c r="I13" t="s">
        <v>442</v>
      </c>
      <c r="J13" t="s">
        <v>443</v>
      </c>
    </row>
    <row r="14" spans="1:10">
      <c r="A14">
        <v>1</v>
      </c>
      <c r="B14">
        <v>-0.88341624670219254</v>
      </c>
      <c r="C14">
        <v>-3.4972992334582037E-2</v>
      </c>
      <c r="D14">
        <v>0.67641011583093313</v>
      </c>
      <c r="E14">
        <v>5.5705056119910522E-2</v>
      </c>
      <c r="F14">
        <f>0-SUM(B14:E14)</f>
        <v>0.18627406708593094</v>
      </c>
      <c r="G14">
        <v>1</v>
      </c>
      <c r="H14">
        <f>SQRT(SUMPRODUCT(MMULT(B14:F14,$B$3:$F$7),B14:F14))</f>
        <v>5.0000281431558685E-2</v>
      </c>
      <c r="I14">
        <f>SUMPRODUCT(B14:F14,$B$11:$F$11)</f>
        <v>3.9151044118747452E-2</v>
      </c>
      <c r="J14">
        <f>I14/H14</f>
        <v>0.78301647506400796</v>
      </c>
    </row>
    <row r="16" spans="1:10">
      <c r="A16" t="s">
        <v>444</v>
      </c>
      <c r="B16" t="s">
        <v>0</v>
      </c>
      <c r="C16" t="s">
        <v>2</v>
      </c>
      <c r="D16" t="s">
        <v>433</v>
      </c>
      <c r="E16" t="s">
        <v>434</v>
      </c>
      <c r="F16" t="s">
        <v>140</v>
      </c>
    </row>
    <row r="17" spans="1:6">
      <c r="A17" t="s">
        <v>172</v>
      </c>
      <c r="B17">
        <v>0.3</v>
      </c>
      <c r="C17">
        <v>0.2</v>
      </c>
      <c r="D17">
        <v>0.04</v>
      </c>
      <c r="E17">
        <v>0.22</v>
      </c>
      <c r="F17">
        <f>1-SUM(B17:E17)</f>
        <v>0.24</v>
      </c>
    </row>
    <row r="18" spans="1:6">
      <c r="A18" t="s">
        <v>445</v>
      </c>
      <c r="B18">
        <f>B17+B14</f>
        <v>-0.58341624670219261</v>
      </c>
      <c r="C18">
        <f>C17+C14</f>
        <v>0.16502700766541797</v>
      </c>
      <c r="D18">
        <f>D17+D14</f>
        <v>0.71641011583093317</v>
      </c>
      <c r="E18">
        <f>E17+E14</f>
        <v>0.27570505611991053</v>
      </c>
      <c r="F18">
        <f>F17+F14</f>
        <v>0.42627406708593096</v>
      </c>
    </row>
  </sheetData>
  <mergeCells count="1">
    <mergeCell ref="B1:F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S50"/>
  <sheetViews>
    <sheetView zoomScale="90" zoomScaleNormal="90" workbookViewId="0">
      <selection activeCell="S29" sqref="S29"/>
    </sheetView>
  </sheetViews>
  <sheetFormatPr defaultRowHeight="14.5"/>
  <cols>
    <col min="1" max="1" width="15.81640625" bestFit="1" customWidth="1"/>
    <col min="2" max="2" width="16.54296875" customWidth="1"/>
    <col min="3" max="3" width="12.453125" customWidth="1"/>
    <col min="4" max="4" width="11.1796875" customWidth="1"/>
    <col min="5" max="6" width="12" bestFit="1" customWidth="1"/>
    <col min="7" max="7" width="13.54296875" bestFit="1" customWidth="1"/>
    <col min="8" max="8" width="13" bestFit="1" customWidth="1"/>
    <col min="9" max="9" width="10.54296875" customWidth="1"/>
    <col min="12" max="13" width="12" bestFit="1" customWidth="1"/>
    <col min="14" max="23" width="13.54296875" bestFit="1" customWidth="1"/>
  </cols>
  <sheetData>
    <row r="1" spans="1:12">
      <c r="B1" s="273" t="s">
        <v>192</v>
      </c>
      <c r="C1" s="275"/>
      <c r="D1" s="275"/>
    </row>
    <row r="2" spans="1:12">
      <c r="B2" s="1" t="s">
        <v>193</v>
      </c>
      <c r="C2" s="1" t="s">
        <v>194</v>
      </c>
      <c r="D2" s="1" t="s">
        <v>195</v>
      </c>
      <c r="E2" s="1" t="s">
        <v>446</v>
      </c>
      <c r="F2" s="1" t="s">
        <v>447</v>
      </c>
      <c r="G2" s="1" t="s">
        <v>448</v>
      </c>
      <c r="H2" s="1" t="s">
        <v>449</v>
      </c>
      <c r="I2" s="1" t="s">
        <v>450</v>
      </c>
      <c r="J2" s="1" t="s">
        <v>451</v>
      </c>
      <c r="K2" s="1" t="s">
        <v>452</v>
      </c>
      <c r="L2" s="1" t="s">
        <v>159</v>
      </c>
    </row>
    <row r="3" spans="1:12">
      <c r="B3">
        <v>0.15342</v>
      </c>
      <c r="C3">
        <v>0.18435000000000001</v>
      </c>
      <c r="D3">
        <v>0.19345000000000001</v>
      </c>
      <c r="E3">
        <v>7.7217880214488763E-2</v>
      </c>
      <c r="F3">
        <v>8.8456858771408228E-2</v>
      </c>
      <c r="G3">
        <v>8.01012335368394E-2</v>
      </c>
      <c r="H3">
        <v>0.1486640740935071</v>
      </c>
      <c r="I3">
        <v>0.14385923219822061</v>
      </c>
      <c r="J3">
        <v>8.6897574956699683E-2</v>
      </c>
      <c r="K3">
        <v>0.2014942563781664</v>
      </c>
      <c r="L3">
        <v>0.01</v>
      </c>
    </row>
    <row r="5" spans="1:12">
      <c r="B5" s="273" t="s">
        <v>157</v>
      </c>
      <c r="C5" s="275"/>
      <c r="D5" s="275"/>
    </row>
    <row r="7" spans="1:12">
      <c r="B7" s="1" t="s">
        <v>193</v>
      </c>
      <c r="C7" s="1" t="s">
        <v>194</v>
      </c>
      <c r="D7" s="1" t="s">
        <v>195</v>
      </c>
      <c r="E7" s="1" t="s">
        <v>446</v>
      </c>
      <c r="F7" s="1" t="s">
        <v>447</v>
      </c>
      <c r="G7" s="1" t="s">
        <v>448</v>
      </c>
      <c r="H7" s="1" t="s">
        <v>449</v>
      </c>
      <c r="I7" s="1" t="s">
        <v>450</v>
      </c>
      <c r="J7" s="1" t="s">
        <v>451</v>
      </c>
      <c r="K7" s="1" t="s">
        <v>452</v>
      </c>
    </row>
    <row r="8" spans="1:12">
      <c r="A8" s="1" t="s">
        <v>193</v>
      </c>
      <c r="B8" s="1">
        <v>0.09</v>
      </c>
      <c r="C8">
        <v>1.8339999999999999E-2</v>
      </c>
      <c r="D8">
        <v>-5.496E-3</v>
      </c>
      <c r="E8">
        <v>-5.2899999999999996E-4</v>
      </c>
      <c r="F8">
        <v>-8.6079999999999993E-3</v>
      </c>
      <c r="G8">
        <v>-1.3671000000000001E-2</v>
      </c>
      <c r="H8">
        <v>4.8937000000000001E-2</v>
      </c>
      <c r="I8">
        <v>2.7942000000000002E-2</v>
      </c>
      <c r="J8">
        <v>-2.5787999999999998E-2</v>
      </c>
      <c r="K8">
        <v>5.7702999999999997E-2</v>
      </c>
    </row>
    <row r="9" spans="1:12">
      <c r="A9" s="1" t="s">
        <v>194</v>
      </c>
      <c r="B9">
        <v>1.8339999999999999E-2</v>
      </c>
      <c r="C9" s="1">
        <v>0.36</v>
      </c>
      <c r="D9">
        <v>-4.1673000000000002E-2</v>
      </c>
      <c r="E9">
        <v>-2.7786000000000002E-2</v>
      </c>
      <c r="F9">
        <v>2.7740999999999998E-2</v>
      </c>
      <c r="G9">
        <v>-4.5317999999999997E-2</v>
      </c>
      <c r="H9">
        <v>0.21010999999999999</v>
      </c>
      <c r="I9">
        <v>4.2181000000000003E-2</v>
      </c>
      <c r="J9">
        <v>-3.3274999999999999E-2</v>
      </c>
      <c r="K9">
        <v>9.7749000000000003E-2</v>
      </c>
    </row>
    <row r="10" spans="1:12">
      <c r="A10" s="1" t="s">
        <v>195</v>
      </c>
      <c r="B10">
        <v>-5.496E-3</v>
      </c>
      <c r="C10">
        <v>-4.1673000000000002E-2</v>
      </c>
      <c r="D10" s="1">
        <v>0.1089</v>
      </c>
      <c r="E10">
        <v>2.5503000000000001E-2</v>
      </c>
      <c r="F10">
        <v>1.4168999999999999E-2</v>
      </c>
      <c r="G10">
        <v>1.255E-2</v>
      </c>
      <c r="H10">
        <v>-4.7000000000000002E-3</v>
      </c>
      <c r="I10">
        <v>8.8519E-2</v>
      </c>
      <c r="J10">
        <v>5.9351000000000001E-2</v>
      </c>
      <c r="K10">
        <v>6.6370999999999999E-2</v>
      </c>
    </row>
    <row r="11" spans="1:12">
      <c r="A11" s="1" t="s">
        <v>446</v>
      </c>
      <c r="B11">
        <v>-5.2899999999999996E-4</v>
      </c>
      <c r="C11">
        <v>-2.7786000000000002E-2</v>
      </c>
      <c r="D11">
        <v>2.5503000000000001E-2</v>
      </c>
      <c r="E11" s="1">
        <v>4.8399999999999999E-2</v>
      </c>
      <c r="F11">
        <v>2.6668000000000001E-2</v>
      </c>
      <c r="G11">
        <v>-1.5025E-2</v>
      </c>
      <c r="H11">
        <v>-4.7411000000000002E-2</v>
      </c>
      <c r="I11">
        <v>-2.6283000000000001E-2</v>
      </c>
      <c r="J11">
        <v>3.4351E-2</v>
      </c>
      <c r="K11">
        <v>-2.0701000000000001E-2</v>
      </c>
    </row>
    <row r="12" spans="1:12">
      <c r="A12" s="1" t="s">
        <v>447</v>
      </c>
      <c r="B12">
        <v>-8.6079999999999993E-3</v>
      </c>
      <c r="C12">
        <v>2.7740999999999998E-2</v>
      </c>
      <c r="D12">
        <v>1.4168999999999999E-2</v>
      </c>
      <c r="E12">
        <v>2.6668000000000001E-2</v>
      </c>
      <c r="F12" s="1">
        <v>6.25E-2</v>
      </c>
      <c r="G12">
        <v>-3.8196000000000001E-2</v>
      </c>
      <c r="H12">
        <v>-7.4219999999999998E-3</v>
      </c>
      <c r="I12">
        <v>4.0509999999999997E-2</v>
      </c>
      <c r="J12">
        <v>4.0866E-2</v>
      </c>
      <c r="K12">
        <v>-1.6027E-2</v>
      </c>
    </row>
    <row r="13" spans="1:12">
      <c r="A13" s="1" t="s">
        <v>448</v>
      </c>
      <c r="B13">
        <v>-1.3671000000000001E-2</v>
      </c>
      <c r="C13">
        <v>-4.5317999999999997E-2</v>
      </c>
      <c r="D13">
        <v>1.255E-2</v>
      </c>
      <c r="E13">
        <v>-1.5025E-2</v>
      </c>
      <c r="F13">
        <v>-3.8196000000000001E-2</v>
      </c>
      <c r="G13" s="1">
        <v>0.16</v>
      </c>
      <c r="H13">
        <v>7.0060000000000001E-3</v>
      </c>
      <c r="I13">
        <v>-6.1878000000000002E-2</v>
      </c>
      <c r="J13">
        <v>-4.1814999999999998E-2</v>
      </c>
      <c r="K13">
        <v>2.4013E-2</v>
      </c>
    </row>
    <row r="14" spans="1:12">
      <c r="A14" s="1" t="s">
        <v>449</v>
      </c>
      <c r="B14">
        <v>4.8937000000000001E-2</v>
      </c>
      <c r="C14">
        <v>0.21010999999999999</v>
      </c>
      <c r="D14">
        <v>-4.7000000000000002E-3</v>
      </c>
      <c r="E14">
        <v>-4.7411000000000002E-2</v>
      </c>
      <c r="F14">
        <v>-7.4219999999999998E-3</v>
      </c>
      <c r="G14">
        <v>7.0060000000000001E-3</v>
      </c>
      <c r="H14" s="1">
        <v>0.30249999999999999</v>
      </c>
      <c r="I14">
        <v>9.1058E-2</v>
      </c>
      <c r="J14">
        <v>-9.6415000000000001E-2</v>
      </c>
      <c r="K14">
        <v>0.25581700000000002</v>
      </c>
    </row>
    <row r="15" spans="1:12">
      <c r="A15" s="1" t="s">
        <v>450</v>
      </c>
      <c r="B15">
        <v>2.7942000000000002E-2</v>
      </c>
      <c r="C15">
        <v>4.2181000000000003E-2</v>
      </c>
      <c r="D15">
        <v>8.8519E-2</v>
      </c>
      <c r="E15">
        <v>-2.6283000000000001E-2</v>
      </c>
      <c r="F15">
        <v>4.0509999999999997E-2</v>
      </c>
      <c r="G15">
        <v>-6.1878000000000002E-2</v>
      </c>
      <c r="H15">
        <v>9.1058E-2</v>
      </c>
      <c r="I15" s="1">
        <v>0.25</v>
      </c>
      <c r="J15">
        <v>4.4469000000000002E-2</v>
      </c>
      <c r="K15">
        <v>0.15177199999999999</v>
      </c>
    </row>
    <row r="16" spans="1:12">
      <c r="A16" s="1" t="s">
        <v>451</v>
      </c>
      <c r="B16">
        <v>-2.5787999999999998E-2</v>
      </c>
      <c r="C16">
        <v>-3.3274999999999999E-2</v>
      </c>
      <c r="D16">
        <v>5.9351000000000001E-2</v>
      </c>
      <c r="E16">
        <v>3.4351E-2</v>
      </c>
      <c r="F16">
        <v>4.0866E-2</v>
      </c>
      <c r="G16">
        <v>-4.1814999999999998E-2</v>
      </c>
      <c r="H16">
        <v>-9.6415000000000001E-2</v>
      </c>
      <c r="I16">
        <v>4.4469000000000002E-2</v>
      </c>
      <c r="J16" s="1">
        <v>0.1089</v>
      </c>
      <c r="K16">
        <v>-1.5572000000000001E-2</v>
      </c>
    </row>
    <row r="17" spans="1:12">
      <c r="A17" s="1" t="s">
        <v>452</v>
      </c>
      <c r="B17">
        <v>5.7702999999999997E-2</v>
      </c>
      <c r="C17">
        <v>9.7749000000000003E-2</v>
      </c>
      <c r="D17">
        <v>6.6370999999999999E-2</v>
      </c>
      <c r="E17">
        <v>-2.0701000000000001E-2</v>
      </c>
      <c r="F17">
        <v>-1.6027E-2</v>
      </c>
      <c r="G17">
        <v>2.4013E-2</v>
      </c>
      <c r="H17">
        <v>0.25581700000000002</v>
      </c>
      <c r="I17">
        <v>0.15177199999999999</v>
      </c>
      <c r="J17">
        <v>-1.5572000000000001E-2</v>
      </c>
      <c r="K17" s="1">
        <v>0.59289999999999998</v>
      </c>
    </row>
    <row r="19" spans="1:12">
      <c r="B19" s="273" t="s">
        <v>198</v>
      </c>
      <c r="C19" s="275"/>
      <c r="D19" s="275"/>
    </row>
    <row r="20" spans="1:12">
      <c r="B20" s="1" t="s">
        <v>193</v>
      </c>
      <c r="C20" s="1" t="s">
        <v>194</v>
      </c>
      <c r="D20" s="1" t="s">
        <v>195</v>
      </c>
      <c r="E20" s="1" t="s">
        <v>446</v>
      </c>
      <c r="F20" s="1" t="s">
        <v>447</v>
      </c>
      <c r="G20" s="1" t="s">
        <v>448</v>
      </c>
      <c r="H20" s="1" t="s">
        <v>449</v>
      </c>
      <c r="I20" s="1" t="s">
        <v>450</v>
      </c>
      <c r="J20" s="1" t="s">
        <v>451</v>
      </c>
      <c r="K20" s="1" t="s">
        <v>452</v>
      </c>
    </row>
    <row r="21" spans="1:12">
      <c r="A21" s="1" t="s">
        <v>453</v>
      </c>
      <c r="B21" s="161">
        <v>0.12</v>
      </c>
      <c r="C21" s="161">
        <v>0.08</v>
      </c>
      <c r="D21" s="161">
        <v>0.16</v>
      </c>
      <c r="E21" s="161">
        <v>7.0000000000000007E-2</v>
      </c>
      <c r="F21" s="161">
        <v>0.08</v>
      </c>
      <c r="G21" s="161">
        <v>0.11</v>
      </c>
      <c r="H21" s="161">
        <v>0.09</v>
      </c>
      <c r="I21" s="161">
        <v>0.08</v>
      </c>
      <c r="J21" s="161">
        <v>0.11</v>
      </c>
      <c r="K21" s="161">
        <f>1-SUM(B21:J21)</f>
        <v>0.10000000000000009</v>
      </c>
    </row>
    <row r="22" spans="1:12">
      <c r="A22" s="1" t="s">
        <v>454</v>
      </c>
      <c r="B22" s="6">
        <v>0.12914360513608819</v>
      </c>
      <c r="C22" s="6">
        <v>6.7425270583213681E-2</v>
      </c>
      <c r="D22" s="6">
        <v>0.26283004296708751</v>
      </c>
      <c r="E22" s="6">
        <v>-0.19476517066983451</v>
      </c>
      <c r="F22" s="6">
        <v>0.10196643615185549</v>
      </c>
      <c r="G22" s="6">
        <v>-4.2401702102795341E-2</v>
      </c>
      <c r="H22" s="6">
        <v>-0.12661507734791949</v>
      </c>
      <c r="I22" s="6">
        <v>-0.15321899440784389</v>
      </c>
      <c r="J22" s="6">
        <v>-6.7579924924974707E-2</v>
      </c>
      <c r="K22" s="6">
        <f>0-SUM(B22:J22)</f>
        <v>2.3215514615123126E-2</v>
      </c>
      <c r="L22" s="2"/>
    </row>
    <row r="23" spans="1:12">
      <c r="A23" s="1" t="s">
        <v>455</v>
      </c>
      <c r="B23" s="6">
        <f t="shared" ref="B23:K23" si="0">B21+B22</f>
        <v>0.24914360513608819</v>
      </c>
      <c r="C23" s="6">
        <f t="shared" si="0"/>
        <v>0.1474252705832137</v>
      </c>
      <c r="D23" s="6">
        <f t="shared" si="0"/>
        <v>0.42283004296708748</v>
      </c>
      <c r="E23" s="6">
        <f t="shared" si="0"/>
        <v>-0.1247651706698345</v>
      </c>
      <c r="F23" s="6">
        <f t="shared" si="0"/>
        <v>0.18196643615185548</v>
      </c>
      <c r="G23" s="6">
        <f t="shared" si="0"/>
        <v>6.7598297897204659E-2</v>
      </c>
      <c r="H23" s="6">
        <f t="shared" si="0"/>
        <v>-3.6615077347919495E-2</v>
      </c>
      <c r="I23" s="6">
        <f t="shared" si="0"/>
        <v>-7.3218994407843893E-2</v>
      </c>
      <c r="J23" s="6">
        <f t="shared" si="0"/>
        <v>4.2420075075025293E-2</v>
      </c>
      <c r="K23" s="6">
        <f t="shared" si="0"/>
        <v>0.12321551461512321</v>
      </c>
      <c r="L23" s="2"/>
    </row>
    <row r="25" spans="1:12">
      <c r="B25" s="1"/>
      <c r="C25" s="1" t="s">
        <v>172</v>
      </c>
      <c r="D25" s="1"/>
      <c r="E25" s="1"/>
      <c r="F25" s="1"/>
      <c r="G25" s="1"/>
      <c r="H25" s="1"/>
      <c r="I25" s="1"/>
      <c r="J25" s="1"/>
    </row>
    <row r="26" spans="1:12">
      <c r="A26" s="1"/>
      <c r="B26" s="1" t="s">
        <v>456</v>
      </c>
      <c r="C26" s="1" t="s">
        <v>191</v>
      </c>
      <c r="D26" s="1" t="s">
        <v>13</v>
      </c>
      <c r="E26" s="1" t="s">
        <v>66</v>
      </c>
      <c r="F26" s="1"/>
      <c r="G26" s="1"/>
      <c r="H26" s="1"/>
      <c r="I26" s="1"/>
      <c r="J26" s="1"/>
    </row>
    <row r="27" spans="1:12">
      <c r="A27" s="1" t="s">
        <v>193</v>
      </c>
      <c r="B27">
        <f t="shared" ref="B27:B36" si="1">SUMPRODUCT($B$21:$K$21,B8:K8)</f>
        <v>1.8731670000000002E-2</v>
      </c>
      <c r="C27">
        <f t="shared" ref="C27:C36" si="2">B27/$B$39</f>
        <v>0.49735367445510759</v>
      </c>
      <c r="D27">
        <f>B3</f>
        <v>0.15342</v>
      </c>
      <c r="E27">
        <f t="shared" ref="E27:E36" si="3">D27-$L$3-C27*($D$39-$L$3)</f>
        <v>7.8764022254635177E-2</v>
      </c>
    </row>
    <row r="28" spans="1:12">
      <c r="A28" s="1" t="s">
        <v>194</v>
      </c>
      <c r="B28">
        <f t="shared" si="1"/>
        <v>4.8021430000000011E-2</v>
      </c>
      <c r="C28">
        <f t="shared" si="2"/>
        <v>1.2750403281228391</v>
      </c>
      <c r="D28">
        <f>C3</f>
        <v>0.18435000000000001</v>
      </c>
      <c r="E28">
        <f t="shared" si="3"/>
        <v>8.5947571743152373E-3</v>
      </c>
    </row>
    <row r="29" spans="1:12">
      <c r="A29" s="1" t="s">
        <v>195</v>
      </c>
      <c r="B29">
        <f t="shared" si="1"/>
        <v>3.7554100000000007E-2</v>
      </c>
      <c r="C29">
        <f t="shared" si="2"/>
        <v>0.99711716178293541</v>
      </c>
      <c r="D29">
        <f>D3</f>
        <v>0.19345000000000001</v>
      </c>
      <c r="E29">
        <f t="shared" si="3"/>
        <v>5.3824768835495973E-2</v>
      </c>
    </row>
    <row r="30" spans="1:12">
      <c r="A30" s="1" t="s">
        <v>446</v>
      </c>
      <c r="B30">
        <f t="shared" si="1"/>
        <v>1.0016899999999987E-3</v>
      </c>
      <c r="C30">
        <f t="shared" si="2"/>
        <v>2.6596358048424727E-2</v>
      </c>
      <c r="D30">
        <f>E3</f>
        <v>7.7217880214488763E-2</v>
      </c>
      <c r="E30">
        <f t="shared" si="3"/>
        <v>6.3760353664653421E-2</v>
      </c>
    </row>
    <row r="31" spans="1:12">
      <c r="A31" s="1" t="s">
        <v>447</v>
      </c>
      <c r="B31">
        <f t="shared" si="1"/>
        <v>1.1583940000000001E-2</v>
      </c>
      <c r="C31">
        <f t="shared" si="2"/>
        <v>0.30757082116370293</v>
      </c>
      <c r="D31">
        <f>F3</f>
        <v>8.8456858771408228E-2</v>
      </c>
      <c r="E31">
        <f t="shared" si="3"/>
        <v>3.8472651979187283E-2</v>
      </c>
    </row>
    <row r="32" spans="1:12">
      <c r="A32" s="1" t="s">
        <v>448</v>
      </c>
      <c r="B32">
        <f t="shared" si="1"/>
        <v>3.7165600000000042E-3</v>
      </c>
      <c r="C32">
        <f t="shared" si="2"/>
        <v>9.8680190945755322E-2</v>
      </c>
      <c r="D32">
        <f>G3</f>
        <v>8.01012335368394E-2</v>
      </c>
      <c r="E32">
        <f t="shared" si="3"/>
        <v>5.7272808700756274E-2</v>
      </c>
    </row>
    <row r="33" spans="1:19">
      <c r="A33" s="1" t="s">
        <v>449</v>
      </c>
      <c r="B33">
        <f t="shared" si="1"/>
        <v>6.8273060000000024E-2</v>
      </c>
      <c r="C33">
        <f t="shared" si="2"/>
        <v>1.8127511992947791</v>
      </c>
      <c r="D33">
        <f>H3</f>
        <v>0.1486640740935071</v>
      </c>
      <c r="E33">
        <f t="shared" si="3"/>
        <v>-9.6993582056102506E-2</v>
      </c>
    </row>
    <row r="34" spans="1:19">
      <c r="A34" s="1" t="s">
        <v>450</v>
      </c>
      <c r="B34">
        <f t="shared" si="1"/>
        <v>6.3748980000000011E-2</v>
      </c>
      <c r="C34">
        <f t="shared" si="2"/>
        <v>1.6926301523444074</v>
      </c>
      <c r="D34">
        <f>I3</f>
        <v>0.14385923219822061</v>
      </c>
      <c r="E34">
        <f t="shared" si="3"/>
        <v>-8.6182687831851817E-2</v>
      </c>
    </row>
    <row r="35" spans="1:19">
      <c r="A35" s="1" t="s">
        <v>451</v>
      </c>
      <c r="B35">
        <f t="shared" si="1"/>
        <v>1.011577E-2</v>
      </c>
      <c r="C35">
        <f t="shared" si="2"/>
        <v>0.26858872590872801</v>
      </c>
      <c r="D35">
        <f>J3</f>
        <v>8.6897574956699683E-2</v>
      </c>
      <c r="E35">
        <f t="shared" si="3"/>
        <v>4.1981040552814236E-2</v>
      </c>
    </row>
    <row r="36" spans="1:19">
      <c r="A36" s="1" t="s">
        <v>452</v>
      </c>
      <c r="B36">
        <f t="shared" si="1"/>
        <v>0.11801621000000005</v>
      </c>
      <c r="C36">
        <f t="shared" si="2"/>
        <v>3.1335057519572804</v>
      </c>
      <c r="D36">
        <f>K3</f>
        <v>0.2014942563781664</v>
      </c>
      <c r="E36">
        <f t="shared" si="3"/>
        <v>-0.21586149179336891</v>
      </c>
    </row>
    <row r="37" spans="1:19">
      <c r="A37" s="1"/>
    </row>
    <row r="38" spans="1:19">
      <c r="A38" s="1"/>
      <c r="B38" t="s">
        <v>457</v>
      </c>
      <c r="C38" t="s">
        <v>191</v>
      </c>
      <c r="D38" t="s">
        <v>13</v>
      </c>
      <c r="E38" t="s">
        <v>66</v>
      </c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9">
      <c r="A39" s="1" t="s">
        <v>172</v>
      </c>
      <c r="B39">
        <f>SUMPRODUCT(MMULT(B21:K21,$B$8:$K$17),B21:K21)</f>
        <v>3.7662675400000026E-2</v>
      </c>
      <c r="C39">
        <f t="array" ref="C39">MMULT(B21:K21,$C$27:$C$36)</f>
        <v>0.99999999999999978</v>
      </c>
      <c r="D39" s="14">
        <f>SUMPRODUCT(B21:K21,$B$3:$K$3)</f>
        <v>0.14000000013310615</v>
      </c>
      <c r="E39" s="14">
        <f t="array" ref="E39">MMULT(B21:K21,$E$27:$E$36)</f>
        <v>-1.0408340855860843E-17</v>
      </c>
    </row>
    <row r="40" spans="1:19">
      <c r="A40" s="1" t="s">
        <v>458</v>
      </c>
      <c r="B40">
        <f>SUMPRODUCT(MMULT(B22:K22,$B$8:$K$17),B22:K22)</f>
        <v>2.500099997044313E-3</v>
      </c>
      <c r="C40">
        <f t="array" ref="C40">MMULT(B22:K22,$C$27:$C$36)</f>
        <v>-1.3574745494349116E-10</v>
      </c>
      <c r="D40" s="14">
        <f>SUMPRODUCT(B22:K22,$B$3:$K$3)</f>
        <v>3.1611561853024862E-2</v>
      </c>
      <c r="E40">
        <f t="array" ref="E40">MMULT(B22:K22,$E$27:$E$36)</f>
        <v>3.1611561870672031E-2</v>
      </c>
    </row>
    <row r="41" spans="1:19">
      <c r="A41" s="1" t="s">
        <v>17</v>
      </c>
      <c r="B41">
        <f>SUMPRODUCT(MMULT(B23:K23,$B$8:$K$17),B23:K23)</f>
        <v>4.0162775386819102E-2</v>
      </c>
      <c r="C41">
        <f t="array" ref="C41">MMULT(B23:K23,$C$27:$C$36)</f>
        <v>0.99999999986425236</v>
      </c>
      <c r="D41" s="14">
        <f>SUMPRODUCT(B23:K23,$B$3:$K$3)</f>
        <v>0.17161156198613095</v>
      </c>
      <c r="E41">
        <f t="array" ref="E41">MMULT(B23:K23,$E$27:$E$36)</f>
        <v>3.1611561870672024E-2</v>
      </c>
      <c r="F41" s="62"/>
    </row>
    <row r="42" spans="1:19">
      <c r="D42" s="14"/>
    </row>
    <row r="43" spans="1:19">
      <c r="A43" s="1" t="s">
        <v>459</v>
      </c>
      <c r="B43">
        <f>SQRT(B40)</f>
        <v>5.0000999960443923E-2</v>
      </c>
    </row>
    <row r="44" spans="1:19">
      <c r="A44" s="1" t="s">
        <v>66</v>
      </c>
      <c r="B44">
        <f>E40</f>
        <v>3.1611561870672031E-2</v>
      </c>
    </row>
    <row r="45" spans="1:19">
      <c r="A45" s="1" t="s">
        <v>460</v>
      </c>
      <c r="B45">
        <f>B44/B43</f>
        <v>0.63221859354173149</v>
      </c>
    </row>
    <row r="47" spans="1:19">
      <c r="A47" s="1"/>
    </row>
    <row r="48" spans="1:19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6">
      <c r="A49" s="1"/>
      <c r="B49" s="4"/>
      <c r="C49" s="4"/>
      <c r="D49" s="4"/>
      <c r="E49" s="4"/>
      <c r="F49" s="4"/>
    </row>
    <row r="50" spans="1:6">
      <c r="B50" s="4"/>
    </row>
  </sheetData>
  <mergeCells count="3">
    <mergeCell ref="B1:D1"/>
    <mergeCell ref="B19:D19"/>
    <mergeCell ref="B5:D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L30"/>
  <sheetViews>
    <sheetView workbookViewId="0">
      <selection activeCell="A15" sqref="A15:A19"/>
    </sheetView>
  </sheetViews>
  <sheetFormatPr defaultRowHeight="14.5"/>
  <cols>
    <col min="1" max="1" width="15.81640625" bestFit="1" customWidth="1"/>
    <col min="2" max="2" width="13.54296875" bestFit="1" customWidth="1"/>
    <col min="8" max="8" width="15.81640625" bestFit="1" customWidth="1"/>
  </cols>
  <sheetData>
    <row r="1" spans="1:12">
      <c r="B1" s="273" t="s">
        <v>192</v>
      </c>
      <c r="C1" s="275"/>
      <c r="D1" s="275"/>
    </row>
    <row r="2" spans="1:12">
      <c r="B2" s="1" t="s">
        <v>193</v>
      </c>
      <c r="C2" s="1" t="s">
        <v>194</v>
      </c>
      <c r="D2" s="1" t="s">
        <v>461</v>
      </c>
      <c r="E2" s="1" t="s">
        <v>64</v>
      </c>
    </row>
    <row r="3" spans="1:12">
      <c r="B3" s="40">
        <v>5.2451071182320487E-2</v>
      </c>
      <c r="C3">
        <v>0.1118001366003565</v>
      </c>
      <c r="D3">
        <v>0.08</v>
      </c>
      <c r="E3">
        <v>0.01</v>
      </c>
    </row>
    <row r="5" spans="1:12">
      <c r="B5" s="273" t="s">
        <v>157</v>
      </c>
      <c r="C5" s="275"/>
      <c r="D5" s="275"/>
    </row>
    <row r="7" spans="1:12">
      <c r="B7" s="1" t="s">
        <v>193</v>
      </c>
      <c r="C7" s="1" t="s">
        <v>194</v>
      </c>
      <c r="D7" s="1" t="s">
        <v>461</v>
      </c>
    </row>
    <row r="8" spans="1:12">
      <c r="A8" s="1" t="s">
        <v>193</v>
      </c>
      <c r="B8">
        <v>2.5600000000000001E-2</v>
      </c>
      <c r="C8">
        <v>1.2800000000000001E-2</v>
      </c>
      <c r="D8">
        <v>7.8192000000000001E-3</v>
      </c>
    </row>
    <row r="9" spans="1:12">
      <c r="A9" s="1" t="s">
        <v>194</v>
      </c>
      <c r="B9">
        <v>1.2800000000000001E-2</v>
      </c>
      <c r="C9">
        <v>4.0000000000000008E-2</v>
      </c>
      <c r="D9">
        <v>1.9709999999999998E-2</v>
      </c>
    </row>
    <row r="10" spans="1:12">
      <c r="A10" s="1" t="s">
        <v>461</v>
      </c>
      <c r="B10">
        <v>7.8192000000000018E-3</v>
      </c>
      <c r="C10">
        <v>1.371E-2</v>
      </c>
      <c r="D10">
        <v>1.6866720000000002E-2</v>
      </c>
    </row>
    <row r="13" spans="1:12">
      <c r="B13" s="274" t="s">
        <v>198</v>
      </c>
      <c r="C13" s="275"/>
      <c r="D13" s="275"/>
    </row>
    <row r="14" spans="1:12">
      <c r="B14" s="1" t="s">
        <v>193</v>
      </c>
      <c r="C14" s="1" t="s">
        <v>194</v>
      </c>
      <c r="D14" s="1" t="s">
        <v>461</v>
      </c>
      <c r="I14" s="1">
        <v>-0.25</v>
      </c>
      <c r="J14" s="1"/>
      <c r="K14" s="1"/>
      <c r="L14" s="1"/>
    </row>
    <row r="15" spans="1:12">
      <c r="A15" s="1" t="s">
        <v>196</v>
      </c>
      <c r="B15">
        <f>B16+B17</f>
        <v>9.1756844621723441E-2</v>
      </c>
      <c r="C15">
        <f>C16+C17</f>
        <v>0.29197683198702229</v>
      </c>
      <c r="D15">
        <f>D16+D17</f>
        <v>0.6162663233912542</v>
      </c>
      <c r="H15" s="1"/>
      <c r="I15">
        <v>0.17499999999999999</v>
      </c>
    </row>
    <row r="16" spans="1:12">
      <c r="A16" s="1" t="s">
        <v>453</v>
      </c>
      <c r="B16">
        <v>0</v>
      </c>
      <c r="C16">
        <v>0</v>
      </c>
      <c r="D16">
        <v>1</v>
      </c>
      <c r="H16" s="1"/>
      <c r="I16">
        <v>9.5000000000000001E-2</v>
      </c>
    </row>
    <row r="17" spans="1:9">
      <c r="A17" s="1" t="s">
        <v>462</v>
      </c>
      <c r="B17">
        <v>9.1756844621723441E-2</v>
      </c>
      <c r="C17">
        <v>0.29197683198702229</v>
      </c>
      <c r="D17">
        <f>0-SUM(B17:C17)</f>
        <v>-0.38373367660874574</v>
      </c>
      <c r="H17" s="1"/>
      <c r="I17">
        <v>-0.02</v>
      </c>
    </row>
    <row r="18" spans="1:9">
      <c r="A18" s="1" t="s">
        <v>463</v>
      </c>
      <c r="B18">
        <v>1.5599999999999999E-2</v>
      </c>
      <c r="C18">
        <v>1.7420000000000001E-2</v>
      </c>
      <c r="H18" s="1"/>
      <c r="I18">
        <f>SUM(I14:I17)</f>
        <v>0</v>
      </c>
    </row>
    <row r="19" spans="1:9">
      <c r="A19" s="1" t="s">
        <v>464</v>
      </c>
      <c r="B19">
        <f>$D$15*B18+B17</f>
        <v>0.101370599266627</v>
      </c>
      <c r="C19">
        <f>$D$15*C18+C17</f>
        <v>0.30271219134049793</v>
      </c>
      <c r="H19" s="1"/>
    </row>
    <row r="20" spans="1:9">
      <c r="A20" s="1"/>
    </row>
    <row r="21" spans="1:9">
      <c r="A21" s="1" t="s">
        <v>465</v>
      </c>
      <c r="B21" t="s">
        <v>456</v>
      </c>
      <c r="C21" t="s">
        <v>191</v>
      </c>
      <c r="D21" t="s">
        <v>13</v>
      </c>
      <c r="E21" t="s">
        <v>66</v>
      </c>
      <c r="F21" t="s">
        <v>466</v>
      </c>
    </row>
    <row r="22" spans="1:9">
      <c r="A22" s="1" t="s">
        <v>193</v>
      </c>
      <c r="B22">
        <f>D8</f>
        <v>7.8192000000000001E-3</v>
      </c>
      <c r="C22">
        <f>B22/$B$24</f>
        <v>0.46358746691710062</v>
      </c>
      <c r="D22" s="40">
        <f>B3</f>
        <v>5.2451071182320487E-2</v>
      </c>
      <c r="E22">
        <f>D22-$E$3-C22*($D$3-$E$3)</f>
        <v>9.9999484981234399E-3</v>
      </c>
      <c r="F22">
        <f t="array" ref="F22">MMULT(B15:D15,C22:C24)</f>
        <v>1.0000000000000073</v>
      </c>
    </row>
    <row r="23" spans="1:9">
      <c r="A23" s="1" t="s">
        <v>194</v>
      </c>
      <c r="B23">
        <f>D9</f>
        <v>1.9709999999999998E-2</v>
      </c>
      <c r="C23">
        <f>B23/$B$24</f>
        <v>1.1685733800051223</v>
      </c>
      <c r="D23">
        <f>C3</f>
        <v>0.1118001366003565</v>
      </c>
      <c r="E23">
        <f>D23-$E$3-C23*($D$3-$E$3)</f>
        <v>1.9999999999997922E-2</v>
      </c>
    </row>
    <row r="24" spans="1:9">
      <c r="A24" s="1" t="s">
        <v>172</v>
      </c>
      <c r="B24">
        <f>D10</f>
        <v>1.6866720000000002E-2</v>
      </c>
      <c r="C24">
        <v>1</v>
      </c>
      <c r="D24">
        <f>D3</f>
        <v>0.08</v>
      </c>
      <c r="E24">
        <v>0</v>
      </c>
    </row>
    <row r="25" spans="1:9">
      <c r="A25" s="1"/>
    </row>
    <row r="28" spans="1:9">
      <c r="A28" s="1" t="s">
        <v>459</v>
      </c>
      <c r="B28">
        <f>SQRT(SUMPRODUCT(MMULT(B17:D17,B8:D10),B17:D17))</f>
        <v>4.999997371290596E-2</v>
      </c>
    </row>
    <row r="29" spans="1:9">
      <c r="A29" s="1" t="s">
        <v>66</v>
      </c>
      <c r="B29">
        <f>SUMPRODUCT(B17:D17,B3:D3)</f>
        <v>6.7571003603079105E-3</v>
      </c>
    </row>
    <row r="30" spans="1:9">
      <c r="A30" s="1" t="s">
        <v>460</v>
      </c>
      <c r="B30">
        <f>B29/B28</f>
        <v>0.1351420782560086</v>
      </c>
    </row>
  </sheetData>
  <mergeCells count="3">
    <mergeCell ref="B13:D13"/>
    <mergeCell ref="B1:D1"/>
    <mergeCell ref="B5:D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31"/>
  <dimension ref="A3:C14"/>
  <sheetViews>
    <sheetView workbookViewId="0">
      <selection activeCell="U26" sqref="U26"/>
    </sheetView>
  </sheetViews>
  <sheetFormatPr defaultRowHeight="14.5"/>
  <cols>
    <col min="1" max="1" width="9.81640625" bestFit="1" customWidth="1"/>
    <col min="2" max="2" width="19.81640625" bestFit="1" customWidth="1"/>
  </cols>
  <sheetData>
    <row r="3" spans="1:3">
      <c r="B3" t="s">
        <v>472</v>
      </c>
      <c r="C3">
        <v>30</v>
      </c>
    </row>
    <row r="4" spans="1:3">
      <c r="A4" s="47" t="s">
        <v>189</v>
      </c>
      <c r="B4" t="s">
        <v>473</v>
      </c>
      <c r="C4">
        <v>0.5</v>
      </c>
    </row>
    <row r="5" spans="1:3">
      <c r="A5" t="s">
        <v>51</v>
      </c>
      <c r="B5" t="s">
        <v>474</v>
      </c>
      <c r="C5">
        <v>40</v>
      </c>
    </row>
    <row r="6" spans="1:3">
      <c r="A6" t="s">
        <v>475</v>
      </c>
      <c r="B6" t="s">
        <v>476</v>
      </c>
      <c r="C6">
        <v>0.5</v>
      </c>
    </row>
    <row r="7" spans="1:3">
      <c r="A7" t="s">
        <v>159</v>
      </c>
      <c r="B7" t="s">
        <v>477</v>
      </c>
      <c r="C7">
        <v>0.01</v>
      </c>
    </row>
    <row r="8" spans="1:3">
      <c r="A8" t="s">
        <v>478</v>
      </c>
      <c r="B8" t="s">
        <v>479</v>
      </c>
      <c r="C8">
        <v>69.342915559511255</v>
      </c>
    </row>
    <row r="9" spans="1:3">
      <c r="A9" t="s">
        <v>480</v>
      </c>
      <c r="B9" t="s">
        <v>481</v>
      </c>
      <c r="C9">
        <f>C8*NORMSDIST((LN(C8/C5)+(C7+(C4^2)/2)*C6)/(C4*SQRT(C6)))-C5*EXP(-C7*C6)*NORMSDIST((LN(C8/C5)+(C7+(C4^2)/2)*C6)/(C4*SQRT(C6))-C4*SQRT(C6))</f>
        <v>29.99999024969582</v>
      </c>
    </row>
    <row r="13" spans="1:3">
      <c r="B13" t="s">
        <v>482</v>
      </c>
    </row>
    <row r="14" spans="1:3">
      <c r="B14">
        <f>C8-C3</f>
        <v>39.342915559511255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Ex5.1.2</vt:lpstr>
      <vt:lpstr>Ex5.4.1</vt:lpstr>
      <vt:lpstr>EX7.1.1</vt:lpstr>
      <vt:lpstr>EX7.1.2</vt:lpstr>
      <vt:lpstr>EX7.1.3</vt:lpstr>
      <vt:lpstr>EX7.2.1</vt:lpstr>
      <vt:lpstr>EX7.4.1</vt:lpstr>
      <vt:lpstr>7-Cov1</vt:lpstr>
      <vt:lpstr>7-Var</vt:lpstr>
      <vt:lpstr>7-Var and Corr</vt:lpstr>
      <vt:lpstr>7-Beta_and_Var</vt:lpstr>
      <vt:lpstr>7-alpha beta 1</vt:lpstr>
      <vt:lpstr>7-alpha beta 2</vt:lpstr>
      <vt:lpstr>7-Google and Tech</vt:lpstr>
      <vt:lpstr>7-Google Tech and Oil</vt:lpstr>
      <vt:lpstr>9-Lakers</vt:lpstr>
      <vt:lpstr>9-alpha beta</vt:lpstr>
      <vt:lpstr>9-Lakers2</vt:lpstr>
      <vt:lpstr>8-Var1</vt:lpstr>
      <vt:lpstr>8-Efficient Frontier</vt:lpstr>
      <vt:lpstr>8-active portfolio</vt:lpstr>
      <vt:lpstr>8-alpha</vt:lpstr>
      <vt:lpstr>8-Rate of Change</vt:lpstr>
      <vt:lpstr>9-Systematic_Risk</vt:lpstr>
      <vt:lpstr>8-Var2</vt:lpstr>
      <vt:lpstr>9-Alpha</vt:lpstr>
      <vt:lpstr>9-max corr</vt:lpstr>
      <vt:lpstr>10-Out of Sample</vt:lpstr>
      <vt:lpstr>10-Tangent Indirect</vt:lpstr>
      <vt:lpstr>10-LoBeta</vt:lpstr>
      <vt:lpstr>10-Estimating Alpha</vt:lpstr>
      <vt:lpstr>10-Tweights5</vt:lpstr>
      <vt:lpstr>10-FF5</vt:lpstr>
      <vt:lpstr>12-PE_Metrics</vt:lpstr>
      <vt:lpstr>13-butterfly</vt:lpstr>
      <vt:lpstr>FI_IRR</vt:lpstr>
      <vt:lpstr>FI_coupon1</vt:lpstr>
      <vt:lpstr>FI_parbonds</vt:lpstr>
      <vt:lpstr>FI_duration</vt:lpstr>
      <vt:lpstr>FI_Convexity</vt:lpstr>
      <vt:lpstr>FI_real yields</vt:lpstr>
      <vt:lpstr>IR-IR</vt:lpstr>
      <vt:lpstr>14-IR0</vt:lpstr>
      <vt:lpstr>14-IR1</vt:lpstr>
      <vt:lpstr>IR-2</vt:lpstr>
      <vt:lpstr>IR-3</vt:lpstr>
      <vt:lpstr>PA-1</vt:lpstr>
      <vt:lpstr>PA-2</vt:lpstr>
      <vt:lpstr>PA-3</vt:lpstr>
      <vt:lpstr>IR-measuring active risk</vt:lpstr>
      <vt:lpstr>15-Accounting</vt:lpstr>
      <vt:lpstr>15-FCFF vs FCFE</vt:lpstr>
      <vt:lpstr>15-Consensus Model</vt:lpstr>
      <vt:lpstr>15-Thesis Model</vt:lpstr>
      <vt:lpstr>15-Summary</vt:lpstr>
      <vt:lpstr>14-alpha and leverage</vt:lpstr>
      <vt:lpstr>14-scaling h and active risk</vt:lpstr>
      <vt:lpstr>14-scaling h and IR</vt:lpstr>
      <vt:lpstr>14-Maximizing IR1</vt:lpstr>
      <vt:lpstr>14-Maximizing IR</vt:lpstr>
      <vt:lpstr>14-Maximizing IR with ETF</vt:lpstr>
      <vt:lpstr>16-Debt 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Brian Boyer</cp:lastModifiedBy>
  <cp:lastPrinted>2023-10-02T19:10:48Z</cp:lastPrinted>
  <dcterms:created xsi:type="dcterms:W3CDTF">2015-09-02T15:34:26Z</dcterms:created>
  <dcterms:modified xsi:type="dcterms:W3CDTF">2025-09-24T13:25:22Z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0x010100FBD0A339B4036C47A03FA8F4FFF00EBA</vt:lpwstr>
  </property>
</Properties>
</file>