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2C6F7370-986B-4FE7-AD57-D4814C218E03}" xr6:coauthVersionLast="47" xr6:coauthVersionMax="47" xr10:uidLastSave="{00000000-0000-0000-0000-000000000000}"/>
  <bookViews>
    <workbookView xWindow="57480" yWindow="-120" windowWidth="29040" windowHeight="15720" tabRatio="799" firstSheet="33" activeTab="48" xr2:uid="{00000000-000D-0000-FFFF-FFFF00000000}"/>
  </bookViews>
  <sheets>
    <sheet name="4-VW" sheetId="2" r:id="rId1"/>
    <sheet name="4-EW" sheetId="1" r:id="rId2"/>
    <sheet name="4-Direct_Indirect" sheetId="51" r:id="rId3"/>
    <sheet name="4-Zero_Cost" sheetId="68" r:id="rId4"/>
    <sheet name="5-Variance" sheetId="3" r:id="rId5"/>
    <sheet name="5-Variance Estimate" sheetId="4" r:id="rId6"/>
    <sheet name="5-Harley-Zion" sheetId="5" r:id="rId7"/>
    <sheet name="5-Geometric_Mean" sheetId="50" r:id="rId8"/>
    <sheet name="7-Cov1" sheetId="6" r:id="rId9"/>
    <sheet name="7-Var" sheetId="7" r:id="rId10"/>
    <sheet name="7-Var and Corr" sheetId="54" r:id="rId11"/>
    <sheet name="7-Beta_and_Var" sheetId="69" r:id="rId12"/>
    <sheet name="7-alpha beta 1" sheetId="53" r:id="rId13"/>
    <sheet name="7-alpha beta 2" sheetId="52" r:id="rId14"/>
    <sheet name="7-Google and Tech" sheetId="11" r:id="rId15"/>
    <sheet name="7-Google Tech and Oil" sheetId="13" r:id="rId16"/>
    <sheet name="9-Lakers" sheetId="70" r:id="rId17"/>
    <sheet name="9-alpha beta" sheetId="8" r:id="rId18"/>
    <sheet name="9-Lakers2" sheetId="71" r:id="rId19"/>
    <sheet name="8-Var1" sheetId="14" r:id="rId20"/>
    <sheet name="8-Efficient Frontier" sheetId="15" r:id="rId21"/>
    <sheet name="8-active portfolio" sheetId="16" r:id="rId22"/>
    <sheet name="8-alpha" sheetId="17" r:id="rId23"/>
    <sheet name="8-Rate of Change" sheetId="19" r:id="rId24"/>
    <sheet name="9-Systematic_Risk" sheetId="22" r:id="rId25"/>
    <sheet name="8-Var2" sheetId="18" r:id="rId26"/>
    <sheet name="9-Alpha" sheetId="23" r:id="rId27"/>
    <sheet name="9-max corr" sheetId="55" r:id="rId28"/>
    <sheet name="10-Out of Sample" sheetId="25" r:id="rId29"/>
    <sheet name="10-Tangent Indirect" sheetId="56" r:id="rId30"/>
    <sheet name="10-LoBeta" sheetId="61" r:id="rId31"/>
    <sheet name="10-Estimating Alpha" sheetId="62" r:id="rId32"/>
    <sheet name="10-Tweights5" sheetId="63" r:id="rId33"/>
    <sheet name="10-FF5" sheetId="60" r:id="rId34"/>
    <sheet name="12-PE_Metrics" sheetId="64" r:id="rId35"/>
    <sheet name="13-butterfly" sheetId="48" r:id="rId36"/>
    <sheet name="FI_IRR" sheetId="72" r:id="rId37"/>
    <sheet name="FI_coupon1" sheetId="78" r:id="rId38"/>
    <sheet name="FI_parbonds" sheetId="74" r:id="rId39"/>
    <sheet name="FI_duration" sheetId="75" r:id="rId40"/>
    <sheet name="FI_Convexity" sheetId="76" r:id="rId41"/>
    <sheet name="FI_real yields" sheetId="77" r:id="rId42"/>
    <sheet name="IR-IR" sheetId="79" r:id="rId43"/>
    <sheet name="14-IR0" sheetId="80" r:id="rId44"/>
    <sheet name="14-IR1" sheetId="66" r:id="rId45"/>
    <sheet name="IR-2" sheetId="81" r:id="rId46"/>
    <sheet name="IR-3" sheetId="82" r:id="rId47"/>
    <sheet name="PA-1" sheetId="83" r:id="rId48"/>
    <sheet name="PA-2" sheetId="86" r:id="rId49"/>
    <sheet name="Sheet3" sheetId="85" r:id="rId50"/>
    <sheet name="PA-2_old" sheetId="84" r:id="rId51"/>
    <sheet name="IR-measuring active risk" sheetId="42" r:id="rId52"/>
    <sheet name="15-Accounting" sheetId="36" r:id="rId53"/>
    <sheet name="15-FCFF vs FCFE" sheetId="37" r:id="rId54"/>
    <sheet name="15-Consensus Model" sheetId="38" r:id="rId55"/>
    <sheet name="15-Thesis Model" sheetId="39" r:id="rId56"/>
    <sheet name="15-Summary" sheetId="40" r:id="rId57"/>
    <sheet name="14-alpha and leverage" sheetId="41" r:id="rId58"/>
    <sheet name="14-scaling h and active risk" sheetId="43" r:id="rId59"/>
    <sheet name="14-scaling h and IR" sheetId="44" r:id="rId60"/>
    <sheet name="14-Maximizing IR1" sheetId="45" r:id="rId61"/>
    <sheet name="14-Maximizing IR" sheetId="46" r:id="rId62"/>
    <sheet name="14-Maximizing IR with ETF" sheetId="47" r:id="rId63"/>
    <sheet name="16-Debt Value" sheetId="49" r:id="rId64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1" hidden="1">'10-Estimating Alpha'!$I$15:$J$15</definedName>
    <definedName name="solver_adj" localSheetId="28" hidden="1">'10-Out of Sample'!$E$13</definedName>
    <definedName name="solver_adj" localSheetId="32" hidden="1">'10-Tweights5'!$K$15:$N$15</definedName>
    <definedName name="solver_adj" localSheetId="44" hidden="1">'14-IR1'!$B$14</definedName>
    <definedName name="solver_adj" localSheetId="61" hidden="1">'14-Maximizing IR'!$B$22:$J$22</definedName>
    <definedName name="solver_adj" localSheetId="60" hidden="1">'14-Maximizing IR1'!$B$14:$E$14</definedName>
    <definedName name="solver_adj" localSheetId="54" hidden="1">'15-Consensus Model'!$S$22</definedName>
    <definedName name="solver_adj" localSheetId="55" hidden="1">'15-Thesis Model'!$S$22</definedName>
    <definedName name="solver_adj" localSheetId="63" hidden="1">'16-Debt Value'!$C$8</definedName>
    <definedName name="solver_adj" localSheetId="9" hidden="1">'7-Var'!$C$37:$C$62</definedName>
    <definedName name="solver_adj" localSheetId="21" hidden="1">'8-active portfolio'!$C$13:$E$13</definedName>
    <definedName name="solver_adj" localSheetId="22" hidden="1">'8-alpha'!$K$42:$L$42</definedName>
    <definedName name="solver_adj" localSheetId="20" hidden="1">'8-Efficient Frontier'!$B$27:$C$36</definedName>
    <definedName name="solver_adj" localSheetId="25" hidden="1">'8-Var2'!$B$16:$C$16</definedName>
    <definedName name="solver_adj" localSheetId="27" hidden="1">'9-max corr'!$B$27</definedName>
    <definedName name="solver_adj" localSheetId="40" hidden="1">FI_Convexity!$G$29:$G$30</definedName>
    <definedName name="solver_adj" localSheetId="45" hidden="1">'IR-2'!$B$22:$K$22</definedName>
    <definedName name="solver_adj" localSheetId="46" hidden="1">'IR-3'!$B$22:$K$22</definedName>
    <definedName name="solver_cvg" localSheetId="31" hidden="1">0.0001</definedName>
    <definedName name="solver_cvg" localSheetId="28" hidden="1">0.0001</definedName>
    <definedName name="solver_cvg" localSheetId="32" hidden="1">0.0001</definedName>
    <definedName name="solver_cvg" localSheetId="44" hidden="1">0.0001</definedName>
    <definedName name="solver_cvg" localSheetId="61" hidden="1">0.0001</definedName>
    <definedName name="solver_cvg" localSheetId="60" hidden="1">0.0001</definedName>
    <definedName name="solver_cvg" localSheetId="54" hidden="1">0.0001</definedName>
    <definedName name="solver_cvg" localSheetId="55" hidden="1">0.0001</definedName>
    <definedName name="solver_cvg" localSheetId="63" hidden="1">0.0001</definedName>
    <definedName name="solver_cvg" localSheetId="9" hidden="1">0.0001</definedName>
    <definedName name="solver_cvg" localSheetId="21" hidden="1">0.0001</definedName>
    <definedName name="solver_cvg" localSheetId="22" hidden="1">0.0001</definedName>
    <definedName name="solver_cvg" localSheetId="20" hidden="1">0.0001</definedName>
    <definedName name="solver_cvg" localSheetId="25" hidden="1">0.0001</definedName>
    <definedName name="solver_cvg" localSheetId="27" hidden="1">0.0001</definedName>
    <definedName name="solver_cvg" localSheetId="40" hidden="1">0.0001</definedName>
    <definedName name="solver_cvg" localSheetId="45" hidden="1">0.000001</definedName>
    <definedName name="solver_cvg" localSheetId="46" hidden="1">0.0001</definedName>
    <definedName name="solver_drv" localSheetId="31" hidden="1">1</definedName>
    <definedName name="solver_drv" localSheetId="28" hidden="1">1</definedName>
    <definedName name="solver_drv" localSheetId="32" hidden="1">1</definedName>
    <definedName name="solver_drv" localSheetId="44" hidden="1">1</definedName>
    <definedName name="solver_drv" localSheetId="61" hidden="1">2</definedName>
    <definedName name="solver_drv" localSheetId="60" hidden="1">2</definedName>
    <definedName name="solver_drv" localSheetId="54" hidden="1">1</definedName>
    <definedName name="solver_drv" localSheetId="55" hidden="1">1</definedName>
    <definedName name="solver_drv" localSheetId="63" hidden="1">1</definedName>
    <definedName name="solver_drv" localSheetId="9" hidden="1">1</definedName>
    <definedName name="solver_drv" localSheetId="21" hidden="1">1</definedName>
    <definedName name="solver_drv" localSheetId="22" hidden="1">1</definedName>
    <definedName name="solver_drv" localSheetId="20" hidden="1">1</definedName>
    <definedName name="solver_drv" localSheetId="25" hidden="1">1</definedName>
    <definedName name="solver_drv" localSheetId="27" hidden="1">1</definedName>
    <definedName name="solver_drv" localSheetId="40" hidden="1">1</definedName>
    <definedName name="solver_drv" localSheetId="45" hidden="1">2</definedName>
    <definedName name="solver_drv" localSheetId="46" hidden="1">2</definedName>
    <definedName name="solver_eng" localSheetId="31" hidden="1">1</definedName>
    <definedName name="solver_eng" localSheetId="28" hidden="1">1</definedName>
    <definedName name="solver_eng" localSheetId="32" hidden="1">1</definedName>
    <definedName name="solver_eng" localSheetId="44" hidden="1">1</definedName>
    <definedName name="solver_eng" localSheetId="61" hidden="1">1</definedName>
    <definedName name="solver_eng" localSheetId="60" hidden="1">1</definedName>
    <definedName name="solver_eng" localSheetId="54" hidden="1">1</definedName>
    <definedName name="solver_eng" localSheetId="55" hidden="1">1</definedName>
    <definedName name="solver_eng" localSheetId="63" hidden="1">1</definedName>
    <definedName name="solver_eng" localSheetId="9" hidden="1">1</definedName>
    <definedName name="solver_eng" localSheetId="21" hidden="1">1</definedName>
    <definedName name="solver_eng" localSheetId="22" hidden="1">1</definedName>
    <definedName name="solver_eng" localSheetId="20" hidden="1">1</definedName>
    <definedName name="solver_eng" localSheetId="25" hidden="1">1</definedName>
    <definedName name="solver_eng" localSheetId="27" hidden="1">1</definedName>
    <definedName name="solver_eng" localSheetId="40" hidden="1">2</definedName>
    <definedName name="solver_eng" localSheetId="45" hidden="1">1</definedName>
    <definedName name="solver_eng" localSheetId="46" hidden="1">1</definedName>
    <definedName name="solver_eng" localSheetId="48" hidden="1">1</definedName>
    <definedName name="solver_est" localSheetId="31" hidden="1">1</definedName>
    <definedName name="solver_est" localSheetId="28" hidden="1">1</definedName>
    <definedName name="solver_est" localSheetId="32" hidden="1">1</definedName>
    <definedName name="solver_est" localSheetId="44" hidden="1">1</definedName>
    <definedName name="solver_est" localSheetId="61" hidden="1">1</definedName>
    <definedName name="solver_est" localSheetId="60" hidden="1">1</definedName>
    <definedName name="solver_est" localSheetId="54" hidden="1">1</definedName>
    <definedName name="solver_est" localSheetId="55" hidden="1">1</definedName>
    <definedName name="solver_est" localSheetId="63" hidden="1">1</definedName>
    <definedName name="solver_est" localSheetId="9" hidden="1">1</definedName>
    <definedName name="solver_est" localSheetId="21" hidden="1">1</definedName>
    <definedName name="solver_est" localSheetId="22" hidden="1">1</definedName>
    <definedName name="solver_est" localSheetId="20" hidden="1">1</definedName>
    <definedName name="solver_est" localSheetId="25" hidden="1">1</definedName>
    <definedName name="solver_est" localSheetId="27" hidden="1">1</definedName>
    <definedName name="solver_est" localSheetId="40" hidden="1">1</definedName>
    <definedName name="solver_est" localSheetId="45" hidden="1">1</definedName>
    <definedName name="solver_est" localSheetId="46" hidden="1">1</definedName>
    <definedName name="solver_itr" localSheetId="31" hidden="1">2147483647</definedName>
    <definedName name="solver_itr" localSheetId="28" hidden="1">2147483647</definedName>
    <definedName name="solver_itr" localSheetId="32" hidden="1">2147483647</definedName>
    <definedName name="solver_itr" localSheetId="44" hidden="1">2147483647</definedName>
    <definedName name="solver_itr" localSheetId="61" hidden="1">2147483647</definedName>
    <definedName name="solver_itr" localSheetId="60" hidden="1">2147483647</definedName>
    <definedName name="solver_itr" localSheetId="54" hidden="1">2147483647</definedName>
    <definedName name="solver_itr" localSheetId="55" hidden="1">2147483647</definedName>
    <definedName name="solver_itr" localSheetId="63" hidden="1">2147483647</definedName>
    <definedName name="solver_itr" localSheetId="9" hidden="1">2147483647</definedName>
    <definedName name="solver_itr" localSheetId="21" hidden="1">2147483647</definedName>
    <definedName name="solver_itr" localSheetId="22" hidden="1">2147483647</definedName>
    <definedName name="solver_itr" localSheetId="20" hidden="1">2147483647</definedName>
    <definedName name="solver_itr" localSheetId="25" hidden="1">2147483647</definedName>
    <definedName name="solver_itr" localSheetId="27" hidden="1">2147483647</definedName>
    <definedName name="solver_itr" localSheetId="40" hidden="1">2147483647</definedName>
    <definedName name="solver_itr" localSheetId="45" hidden="1">2147483647</definedName>
    <definedName name="solver_itr" localSheetId="46" hidden="1">2147483647</definedName>
    <definedName name="solver_lhs1" localSheetId="61" hidden="1">'14-Maximizing IR'!$B$43</definedName>
    <definedName name="solver_lhs1" localSheetId="60" hidden="1">'14-Maximizing IR1'!$H$14</definedName>
    <definedName name="solver_lhs1" localSheetId="9" hidden="1">'7-Var'!$B$64</definedName>
    <definedName name="solver_lhs1" localSheetId="21" hidden="1">'8-active portfolio'!$B$16</definedName>
    <definedName name="solver_lhs1" localSheetId="20" hidden="1">'8-Efficient Frontier'!$E$27:$E$36</definedName>
    <definedName name="solver_lhs1" localSheetId="45" hidden="1">'IR-2'!$C$40</definedName>
    <definedName name="solver_lhs1" localSheetId="46" hidden="1">'IR-3'!$C$39</definedName>
    <definedName name="solver_lhs2" localSheetId="61" hidden="1">'14-Maximizing IR'!$C$41</definedName>
    <definedName name="solver_lhs2" localSheetId="9" hidden="1">'7-Var'!$B$65</definedName>
    <definedName name="solver_lhs2" localSheetId="45" hidden="1">'IR-2'!$I$27</definedName>
    <definedName name="solver_lhs2" localSheetId="46" hidden="1">'IR-3'!$H$27</definedName>
    <definedName name="solver_lhs3" localSheetId="61" hidden="1">'14-Maximizing IR'!$I$25</definedName>
    <definedName name="solver_lhs3" localSheetId="9" hidden="1">'7-Var'!$C$64</definedName>
    <definedName name="solver_lhs3" localSheetId="45" hidden="1">'IR-2'!$M$22</definedName>
    <definedName name="solver_lhs3" localSheetId="46" hidden="1">'IR-3'!$H$27</definedName>
    <definedName name="solver_lhs4" localSheetId="9" hidden="1">'7-Var'!$C$65</definedName>
    <definedName name="solver_lhs4" localSheetId="46" hidden="1">'IR-3'!$H$27</definedName>
    <definedName name="solver_lhs5" localSheetId="46" hidden="1">'IR-3'!$H$27</definedName>
    <definedName name="solver_mip" localSheetId="31" hidden="1">2147483647</definedName>
    <definedName name="solver_mip" localSheetId="28" hidden="1">2147483647</definedName>
    <definedName name="solver_mip" localSheetId="32" hidden="1">2147483647</definedName>
    <definedName name="solver_mip" localSheetId="44" hidden="1">2147483647</definedName>
    <definedName name="solver_mip" localSheetId="61" hidden="1">2147483647</definedName>
    <definedName name="solver_mip" localSheetId="60" hidden="1">2147483647</definedName>
    <definedName name="solver_mip" localSheetId="54" hidden="1">2147483647</definedName>
    <definedName name="solver_mip" localSheetId="55" hidden="1">2147483647</definedName>
    <definedName name="solver_mip" localSheetId="63" hidden="1">2147483647</definedName>
    <definedName name="solver_mip" localSheetId="9" hidden="1">2147483647</definedName>
    <definedName name="solver_mip" localSheetId="21" hidden="1">2147483647</definedName>
    <definedName name="solver_mip" localSheetId="22" hidden="1">2147483647</definedName>
    <definedName name="solver_mip" localSheetId="20" hidden="1">2147483647</definedName>
    <definedName name="solver_mip" localSheetId="25" hidden="1">2147483647</definedName>
    <definedName name="solver_mip" localSheetId="27" hidden="1">2147483647</definedName>
    <definedName name="solver_mip" localSheetId="40" hidden="1">2147483647</definedName>
    <definedName name="solver_mip" localSheetId="45" hidden="1">2147483647</definedName>
    <definedName name="solver_mip" localSheetId="46" hidden="1">2147483647</definedName>
    <definedName name="solver_mni" localSheetId="31" hidden="1">30</definedName>
    <definedName name="solver_mni" localSheetId="28" hidden="1">30</definedName>
    <definedName name="solver_mni" localSheetId="32" hidden="1">30</definedName>
    <definedName name="solver_mni" localSheetId="44" hidden="1">30</definedName>
    <definedName name="solver_mni" localSheetId="61" hidden="1">30</definedName>
    <definedName name="solver_mni" localSheetId="60" hidden="1">30</definedName>
    <definedName name="solver_mni" localSheetId="54" hidden="1">30</definedName>
    <definedName name="solver_mni" localSheetId="55" hidden="1">30</definedName>
    <definedName name="solver_mni" localSheetId="63" hidden="1">30</definedName>
    <definedName name="solver_mni" localSheetId="9" hidden="1">30</definedName>
    <definedName name="solver_mni" localSheetId="21" hidden="1">30</definedName>
    <definedName name="solver_mni" localSheetId="22" hidden="1">30</definedName>
    <definedName name="solver_mni" localSheetId="20" hidden="1">30</definedName>
    <definedName name="solver_mni" localSheetId="25" hidden="1">30</definedName>
    <definedName name="solver_mni" localSheetId="27" hidden="1">30</definedName>
    <definedName name="solver_mni" localSheetId="40" hidden="1">30</definedName>
    <definedName name="solver_mni" localSheetId="45" hidden="1">30</definedName>
    <definedName name="solver_mni" localSheetId="46" hidden="1">30</definedName>
    <definedName name="solver_mrt" localSheetId="31" hidden="1">0.075</definedName>
    <definedName name="solver_mrt" localSheetId="28" hidden="1">0.075</definedName>
    <definedName name="solver_mrt" localSheetId="32" hidden="1">0.075</definedName>
    <definedName name="solver_mrt" localSheetId="44" hidden="1">0.075</definedName>
    <definedName name="solver_mrt" localSheetId="61" hidden="1">0.075</definedName>
    <definedName name="solver_mrt" localSheetId="60" hidden="1">0.075</definedName>
    <definedName name="solver_mrt" localSheetId="54" hidden="1">0.075</definedName>
    <definedName name="solver_mrt" localSheetId="55" hidden="1">0.075</definedName>
    <definedName name="solver_mrt" localSheetId="63" hidden="1">0.075</definedName>
    <definedName name="solver_mrt" localSheetId="9" hidden="1">0.075</definedName>
    <definedName name="solver_mrt" localSheetId="21" hidden="1">0.075</definedName>
    <definedName name="solver_mrt" localSheetId="22" hidden="1">0.075</definedName>
    <definedName name="solver_mrt" localSheetId="20" hidden="1">0.075</definedName>
    <definedName name="solver_mrt" localSheetId="25" hidden="1">0.075</definedName>
    <definedName name="solver_mrt" localSheetId="27" hidden="1">0.075</definedName>
    <definedName name="solver_mrt" localSheetId="40" hidden="1">0.075</definedName>
    <definedName name="solver_mrt" localSheetId="45" hidden="1">0.075</definedName>
    <definedName name="solver_mrt" localSheetId="46" hidden="1">0.075</definedName>
    <definedName name="solver_msl" localSheetId="31" hidden="1">2</definedName>
    <definedName name="solver_msl" localSheetId="28" hidden="1">2</definedName>
    <definedName name="solver_msl" localSheetId="32" hidden="1">2</definedName>
    <definedName name="solver_msl" localSheetId="44" hidden="1">2</definedName>
    <definedName name="solver_msl" localSheetId="61" hidden="1">2</definedName>
    <definedName name="solver_msl" localSheetId="60" hidden="1">2</definedName>
    <definedName name="solver_msl" localSheetId="54" hidden="1">2</definedName>
    <definedName name="solver_msl" localSheetId="55" hidden="1">2</definedName>
    <definedName name="solver_msl" localSheetId="63" hidden="1">2</definedName>
    <definedName name="solver_msl" localSheetId="9" hidden="1">2</definedName>
    <definedName name="solver_msl" localSheetId="21" hidden="1">2</definedName>
    <definedName name="solver_msl" localSheetId="22" hidden="1">2</definedName>
    <definedName name="solver_msl" localSheetId="20" hidden="1">2</definedName>
    <definedName name="solver_msl" localSheetId="25" hidden="1">2</definedName>
    <definedName name="solver_msl" localSheetId="27" hidden="1">2</definedName>
    <definedName name="solver_msl" localSheetId="40" hidden="1">2</definedName>
    <definedName name="solver_msl" localSheetId="45" hidden="1">2</definedName>
    <definedName name="solver_msl" localSheetId="46" hidden="1">2</definedName>
    <definedName name="solver_neg" localSheetId="31" hidden="1">2</definedName>
    <definedName name="solver_neg" localSheetId="28" hidden="1">2</definedName>
    <definedName name="solver_neg" localSheetId="32" hidden="1">2</definedName>
    <definedName name="solver_neg" localSheetId="44" hidden="1">2</definedName>
    <definedName name="solver_neg" localSheetId="61" hidden="1">2</definedName>
    <definedName name="solver_neg" localSheetId="60" hidden="1">2</definedName>
    <definedName name="solver_neg" localSheetId="54" hidden="1">2</definedName>
    <definedName name="solver_neg" localSheetId="55" hidden="1">2</definedName>
    <definedName name="solver_neg" localSheetId="63" hidden="1">1</definedName>
    <definedName name="solver_neg" localSheetId="9" hidden="1">2</definedName>
    <definedName name="solver_neg" localSheetId="21" hidden="1">2</definedName>
    <definedName name="solver_neg" localSheetId="22" hidden="1">2</definedName>
    <definedName name="solver_neg" localSheetId="20" hidden="1">2</definedName>
    <definedName name="solver_neg" localSheetId="25" hidden="1">2</definedName>
    <definedName name="solver_neg" localSheetId="27" hidden="1">2</definedName>
    <definedName name="solver_neg" localSheetId="40" hidden="1">2</definedName>
    <definedName name="solver_neg" localSheetId="45" hidden="1">2</definedName>
    <definedName name="solver_neg" localSheetId="46" hidden="1">2</definedName>
    <definedName name="solver_neg" localSheetId="48" hidden="1">1</definedName>
    <definedName name="solver_nod" localSheetId="31" hidden="1">2147483647</definedName>
    <definedName name="solver_nod" localSheetId="28" hidden="1">2147483647</definedName>
    <definedName name="solver_nod" localSheetId="32" hidden="1">2147483647</definedName>
    <definedName name="solver_nod" localSheetId="44" hidden="1">2147483647</definedName>
    <definedName name="solver_nod" localSheetId="61" hidden="1">2147483647</definedName>
    <definedName name="solver_nod" localSheetId="60" hidden="1">2147483647</definedName>
    <definedName name="solver_nod" localSheetId="54" hidden="1">2147483647</definedName>
    <definedName name="solver_nod" localSheetId="55" hidden="1">2147483647</definedName>
    <definedName name="solver_nod" localSheetId="63" hidden="1">2147483647</definedName>
    <definedName name="solver_nod" localSheetId="9" hidden="1">2147483647</definedName>
    <definedName name="solver_nod" localSheetId="21" hidden="1">2147483647</definedName>
    <definedName name="solver_nod" localSheetId="22" hidden="1">2147483647</definedName>
    <definedName name="solver_nod" localSheetId="20" hidden="1">2147483647</definedName>
    <definedName name="solver_nod" localSheetId="25" hidden="1">2147483647</definedName>
    <definedName name="solver_nod" localSheetId="27" hidden="1">2147483647</definedName>
    <definedName name="solver_nod" localSheetId="40" hidden="1">2147483647</definedName>
    <definedName name="solver_nod" localSheetId="45" hidden="1">2147483647</definedName>
    <definedName name="solver_nod" localSheetId="46" hidden="1">2147483647</definedName>
    <definedName name="solver_num" localSheetId="31" hidden="1">0</definedName>
    <definedName name="solver_num" localSheetId="28" hidden="1">0</definedName>
    <definedName name="solver_num" localSheetId="32" hidden="1">0</definedName>
    <definedName name="solver_num" localSheetId="44" hidden="1">0</definedName>
    <definedName name="solver_num" localSheetId="61" hidden="1">2</definedName>
    <definedName name="solver_num" localSheetId="60" hidden="1">1</definedName>
    <definedName name="solver_num" localSheetId="54" hidden="1">0</definedName>
    <definedName name="solver_num" localSheetId="55" hidden="1">0</definedName>
    <definedName name="solver_num" localSheetId="63" hidden="1">0</definedName>
    <definedName name="solver_num" localSheetId="9" hidden="1">4</definedName>
    <definedName name="solver_num" localSheetId="21" hidden="1">0</definedName>
    <definedName name="solver_num" localSheetId="22" hidden="1">0</definedName>
    <definedName name="solver_num" localSheetId="20" hidden="1">1</definedName>
    <definedName name="solver_num" localSheetId="25" hidden="1">0</definedName>
    <definedName name="solver_num" localSheetId="27" hidden="1">0</definedName>
    <definedName name="solver_num" localSheetId="40" hidden="1">0</definedName>
    <definedName name="solver_num" localSheetId="45" hidden="1">3</definedName>
    <definedName name="solver_num" localSheetId="46" hidden="1">2</definedName>
    <definedName name="solver_num" localSheetId="48" hidden="1">0</definedName>
    <definedName name="solver_nwt" localSheetId="31" hidden="1">1</definedName>
    <definedName name="solver_nwt" localSheetId="28" hidden="1">1</definedName>
    <definedName name="solver_nwt" localSheetId="32" hidden="1">1</definedName>
    <definedName name="solver_nwt" localSheetId="44" hidden="1">1</definedName>
    <definedName name="solver_nwt" localSheetId="61" hidden="1">1</definedName>
    <definedName name="solver_nwt" localSheetId="60" hidden="1">1</definedName>
    <definedName name="solver_nwt" localSheetId="54" hidden="1">1</definedName>
    <definedName name="solver_nwt" localSheetId="55" hidden="1">1</definedName>
    <definedName name="solver_nwt" localSheetId="63" hidden="1">1</definedName>
    <definedName name="solver_nwt" localSheetId="9" hidden="1">1</definedName>
    <definedName name="solver_nwt" localSheetId="21" hidden="1">1</definedName>
    <definedName name="solver_nwt" localSheetId="22" hidden="1">1</definedName>
    <definedName name="solver_nwt" localSheetId="20" hidden="1">1</definedName>
    <definedName name="solver_nwt" localSheetId="25" hidden="1">1</definedName>
    <definedName name="solver_nwt" localSheetId="27" hidden="1">1</definedName>
    <definedName name="solver_nwt" localSheetId="40" hidden="1">1</definedName>
    <definedName name="solver_nwt" localSheetId="45" hidden="1">1</definedName>
    <definedName name="solver_nwt" localSheetId="46" hidden="1">1</definedName>
    <definedName name="solver_opt" localSheetId="31" hidden="1">'10-Estimating Alpha'!$M$15</definedName>
    <definedName name="solver_opt" localSheetId="28" hidden="1">'10-Out of Sample'!$J$13</definedName>
    <definedName name="solver_opt" localSheetId="32" hidden="1">'10-Tweights5'!$J$21</definedName>
    <definedName name="solver_opt" localSheetId="44" hidden="1">'14-IR1'!$H$9</definedName>
    <definedName name="solver_opt" localSheetId="61" hidden="1">'14-Maximizing IR'!$B$45</definedName>
    <definedName name="solver_opt" localSheetId="60" hidden="1">'14-Maximizing IR1'!$J$14</definedName>
    <definedName name="solver_opt" localSheetId="54" hidden="1">'15-Consensus Model'!$K$27</definedName>
    <definedName name="solver_opt" localSheetId="55" hidden="1">'15-Thesis Model'!$K$27</definedName>
    <definedName name="solver_opt" localSheetId="63" hidden="1">'16-Debt Value'!$C$9</definedName>
    <definedName name="solver_opt" localSheetId="9" hidden="1">'7-Var'!$A$66</definedName>
    <definedName name="solver_opt" localSheetId="21" hidden="1">'8-active portfolio'!$B$17</definedName>
    <definedName name="solver_opt" localSheetId="22" hidden="1">'8-alpha'!$N$46</definedName>
    <definedName name="solver_opt" localSheetId="20" hidden="1">'8-Efficient Frontier'!$F$38</definedName>
    <definedName name="solver_opt" localSheetId="25" hidden="1">'8-Var2'!$B$25</definedName>
    <definedName name="solver_opt" localSheetId="27" hidden="1">'9-max corr'!$F$27</definedName>
    <definedName name="solver_opt" localSheetId="40" hidden="1">FI_Convexity!$H$40</definedName>
    <definedName name="solver_opt" localSheetId="45" hidden="1">'IR-2'!$H$27</definedName>
    <definedName name="solver_opt" localSheetId="46" hidden="1">'IR-3'!$G$27</definedName>
    <definedName name="solver_opt" localSheetId="48" hidden="1">'PA-2'!$F$3</definedName>
    <definedName name="solver_pre" localSheetId="31" hidden="1">0.000001</definedName>
    <definedName name="solver_pre" localSheetId="28" hidden="1">0.000001</definedName>
    <definedName name="solver_pre" localSheetId="32" hidden="1">0.000001</definedName>
    <definedName name="solver_pre" localSheetId="44" hidden="1">0.000001</definedName>
    <definedName name="solver_pre" localSheetId="61" hidden="1">0.000001</definedName>
    <definedName name="solver_pre" localSheetId="60" hidden="1">0.000001</definedName>
    <definedName name="solver_pre" localSheetId="54" hidden="1">0.000001</definedName>
    <definedName name="solver_pre" localSheetId="55" hidden="1">0.000001</definedName>
    <definedName name="solver_pre" localSheetId="63" hidden="1">0.000001</definedName>
    <definedName name="solver_pre" localSheetId="9" hidden="1">0.000001</definedName>
    <definedName name="solver_pre" localSheetId="21" hidden="1">0.000001</definedName>
    <definedName name="solver_pre" localSheetId="22" hidden="1">0.000001</definedName>
    <definedName name="solver_pre" localSheetId="20" hidden="1">0.000001</definedName>
    <definedName name="solver_pre" localSheetId="25" hidden="1">0.000001</definedName>
    <definedName name="solver_pre" localSheetId="27" hidden="1">0.000001</definedName>
    <definedName name="solver_pre" localSheetId="40" hidden="1">0.000001</definedName>
    <definedName name="solver_pre" localSheetId="45" hidden="1">0.000000001</definedName>
    <definedName name="solver_pre" localSheetId="46" hidden="1">0.000001</definedName>
    <definedName name="solver_rbv" localSheetId="31" hidden="1">1</definedName>
    <definedName name="solver_rbv" localSheetId="28" hidden="1">1</definedName>
    <definedName name="solver_rbv" localSheetId="32" hidden="1">1</definedName>
    <definedName name="solver_rbv" localSheetId="44" hidden="1">1</definedName>
    <definedName name="solver_rbv" localSheetId="61" hidden="1">2</definedName>
    <definedName name="solver_rbv" localSheetId="60" hidden="1">2</definedName>
    <definedName name="solver_rbv" localSheetId="54" hidden="1">1</definedName>
    <definedName name="solver_rbv" localSheetId="55" hidden="1">1</definedName>
    <definedName name="solver_rbv" localSheetId="63" hidden="1">1</definedName>
    <definedName name="solver_rbv" localSheetId="9" hidden="1">1</definedName>
    <definedName name="solver_rbv" localSheetId="21" hidden="1">1</definedName>
    <definedName name="solver_rbv" localSheetId="22" hidden="1">1</definedName>
    <definedName name="solver_rbv" localSheetId="20" hidden="1">1</definedName>
    <definedName name="solver_rbv" localSheetId="25" hidden="1">1</definedName>
    <definedName name="solver_rbv" localSheetId="27" hidden="1">1</definedName>
    <definedName name="solver_rbv" localSheetId="40" hidden="1">1</definedName>
    <definedName name="solver_rbv" localSheetId="45" hidden="1">2</definedName>
    <definedName name="solver_rbv" localSheetId="46" hidden="1">2</definedName>
    <definedName name="solver_rel1" localSheetId="61" hidden="1">2</definedName>
    <definedName name="solver_rel1" localSheetId="60" hidden="1">2</definedName>
    <definedName name="solver_rel1" localSheetId="9" hidden="1">2</definedName>
    <definedName name="solver_rel1" localSheetId="21" hidden="1">2</definedName>
    <definedName name="solver_rel1" localSheetId="20" hidden="1">2</definedName>
    <definedName name="solver_rel1" localSheetId="45" hidden="1">2</definedName>
    <definedName name="solver_rel1" localSheetId="46" hidden="1">2</definedName>
    <definedName name="solver_rel2" localSheetId="61" hidden="1">2</definedName>
    <definedName name="solver_rel2" localSheetId="9" hidden="1">2</definedName>
    <definedName name="solver_rel2" localSheetId="45" hidden="1">2</definedName>
    <definedName name="solver_rel2" localSheetId="46" hidden="1">2</definedName>
    <definedName name="solver_rel3" localSheetId="61" hidden="1">2</definedName>
    <definedName name="solver_rel3" localSheetId="9" hidden="1">2</definedName>
    <definedName name="solver_rel3" localSheetId="45" hidden="1">2</definedName>
    <definedName name="solver_rel3" localSheetId="46" hidden="1">2</definedName>
    <definedName name="solver_rel4" localSheetId="9" hidden="1">2</definedName>
    <definedName name="solver_rel4" localSheetId="46" hidden="1">2</definedName>
    <definedName name="solver_rel5" localSheetId="46" hidden="1">2</definedName>
    <definedName name="solver_rhs1" localSheetId="61" hidden="1">0.05</definedName>
    <definedName name="solver_rhs1" localSheetId="60" hidden="1">0.05</definedName>
    <definedName name="solver_rhs1" localSheetId="9" hidden="1">0</definedName>
    <definedName name="solver_rhs1" localSheetId="21" hidden="1">0.2</definedName>
    <definedName name="solver_rhs1" localSheetId="20" hidden="1">'8-Efficient Frontier'!$G$27:$G$36</definedName>
    <definedName name="solver_rhs1" localSheetId="45" hidden="1">0</definedName>
    <definedName name="solver_rhs1" localSheetId="46" hidden="1">0</definedName>
    <definedName name="solver_rhs2" localSheetId="61" hidden="1">1</definedName>
    <definedName name="solver_rhs2" localSheetId="9" hidden="1">1</definedName>
    <definedName name="solver_rhs2" localSheetId="45" hidden="1">0.05</definedName>
    <definedName name="solver_rhs2" localSheetId="46" hidden="1">0.05</definedName>
    <definedName name="solver_rhs3" localSheetId="61" hidden="1">0</definedName>
    <definedName name="solver_rhs3" localSheetId="9" hidden="1">0</definedName>
    <definedName name="solver_rhs3" localSheetId="45" hidden="1">0</definedName>
    <definedName name="solver_rhs3" localSheetId="46" hidden="1">0.05</definedName>
    <definedName name="solver_rhs4" localSheetId="9" hidden="1">1</definedName>
    <definedName name="solver_rhs4" localSheetId="46" hidden="1">0.05</definedName>
    <definedName name="solver_rhs5" localSheetId="46" hidden="1">0.05</definedName>
    <definedName name="solver_rlx" localSheetId="31" hidden="1">2</definedName>
    <definedName name="solver_rlx" localSheetId="28" hidden="1">2</definedName>
    <definedName name="solver_rlx" localSheetId="32" hidden="1">2</definedName>
    <definedName name="solver_rlx" localSheetId="44" hidden="1">2</definedName>
    <definedName name="solver_rlx" localSheetId="61" hidden="1">2</definedName>
    <definedName name="solver_rlx" localSheetId="60" hidden="1">2</definedName>
    <definedName name="solver_rlx" localSheetId="54" hidden="1">2</definedName>
    <definedName name="solver_rlx" localSheetId="55" hidden="1">2</definedName>
    <definedName name="solver_rlx" localSheetId="63" hidden="1">2</definedName>
    <definedName name="solver_rlx" localSheetId="9" hidden="1">2</definedName>
    <definedName name="solver_rlx" localSheetId="21" hidden="1">2</definedName>
    <definedName name="solver_rlx" localSheetId="22" hidden="1">2</definedName>
    <definedName name="solver_rlx" localSheetId="20" hidden="1">2</definedName>
    <definedName name="solver_rlx" localSheetId="25" hidden="1">2</definedName>
    <definedName name="solver_rlx" localSheetId="27" hidden="1">2</definedName>
    <definedName name="solver_rlx" localSheetId="40" hidden="1">2</definedName>
    <definedName name="solver_rlx" localSheetId="45" hidden="1">2</definedName>
    <definedName name="solver_rlx" localSheetId="46" hidden="1">2</definedName>
    <definedName name="solver_rsd" localSheetId="31" hidden="1">0</definedName>
    <definedName name="solver_rsd" localSheetId="28" hidden="1">0</definedName>
    <definedName name="solver_rsd" localSheetId="32" hidden="1">0</definedName>
    <definedName name="solver_rsd" localSheetId="44" hidden="1">0</definedName>
    <definedName name="solver_rsd" localSheetId="61" hidden="1">0</definedName>
    <definedName name="solver_rsd" localSheetId="60" hidden="1">0</definedName>
    <definedName name="solver_rsd" localSheetId="54" hidden="1">0</definedName>
    <definedName name="solver_rsd" localSheetId="55" hidden="1">0</definedName>
    <definedName name="solver_rsd" localSheetId="63" hidden="1">0</definedName>
    <definedName name="solver_rsd" localSheetId="9" hidden="1">0</definedName>
    <definedName name="solver_rsd" localSheetId="21" hidden="1">0</definedName>
    <definedName name="solver_rsd" localSheetId="22" hidden="1">0</definedName>
    <definedName name="solver_rsd" localSheetId="20" hidden="1">0</definedName>
    <definedName name="solver_rsd" localSheetId="25" hidden="1">0</definedName>
    <definedName name="solver_rsd" localSheetId="27" hidden="1">0</definedName>
    <definedName name="solver_rsd" localSheetId="40" hidden="1">0</definedName>
    <definedName name="solver_rsd" localSheetId="45" hidden="1">0</definedName>
    <definedName name="solver_rsd" localSheetId="46" hidden="1">0</definedName>
    <definedName name="solver_scl" localSheetId="31" hidden="1">1</definedName>
    <definedName name="solver_scl" localSheetId="28" hidden="1">1</definedName>
    <definedName name="solver_scl" localSheetId="32" hidden="1">1</definedName>
    <definedName name="solver_scl" localSheetId="44" hidden="1">1</definedName>
    <definedName name="solver_scl" localSheetId="61" hidden="1">2</definedName>
    <definedName name="solver_scl" localSheetId="60" hidden="1">2</definedName>
    <definedName name="solver_scl" localSheetId="54" hidden="1">1</definedName>
    <definedName name="solver_scl" localSheetId="55" hidden="1">1</definedName>
    <definedName name="solver_scl" localSheetId="63" hidden="1">1</definedName>
    <definedName name="solver_scl" localSheetId="9" hidden="1">1</definedName>
    <definedName name="solver_scl" localSheetId="21" hidden="1">1</definedName>
    <definedName name="solver_scl" localSheetId="22" hidden="1">1</definedName>
    <definedName name="solver_scl" localSheetId="20" hidden="1">1</definedName>
    <definedName name="solver_scl" localSheetId="25" hidden="1">1</definedName>
    <definedName name="solver_scl" localSheetId="27" hidden="1">1</definedName>
    <definedName name="solver_scl" localSheetId="40" hidden="1">1</definedName>
    <definedName name="solver_scl" localSheetId="45" hidden="1">2</definedName>
    <definedName name="solver_scl" localSheetId="46" hidden="1">2</definedName>
    <definedName name="solver_sho" localSheetId="31" hidden="1">2</definedName>
    <definedName name="solver_sho" localSheetId="28" hidden="1">2</definedName>
    <definedName name="solver_sho" localSheetId="32" hidden="1">2</definedName>
    <definedName name="solver_sho" localSheetId="44" hidden="1">2</definedName>
    <definedName name="solver_sho" localSheetId="61" hidden="1">2</definedName>
    <definedName name="solver_sho" localSheetId="60" hidden="1">2</definedName>
    <definedName name="solver_sho" localSheetId="54" hidden="1">2</definedName>
    <definedName name="solver_sho" localSheetId="55" hidden="1">2</definedName>
    <definedName name="solver_sho" localSheetId="63" hidden="1">2</definedName>
    <definedName name="solver_sho" localSheetId="9" hidden="1">2</definedName>
    <definedName name="solver_sho" localSheetId="21" hidden="1">2</definedName>
    <definedName name="solver_sho" localSheetId="22" hidden="1">2</definedName>
    <definedName name="solver_sho" localSheetId="20" hidden="1">2</definedName>
    <definedName name="solver_sho" localSheetId="25" hidden="1">2</definedName>
    <definedName name="solver_sho" localSheetId="27" hidden="1">2</definedName>
    <definedName name="solver_sho" localSheetId="40" hidden="1">2</definedName>
    <definedName name="solver_sho" localSheetId="45" hidden="1">2</definedName>
    <definedName name="solver_sho" localSheetId="46" hidden="1">2</definedName>
    <definedName name="solver_ssz" localSheetId="31" hidden="1">100</definedName>
    <definedName name="solver_ssz" localSheetId="28" hidden="1">100</definedName>
    <definedName name="solver_ssz" localSheetId="32" hidden="1">100</definedName>
    <definedName name="solver_ssz" localSheetId="44" hidden="1">100</definedName>
    <definedName name="solver_ssz" localSheetId="61" hidden="1">100</definedName>
    <definedName name="solver_ssz" localSheetId="60" hidden="1">100</definedName>
    <definedName name="solver_ssz" localSheetId="54" hidden="1">100</definedName>
    <definedName name="solver_ssz" localSheetId="55" hidden="1">100</definedName>
    <definedName name="solver_ssz" localSheetId="63" hidden="1">100</definedName>
    <definedName name="solver_ssz" localSheetId="9" hidden="1">100</definedName>
    <definedName name="solver_ssz" localSheetId="21" hidden="1">100</definedName>
    <definedName name="solver_ssz" localSheetId="22" hidden="1">100</definedName>
    <definedName name="solver_ssz" localSheetId="20" hidden="1">100</definedName>
    <definedName name="solver_ssz" localSheetId="25" hidden="1">100</definedName>
    <definedName name="solver_ssz" localSheetId="27" hidden="1">100</definedName>
    <definedName name="solver_ssz" localSheetId="40" hidden="1">100</definedName>
    <definedName name="solver_ssz" localSheetId="45" hidden="1">100</definedName>
    <definedName name="solver_ssz" localSheetId="46" hidden="1">100</definedName>
    <definedName name="solver_tim" localSheetId="31" hidden="1">2147483647</definedName>
    <definedName name="solver_tim" localSheetId="28" hidden="1">2147483647</definedName>
    <definedName name="solver_tim" localSheetId="32" hidden="1">2147483647</definedName>
    <definedName name="solver_tim" localSheetId="44" hidden="1">2147483647</definedName>
    <definedName name="solver_tim" localSheetId="61" hidden="1">2147483647</definedName>
    <definedName name="solver_tim" localSheetId="60" hidden="1">2147483647</definedName>
    <definedName name="solver_tim" localSheetId="54" hidden="1">2147483647</definedName>
    <definedName name="solver_tim" localSheetId="55" hidden="1">2147483647</definedName>
    <definedName name="solver_tim" localSheetId="63" hidden="1">2147483647</definedName>
    <definedName name="solver_tim" localSheetId="9" hidden="1">2147483647</definedName>
    <definedName name="solver_tim" localSheetId="21" hidden="1">2147483647</definedName>
    <definedName name="solver_tim" localSheetId="22" hidden="1">2147483647</definedName>
    <definedName name="solver_tim" localSheetId="20" hidden="1">2147483647</definedName>
    <definedName name="solver_tim" localSheetId="25" hidden="1">2147483647</definedName>
    <definedName name="solver_tim" localSheetId="27" hidden="1">2147483647</definedName>
    <definedName name="solver_tim" localSheetId="40" hidden="1">2147483647</definedName>
    <definedName name="solver_tim" localSheetId="45" hidden="1">2147483647</definedName>
    <definedName name="solver_tim" localSheetId="46" hidden="1">2147483647</definedName>
    <definedName name="solver_tol" localSheetId="31" hidden="1">0.01</definedName>
    <definedName name="solver_tol" localSheetId="28" hidden="1">0.01</definedName>
    <definedName name="solver_tol" localSheetId="32" hidden="1">0.01</definedName>
    <definedName name="solver_tol" localSheetId="44" hidden="1">0.01</definedName>
    <definedName name="solver_tol" localSheetId="61" hidden="1">0.01</definedName>
    <definedName name="solver_tol" localSheetId="60" hidden="1">0.01</definedName>
    <definedName name="solver_tol" localSheetId="54" hidden="1">0.01</definedName>
    <definedName name="solver_tol" localSheetId="55" hidden="1">0.01</definedName>
    <definedName name="solver_tol" localSheetId="63" hidden="1">0.01</definedName>
    <definedName name="solver_tol" localSheetId="9" hidden="1">0.01</definedName>
    <definedName name="solver_tol" localSheetId="21" hidden="1">0.01</definedName>
    <definedName name="solver_tol" localSheetId="22" hidden="1">0.01</definedName>
    <definedName name="solver_tol" localSheetId="20" hidden="1">0.01</definedName>
    <definedName name="solver_tol" localSheetId="25" hidden="1">0.01</definedName>
    <definedName name="solver_tol" localSheetId="27" hidden="1">0.01</definedName>
    <definedName name="solver_tol" localSheetId="40" hidden="1">0.01</definedName>
    <definedName name="solver_tol" localSheetId="45" hidden="1">0.01</definedName>
    <definedName name="solver_tol" localSheetId="46" hidden="1">0.01</definedName>
    <definedName name="solver_typ" localSheetId="31" hidden="1">1</definedName>
    <definedName name="solver_typ" localSheetId="28" hidden="1">1</definedName>
    <definedName name="solver_typ" localSheetId="32" hidden="1">1</definedName>
    <definedName name="solver_typ" localSheetId="44" hidden="1">3</definedName>
    <definedName name="solver_typ" localSheetId="61" hidden="1">1</definedName>
    <definedName name="solver_typ" localSheetId="60" hidden="1">1</definedName>
    <definedName name="solver_typ" localSheetId="54" hidden="1">3</definedName>
    <definedName name="solver_typ" localSheetId="55" hidden="1">3</definedName>
    <definedName name="solver_typ" localSheetId="63" hidden="1">3</definedName>
    <definedName name="solver_typ" localSheetId="9" hidden="1">3</definedName>
    <definedName name="solver_typ" localSheetId="21" hidden="1">1</definedName>
    <definedName name="solver_typ" localSheetId="22" hidden="1">1</definedName>
    <definedName name="solver_typ" localSheetId="20" hidden="1">2</definedName>
    <definedName name="solver_typ" localSheetId="25" hidden="1">1</definedName>
    <definedName name="solver_typ" localSheetId="27" hidden="1">1</definedName>
    <definedName name="solver_typ" localSheetId="40" hidden="1">3</definedName>
    <definedName name="solver_typ" localSheetId="45" hidden="1">1</definedName>
    <definedName name="solver_typ" localSheetId="46" hidden="1">1</definedName>
    <definedName name="solver_typ" localSheetId="48" hidden="1">1</definedName>
    <definedName name="solver_val" localSheetId="31" hidden="1">0</definedName>
    <definedName name="solver_val" localSheetId="28" hidden="1">0</definedName>
    <definedName name="solver_val" localSheetId="32" hidden="1">0</definedName>
    <definedName name="solver_val" localSheetId="44" hidden="1">1</definedName>
    <definedName name="solver_val" localSheetId="61" hidden="1">0</definedName>
    <definedName name="solver_val" localSheetId="60" hidden="1">0</definedName>
    <definedName name="solver_val" localSheetId="54" hidden="1">12.15</definedName>
    <definedName name="solver_val" localSheetId="55" hidden="1">12.15</definedName>
    <definedName name="solver_val" localSheetId="63" hidden="1">30</definedName>
    <definedName name="solver_val" localSheetId="9" hidden="1">0</definedName>
    <definedName name="solver_val" localSheetId="21" hidden="1">0</definedName>
    <definedName name="solver_val" localSheetId="22" hidden="1">0</definedName>
    <definedName name="solver_val" localSheetId="20" hidden="1">-0.1</definedName>
    <definedName name="solver_val" localSheetId="25" hidden="1">0</definedName>
    <definedName name="solver_val" localSheetId="27" hidden="1">0</definedName>
    <definedName name="solver_val" localSheetId="40" hidden="1">0</definedName>
    <definedName name="solver_val" localSheetId="45" hidden="1">0</definedName>
    <definedName name="solver_val" localSheetId="46" hidden="1">0</definedName>
    <definedName name="solver_val" localSheetId="48" hidden="1">0</definedName>
    <definedName name="solver_ver" localSheetId="31" hidden="1">3</definedName>
    <definedName name="solver_ver" localSheetId="28" hidden="1">3</definedName>
    <definedName name="solver_ver" localSheetId="32" hidden="1">3</definedName>
    <definedName name="solver_ver" localSheetId="44" hidden="1">3</definedName>
    <definedName name="solver_ver" localSheetId="61" hidden="1">3</definedName>
    <definedName name="solver_ver" localSheetId="60" hidden="1">3</definedName>
    <definedName name="solver_ver" localSheetId="54" hidden="1">3</definedName>
    <definedName name="solver_ver" localSheetId="55" hidden="1">3</definedName>
    <definedName name="solver_ver" localSheetId="63" hidden="1">3</definedName>
    <definedName name="solver_ver" localSheetId="9" hidden="1">3</definedName>
    <definedName name="solver_ver" localSheetId="21" hidden="1">3</definedName>
    <definedName name="solver_ver" localSheetId="22" hidden="1">3</definedName>
    <definedName name="solver_ver" localSheetId="20" hidden="1">3</definedName>
    <definedName name="solver_ver" localSheetId="25" hidden="1">3</definedName>
    <definedName name="solver_ver" localSheetId="27" hidden="1">3</definedName>
    <definedName name="solver_ver" localSheetId="40" hidden="1">3</definedName>
    <definedName name="solver_ver" localSheetId="45" hidden="1">3</definedName>
    <definedName name="solver_ver" localSheetId="46" hidden="1">3</definedName>
    <definedName name="solver_ver" localSheetId="48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83" l="1"/>
  <c r="G38" i="83"/>
  <c r="F39" i="83"/>
  <c r="E39" i="83"/>
  <c r="D39" i="83"/>
  <c r="C39" i="83"/>
  <c r="B39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AY71" i="85"/>
  <c r="AV71" i="85"/>
  <c r="AY67" i="85"/>
  <c r="AV67" i="85"/>
  <c r="AY70" i="85"/>
  <c r="AV70" i="85"/>
  <c r="BF5" i="85"/>
  <c r="BF6" i="85"/>
  <c r="BF7" i="85"/>
  <c r="BF8" i="85"/>
  <c r="BF9" i="85"/>
  <c r="BF10" i="85"/>
  <c r="BF11" i="85"/>
  <c r="BF12" i="85"/>
  <c r="BF13" i="85"/>
  <c r="BF14" i="85"/>
  <c r="BF15" i="85"/>
  <c r="BF16" i="85"/>
  <c r="BF17" i="85"/>
  <c r="BF18" i="85"/>
  <c r="BF19" i="85"/>
  <c r="BF20" i="85"/>
  <c r="BF21" i="85"/>
  <c r="BF22" i="85"/>
  <c r="BF23" i="85"/>
  <c r="BF24" i="85"/>
  <c r="BF25" i="85"/>
  <c r="BF26" i="85"/>
  <c r="BF27" i="85"/>
  <c r="BF28" i="85"/>
  <c r="BF29" i="85"/>
  <c r="BF30" i="85"/>
  <c r="BF31" i="85"/>
  <c r="BF32" i="85"/>
  <c r="BF33" i="85"/>
  <c r="BF34" i="85"/>
  <c r="BF35" i="85"/>
  <c r="BF36" i="85"/>
  <c r="BF37" i="85"/>
  <c r="BF38" i="85"/>
  <c r="BF39" i="85"/>
  <c r="BF40" i="85"/>
  <c r="BF41" i="85"/>
  <c r="BF42" i="85"/>
  <c r="BF43" i="85"/>
  <c r="BF44" i="85"/>
  <c r="BF45" i="85"/>
  <c r="BF46" i="85"/>
  <c r="BF47" i="85"/>
  <c r="BF48" i="85"/>
  <c r="BF49" i="85"/>
  <c r="BF50" i="85"/>
  <c r="BF51" i="85"/>
  <c r="BF52" i="85"/>
  <c r="BF53" i="85"/>
  <c r="BF54" i="85"/>
  <c r="BF55" i="85"/>
  <c r="BF56" i="85"/>
  <c r="BF57" i="85"/>
  <c r="BF58" i="85"/>
  <c r="BF59" i="85"/>
  <c r="BF60" i="85"/>
  <c r="BF61" i="85"/>
  <c r="BF62" i="85"/>
  <c r="BF63" i="85"/>
  <c r="BF4" i="85"/>
  <c r="U5" i="85"/>
  <c r="U6" i="85"/>
  <c r="U7" i="85"/>
  <c r="U8" i="85"/>
  <c r="U9" i="85"/>
  <c r="U10" i="85"/>
  <c r="U11" i="85"/>
  <c r="U12" i="85"/>
  <c r="U13" i="85"/>
  <c r="U14" i="85"/>
  <c r="U15" i="85"/>
  <c r="U16" i="85"/>
  <c r="U17" i="85"/>
  <c r="U18" i="85"/>
  <c r="U19" i="85"/>
  <c r="U20" i="85"/>
  <c r="U21" i="85"/>
  <c r="U22" i="85"/>
  <c r="U23" i="85"/>
  <c r="U24" i="85"/>
  <c r="U25" i="85"/>
  <c r="U26" i="85"/>
  <c r="U27" i="85"/>
  <c r="U28" i="85"/>
  <c r="U29" i="85"/>
  <c r="U30" i="85"/>
  <c r="U31" i="85"/>
  <c r="U32" i="85"/>
  <c r="U33" i="85"/>
  <c r="U34" i="85"/>
  <c r="U35" i="85"/>
  <c r="U36" i="85"/>
  <c r="U37" i="85"/>
  <c r="U38" i="85"/>
  <c r="U39" i="85"/>
  <c r="U40" i="85"/>
  <c r="U41" i="85"/>
  <c r="U42" i="85"/>
  <c r="U43" i="85"/>
  <c r="U44" i="85"/>
  <c r="U45" i="85"/>
  <c r="U46" i="85"/>
  <c r="U47" i="85"/>
  <c r="U48" i="85"/>
  <c r="U49" i="85"/>
  <c r="U50" i="85"/>
  <c r="U51" i="85"/>
  <c r="U52" i="85"/>
  <c r="U53" i="85"/>
  <c r="U54" i="85"/>
  <c r="U55" i="85"/>
  <c r="U56" i="85"/>
  <c r="U57" i="85"/>
  <c r="U58" i="85"/>
  <c r="U59" i="85"/>
  <c r="U60" i="85"/>
  <c r="U61" i="85"/>
  <c r="U62" i="85"/>
  <c r="U63" i="85"/>
  <c r="U4" i="85"/>
  <c r="BE63" i="85"/>
  <c r="BE62" i="85"/>
  <c r="BE61" i="85"/>
  <c r="BE60" i="85"/>
  <c r="BE57" i="85"/>
  <c r="BE56" i="85"/>
  <c r="BE55" i="85"/>
  <c r="BE53" i="85"/>
  <c r="BE52" i="85"/>
  <c r="BE51" i="85"/>
  <c r="BE50" i="85"/>
  <c r="BE49" i="85"/>
  <c r="BE48" i="85"/>
  <c r="BE47" i="85"/>
  <c r="BE46" i="85"/>
  <c r="BE45" i="85"/>
  <c r="BE44" i="85"/>
  <c r="BE43" i="85"/>
  <c r="BE42" i="85"/>
  <c r="BE41" i="85"/>
  <c r="BE40" i="85"/>
  <c r="BE39" i="85"/>
  <c r="BE38" i="85"/>
  <c r="BE35" i="85"/>
  <c r="BE34" i="85"/>
  <c r="BE33" i="85"/>
  <c r="BE31" i="85"/>
  <c r="BE30" i="85"/>
  <c r="BE29" i="85"/>
  <c r="BE28" i="85"/>
  <c r="BE27" i="85"/>
  <c r="BE26" i="85"/>
  <c r="BE25" i="85"/>
  <c r="BE24" i="85"/>
  <c r="BE23" i="85"/>
  <c r="BE22" i="85"/>
  <c r="BE21" i="85"/>
  <c r="BE20" i="85"/>
  <c r="BE19" i="85"/>
  <c r="BE18" i="85"/>
  <c r="BE17" i="85"/>
  <c r="BE16" i="85"/>
  <c r="BE13" i="85"/>
  <c r="BE12" i="85"/>
  <c r="BE11" i="85"/>
  <c r="BE9" i="85"/>
  <c r="BE8" i="85"/>
  <c r="BE7" i="85"/>
  <c r="BE6" i="85"/>
  <c r="BE5" i="85"/>
  <c r="BE4" i="85"/>
  <c r="R5" i="85"/>
  <c r="R6" i="85"/>
  <c r="R7" i="85"/>
  <c r="AB7" i="85" s="1"/>
  <c r="R8" i="85"/>
  <c r="AB8" i="85" s="1"/>
  <c r="AN8" i="85" s="1"/>
  <c r="R9" i="85"/>
  <c r="R10" i="85"/>
  <c r="AB10" i="85" s="1"/>
  <c r="R11" i="85"/>
  <c r="R12" i="85"/>
  <c r="R13" i="85"/>
  <c r="AB13" i="85" s="1"/>
  <c r="R14" i="85"/>
  <c r="AB14" i="85" s="1"/>
  <c r="R15" i="85"/>
  <c r="R16" i="85"/>
  <c r="R17" i="85"/>
  <c r="R18" i="85"/>
  <c r="AB18" i="85" s="1"/>
  <c r="R19" i="85"/>
  <c r="R20" i="85"/>
  <c r="R21" i="85"/>
  <c r="AB21" i="85" s="1"/>
  <c r="AN21" i="85" s="1"/>
  <c r="R22" i="85"/>
  <c r="R23" i="85"/>
  <c r="R24" i="85"/>
  <c r="AB24" i="85" s="1"/>
  <c r="R25" i="85"/>
  <c r="R26" i="85"/>
  <c r="R27" i="85"/>
  <c r="R28" i="85"/>
  <c r="R29" i="85"/>
  <c r="AB29" i="85" s="1"/>
  <c r="R30" i="85"/>
  <c r="R31" i="85"/>
  <c r="R32" i="85"/>
  <c r="R33" i="85"/>
  <c r="AB33" i="85" s="1"/>
  <c r="AN33" i="85" s="1"/>
  <c r="R34" i="85"/>
  <c r="AB34" i="85" s="1"/>
  <c r="R35" i="85"/>
  <c r="R36" i="85"/>
  <c r="R37" i="85"/>
  <c r="R38" i="85"/>
  <c r="R39" i="85"/>
  <c r="R40" i="85"/>
  <c r="AB40" i="85" s="1"/>
  <c r="R41" i="85"/>
  <c r="AB41" i="85" s="1"/>
  <c r="R42" i="85"/>
  <c r="R43" i="85"/>
  <c r="AB43" i="85" s="1"/>
  <c r="AM43" i="85" s="1"/>
  <c r="R44" i="85"/>
  <c r="R45" i="85"/>
  <c r="R46" i="85"/>
  <c r="AB46" i="85" s="1"/>
  <c r="AN46" i="85" s="1"/>
  <c r="R47" i="85"/>
  <c r="R48" i="85"/>
  <c r="R49" i="85"/>
  <c r="R50" i="85"/>
  <c r="R51" i="85"/>
  <c r="R52" i="85"/>
  <c r="AB52" i="85" s="1"/>
  <c r="R53" i="85"/>
  <c r="R54" i="85"/>
  <c r="AB54" i="85" s="1"/>
  <c r="R55" i="85"/>
  <c r="R56" i="85"/>
  <c r="AB56" i="85" s="1"/>
  <c r="AN56" i="85" s="1"/>
  <c r="R57" i="85"/>
  <c r="R58" i="85"/>
  <c r="R59" i="85"/>
  <c r="R60" i="85"/>
  <c r="R61" i="85"/>
  <c r="R62" i="85"/>
  <c r="R63" i="85"/>
  <c r="R4" i="85"/>
  <c r="F65" i="85"/>
  <c r="E65" i="85"/>
  <c r="D65" i="85"/>
  <c r="C65" i="85"/>
  <c r="B65" i="85"/>
  <c r="AL30" i="85"/>
  <c r="AK30" i="85"/>
  <c r="AJ30" i="85"/>
  <c r="AS30" i="85" s="1"/>
  <c r="AG63" i="85"/>
  <c r="AH62" i="85"/>
  <c r="AG62" i="85"/>
  <c r="AE60" i="85"/>
  <c r="AH42" i="85"/>
  <c r="AG42" i="85"/>
  <c r="AQ42" i="85" s="1"/>
  <c r="AG41" i="85"/>
  <c r="AH40" i="85"/>
  <c r="AG40" i="85"/>
  <c r="AQ40" i="85" s="1"/>
  <c r="AG38" i="85"/>
  <c r="AQ38" i="85" s="1"/>
  <c r="AH31" i="85"/>
  <c r="AH30" i="85"/>
  <c r="AG30" i="85"/>
  <c r="AQ30" i="85" s="1"/>
  <c r="AA63" i="85"/>
  <c r="AL63" i="85" s="1"/>
  <c r="AB62" i="85"/>
  <c r="AM62" i="85" s="1"/>
  <c r="AA62" i="85"/>
  <c r="AK62" i="85" s="1"/>
  <c r="AA61" i="85"/>
  <c r="AA60" i="85"/>
  <c r="AA59" i="85"/>
  <c r="AL59" i="85" s="1"/>
  <c r="AA58" i="85"/>
  <c r="AA57" i="85"/>
  <c r="AA56" i="85"/>
  <c r="AA55" i="85"/>
  <c r="AJ55" i="85" s="1"/>
  <c r="AA54" i="85"/>
  <c r="AL54" i="85" s="1"/>
  <c r="AB53" i="85"/>
  <c r="AA53" i="85"/>
  <c r="AA52" i="85"/>
  <c r="AB51" i="85"/>
  <c r="AN51" i="85" s="1"/>
  <c r="AA51" i="85"/>
  <c r="AA50" i="85"/>
  <c r="AA49" i="85"/>
  <c r="AL49" i="85" s="1"/>
  <c r="AA48" i="85"/>
  <c r="AA47" i="85"/>
  <c r="AL47" i="85" s="1"/>
  <c r="AA46" i="85"/>
  <c r="AA45" i="85"/>
  <c r="AA44" i="85"/>
  <c r="AK44" i="85" s="1"/>
  <c r="AA43" i="85"/>
  <c r="AA42" i="85"/>
  <c r="AA41" i="85"/>
  <c r="AA40" i="85"/>
  <c r="AA39" i="85"/>
  <c r="AA38" i="85"/>
  <c r="AA37" i="85"/>
  <c r="AL37" i="85" s="1"/>
  <c r="AA36" i="85"/>
  <c r="AA35" i="85"/>
  <c r="AA34" i="85"/>
  <c r="AL34" i="85" s="1"/>
  <c r="AA33" i="85"/>
  <c r="AB32" i="85"/>
  <c r="AN32" i="85" s="1"/>
  <c r="AA32" i="85"/>
  <c r="AL32" i="85" s="1"/>
  <c r="AA31" i="85"/>
  <c r="AJ31" i="85" s="1"/>
  <c r="AA30" i="85"/>
  <c r="AA29" i="85"/>
  <c r="AL29" i="85" s="1"/>
  <c r="AA28" i="85"/>
  <c r="AJ28" i="85" s="1"/>
  <c r="AA27" i="85"/>
  <c r="AL27" i="85" s="1"/>
  <c r="AA26" i="85"/>
  <c r="AA25" i="85"/>
  <c r="AL25" i="85" s="1"/>
  <c r="AA24" i="85"/>
  <c r="AL24" i="85" s="1"/>
  <c r="AA23" i="85"/>
  <c r="AA22" i="85"/>
  <c r="AA21" i="85"/>
  <c r="AA20" i="85"/>
  <c r="AA19" i="85"/>
  <c r="AA18" i="85"/>
  <c r="AA17" i="85"/>
  <c r="AA16" i="85"/>
  <c r="AA15" i="85"/>
  <c r="AA14" i="85"/>
  <c r="AL14" i="85" s="1"/>
  <c r="AA13" i="85"/>
  <c r="AJ13" i="85" s="1"/>
  <c r="AB12" i="85"/>
  <c r="AA12" i="85"/>
  <c r="AK12" i="85" s="1"/>
  <c r="AA11" i="85"/>
  <c r="AL11" i="85" s="1"/>
  <c r="AA10" i="85"/>
  <c r="AA9" i="85"/>
  <c r="AA8" i="85"/>
  <c r="AA7" i="85"/>
  <c r="AA6" i="85"/>
  <c r="AA5" i="85"/>
  <c r="Y63" i="85"/>
  <c r="AH63" i="85" s="1"/>
  <c r="X63" i="85"/>
  <c r="AF63" i="85" s="1"/>
  <c r="Y62" i="85"/>
  <c r="X62" i="85"/>
  <c r="AF62" i="85" s="1"/>
  <c r="Y61" i="85"/>
  <c r="AG61" i="85" s="1"/>
  <c r="X61" i="85"/>
  <c r="Y60" i="85"/>
  <c r="AH60" i="85" s="1"/>
  <c r="X60" i="85"/>
  <c r="AD60" i="85" s="1"/>
  <c r="Y59" i="85"/>
  <c r="AH59" i="85" s="1"/>
  <c r="X59" i="85"/>
  <c r="AF59" i="85" s="1"/>
  <c r="Y58" i="85"/>
  <c r="AH58" i="85" s="1"/>
  <c r="X58" i="85"/>
  <c r="AD58" i="85" s="1"/>
  <c r="Y57" i="85"/>
  <c r="AH57" i="85" s="1"/>
  <c r="X57" i="85"/>
  <c r="AF57" i="85" s="1"/>
  <c r="Y56" i="85"/>
  <c r="AG56" i="85" s="1"/>
  <c r="X56" i="85"/>
  <c r="AD56" i="85" s="1"/>
  <c r="Y55" i="85"/>
  <c r="AG55" i="85" s="1"/>
  <c r="X55" i="85"/>
  <c r="Y54" i="85"/>
  <c r="X54" i="85"/>
  <c r="AF54" i="85" s="1"/>
  <c r="Y53" i="85"/>
  <c r="AG53" i="85" s="1"/>
  <c r="X53" i="85"/>
  <c r="AF53" i="85" s="1"/>
  <c r="Y52" i="85"/>
  <c r="AG52" i="85" s="1"/>
  <c r="X52" i="85"/>
  <c r="AE52" i="85" s="1"/>
  <c r="Y51" i="85"/>
  <c r="AH51" i="85" s="1"/>
  <c r="X51" i="85"/>
  <c r="AE51" i="85" s="1"/>
  <c r="Y50" i="85"/>
  <c r="AG50" i="85" s="1"/>
  <c r="X50" i="85"/>
  <c r="Y49" i="85"/>
  <c r="AH49" i="85" s="1"/>
  <c r="X49" i="85"/>
  <c r="AE49" i="85" s="1"/>
  <c r="Y48" i="85"/>
  <c r="AH48" i="85" s="1"/>
  <c r="X48" i="85"/>
  <c r="AE48" i="85" s="1"/>
  <c r="Y47" i="85"/>
  <c r="AH47" i="85" s="1"/>
  <c r="X47" i="85"/>
  <c r="AE47" i="85" s="1"/>
  <c r="Y46" i="85"/>
  <c r="AH46" i="85" s="1"/>
  <c r="X46" i="85"/>
  <c r="AD46" i="85" s="1"/>
  <c r="Y45" i="85"/>
  <c r="AH45" i="85" s="1"/>
  <c r="X45" i="85"/>
  <c r="AF45" i="85" s="1"/>
  <c r="Y44" i="85"/>
  <c r="X44" i="85"/>
  <c r="Y43" i="85"/>
  <c r="X43" i="85"/>
  <c r="AF43" i="85" s="1"/>
  <c r="Y42" i="85"/>
  <c r="X42" i="85"/>
  <c r="AF42" i="85" s="1"/>
  <c r="Y41" i="85"/>
  <c r="AH41" i="85" s="1"/>
  <c r="X41" i="85"/>
  <c r="AF41" i="85" s="1"/>
  <c r="Y40" i="85"/>
  <c r="X40" i="85"/>
  <c r="AF40" i="85" s="1"/>
  <c r="Y39" i="85"/>
  <c r="X39" i="85"/>
  <c r="Y38" i="85"/>
  <c r="AH38" i="85" s="1"/>
  <c r="X38" i="85"/>
  <c r="AD38" i="85" s="1"/>
  <c r="Y37" i="85"/>
  <c r="AH37" i="85" s="1"/>
  <c r="X37" i="85"/>
  <c r="AF37" i="85" s="1"/>
  <c r="Y36" i="85"/>
  <c r="AH36" i="85" s="1"/>
  <c r="X36" i="85"/>
  <c r="AD36" i="85" s="1"/>
  <c r="Y35" i="85"/>
  <c r="AH35" i="85" s="1"/>
  <c r="X35" i="85"/>
  <c r="AD35" i="85" s="1"/>
  <c r="Y34" i="85"/>
  <c r="AH34" i="85" s="1"/>
  <c r="X34" i="85"/>
  <c r="AF34" i="85" s="1"/>
  <c r="Y33" i="85"/>
  <c r="AG33" i="85" s="1"/>
  <c r="X33" i="85"/>
  <c r="Y32" i="85"/>
  <c r="X32" i="85"/>
  <c r="AF32" i="85" s="1"/>
  <c r="Y31" i="85"/>
  <c r="AG31" i="85" s="1"/>
  <c r="X31" i="85"/>
  <c r="AF31" i="85" s="1"/>
  <c r="Y30" i="85"/>
  <c r="X30" i="85"/>
  <c r="AE30" i="85" s="1"/>
  <c r="Y29" i="85"/>
  <c r="AH29" i="85" s="1"/>
  <c r="X29" i="85"/>
  <c r="AE29" i="85" s="1"/>
  <c r="Y28" i="85"/>
  <c r="AH28" i="85" s="1"/>
  <c r="X28" i="85"/>
  <c r="Y27" i="85"/>
  <c r="AH27" i="85" s="1"/>
  <c r="X27" i="85"/>
  <c r="AE27" i="85" s="1"/>
  <c r="Y26" i="85"/>
  <c r="AH26" i="85" s="1"/>
  <c r="X26" i="85"/>
  <c r="AD26" i="85" s="1"/>
  <c r="Y25" i="85"/>
  <c r="AH25" i="85" s="1"/>
  <c r="X25" i="85"/>
  <c r="AE25" i="85" s="1"/>
  <c r="Y24" i="85"/>
  <c r="AH24" i="85" s="1"/>
  <c r="X24" i="85"/>
  <c r="AE24" i="85" s="1"/>
  <c r="Y23" i="85"/>
  <c r="AH23" i="85" s="1"/>
  <c r="X23" i="85"/>
  <c r="AF23" i="85" s="1"/>
  <c r="Y22" i="85"/>
  <c r="X22" i="85"/>
  <c r="Y21" i="85"/>
  <c r="X21" i="85"/>
  <c r="AD21" i="85" s="1"/>
  <c r="Y20" i="85"/>
  <c r="AH20" i="85" s="1"/>
  <c r="X20" i="85"/>
  <c r="AF20" i="85" s="1"/>
  <c r="Y19" i="85"/>
  <c r="AH19" i="85" s="1"/>
  <c r="X19" i="85"/>
  <c r="AF19" i="85" s="1"/>
  <c r="Y18" i="85"/>
  <c r="AH18" i="85" s="1"/>
  <c r="X18" i="85"/>
  <c r="AF18" i="85" s="1"/>
  <c r="Y17" i="85"/>
  <c r="AG17" i="85" s="1"/>
  <c r="X17" i="85"/>
  <c r="Y16" i="85"/>
  <c r="AH16" i="85" s="1"/>
  <c r="X16" i="85"/>
  <c r="AD16" i="85" s="1"/>
  <c r="Y15" i="85"/>
  <c r="AH15" i="85" s="1"/>
  <c r="X15" i="85"/>
  <c r="AF15" i="85" s="1"/>
  <c r="Y14" i="85"/>
  <c r="AG14" i="85" s="1"/>
  <c r="X14" i="85"/>
  <c r="AF14" i="85" s="1"/>
  <c r="Y13" i="85"/>
  <c r="AH13" i="85" s="1"/>
  <c r="X13" i="85"/>
  <c r="AE13" i="85" s="1"/>
  <c r="Y12" i="85"/>
  <c r="AH12" i="85" s="1"/>
  <c r="X12" i="85"/>
  <c r="AE12" i="85" s="1"/>
  <c r="Y11" i="85"/>
  <c r="AG11" i="85" s="1"/>
  <c r="X11" i="85"/>
  <c r="Y10" i="85"/>
  <c r="X10" i="85"/>
  <c r="AF10" i="85" s="1"/>
  <c r="Y9" i="85"/>
  <c r="AG9" i="85" s="1"/>
  <c r="X9" i="85"/>
  <c r="AF9" i="85" s="1"/>
  <c r="Y8" i="85"/>
  <c r="AH8" i="85" s="1"/>
  <c r="X8" i="85"/>
  <c r="AF8" i="85" s="1"/>
  <c r="Y7" i="85"/>
  <c r="AH7" i="85" s="1"/>
  <c r="X7" i="85"/>
  <c r="AE7" i="85" s="1"/>
  <c r="Y6" i="85"/>
  <c r="AG6" i="85" s="1"/>
  <c r="X6" i="85"/>
  <c r="Y5" i="85"/>
  <c r="AG5" i="85" s="1"/>
  <c r="X5" i="85"/>
  <c r="AF5" i="85" s="1"/>
  <c r="T63" i="85"/>
  <c r="T62" i="85"/>
  <c r="V62" i="85" s="1"/>
  <c r="T61" i="85"/>
  <c r="T60" i="85"/>
  <c r="T59" i="85"/>
  <c r="BE59" i="85" s="1"/>
  <c r="T58" i="85"/>
  <c r="BE58" i="85" s="1"/>
  <c r="T57" i="85"/>
  <c r="T56" i="85"/>
  <c r="T55" i="85"/>
  <c r="T54" i="85"/>
  <c r="BE54" i="85" s="1"/>
  <c r="T53" i="85"/>
  <c r="T52" i="85"/>
  <c r="T51" i="85"/>
  <c r="T50" i="85"/>
  <c r="T49" i="85"/>
  <c r="T48" i="85"/>
  <c r="T47" i="85"/>
  <c r="T46" i="85"/>
  <c r="T45" i="85"/>
  <c r="T44" i="85"/>
  <c r="T43" i="85"/>
  <c r="T42" i="85"/>
  <c r="T41" i="85"/>
  <c r="V41" i="85" s="1"/>
  <c r="T40" i="85"/>
  <c r="T39" i="85"/>
  <c r="T38" i="85"/>
  <c r="T37" i="85"/>
  <c r="BE37" i="85" s="1"/>
  <c r="T36" i="85"/>
  <c r="BE36" i="85" s="1"/>
  <c r="T35" i="85"/>
  <c r="T34" i="85"/>
  <c r="T33" i="85"/>
  <c r="T32" i="85"/>
  <c r="BE32" i="85" s="1"/>
  <c r="T31" i="85"/>
  <c r="T30" i="85"/>
  <c r="T29" i="85"/>
  <c r="T28" i="85"/>
  <c r="T27" i="85"/>
  <c r="T26" i="85"/>
  <c r="T25" i="85"/>
  <c r="T24" i="85"/>
  <c r="T23" i="85"/>
  <c r="T22" i="85"/>
  <c r="T21" i="85"/>
  <c r="T20" i="85"/>
  <c r="T19" i="85"/>
  <c r="T18" i="85"/>
  <c r="V18" i="85" s="1"/>
  <c r="T17" i="85"/>
  <c r="T16" i="85"/>
  <c r="T15" i="85"/>
  <c r="BE15" i="85" s="1"/>
  <c r="T14" i="85"/>
  <c r="BE14" i="85" s="1"/>
  <c r="T13" i="85"/>
  <c r="T12" i="85"/>
  <c r="T11" i="85"/>
  <c r="T10" i="85"/>
  <c r="BE10" i="85" s="1"/>
  <c r="T9" i="85"/>
  <c r="T8" i="85"/>
  <c r="T7" i="85"/>
  <c r="T6" i="85"/>
  <c r="T5" i="85"/>
  <c r="T4" i="85"/>
  <c r="X10" i="86" l="1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AJ32" i="85"/>
  <c r="AF48" i="85"/>
  <c r="AF49" i="85"/>
  <c r="V7" i="85"/>
  <c r="V51" i="85"/>
  <c r="AG49" i="85"/>
  <c r="AQ49" i="85" s="1"/>
  <c r="V8" i="85"/>
  <c r="AG51" i="85"/>
  <c r="AQ51" i="85" s="1"/>
  <c r="AD5" i="85"/>
  <c r="AP5" i="85" s="1"/>
  <c r="AV5" i="85" s="1"/>
  <c r="AG48" i="85"/>
  <c r="AQ48" i="85" s="1"/>
  <c r="AD49" i="85"/>
  <c r="AP49" i="85" s="1"/>
  <c r="AV49" i="85" s="1"/>
  <c r="AE5" i="85"/>
  <c r="AH52" i="85"/>
  <c r="AQ52" i="85" s="1"/>
  <c r="AW52" i="85" s="1"/>
  <c r="V12" i="85"/>
  <c r="V56" i="85"/>
  <c r="AG58" i="85"/>
  <c r="AQ58" i="85" s="1"/>
  <c r="V13" i="85"/>
  <c r="V35" i="85"/>
  <c r="AG8" i="85"/>
  <c r="AQ8" i="85" s="1"/>
  <c r="AW8" i="85" s="1"/>
  <c r="AK32" i="85"/>
  <c r="AS32" i="85" s="1"/>
  <c r="AG7" i="85"/>
  <c r="AQ7" i="85" s="1"/>
  <c r="V34" i="85"/>
  <c r="V36" i="85"/>
  <c r="AG18" i="85"/>
  <c r="AD59" i="85"/>
  <c r="V42" i="85"/>
  <c r="V21" i="85"/>
  <c r="V22" i="85"/>
  <c r="V45" i="85"/>
  <c r="V46" i="85"/>
  <c r="V9" i="85"/>
  <c r="V53" i="85"/>
  <c r="V40" i="85"/>
  <c r="V10" i="85"/>
  <c r="V54" i="85"/>
  <c r="V23" i="85"/>
  <c r="V32" i="85"/>
  <c r="V11" i="85"/>
  <c r="AK25" i="85"/>
  <c r="AJ34" i="85"/>
  <c r="AK34" i="85"/>
  <c r="AJ63" i="85"/>
  <c r="AD10" i="85"/>
  <c r="AE10" i="85"/>
  <c r="AE58" i="85"/>
  <c r="AE14" i="85"/>
  <c r="AF58" i="85"/>
  <c r="AP58" i="85" s="1"/>
  <c r="AV58" i="85" s="1"/>
  <c r="AE41" i="85"/>
  <c r="AD53" i="85"/>
  <c r="AE21" i="85"/>
  <c r="AE54" i="85"/>
  <c r="AP54" i="85" s="1"/>
  <c r="AV54" i="85" s="1"/>
  <c r="AF21" i="85"/>
  <c r="AE56" i="85"/>
  <c r="AF30" i="85"/>
  <c r="AD31" i="85"/>
  <c r="AE59" i="85"/>
  <c r="AP59" i="85" s="1"/>
  <c r="AV59" i="85" s="1"/>
  <c r="AE31" i="85"/>
  <c r="AF7" i="85"/>
  <c r="AF60" i="85"/>
  <c r="AP60" i="85" s="1"/>
  <c r="AV60" i="85" s="1"/>
  <c r="AF51" i="85"/>
  <c r="AF52" i="85"/>
  <c r="AD41" i="85"/>
  <c r="AE53" i="85"/>
  <c r="AD54" i="85"/>
  <c r="AD43" i="85"/>
  <c r="AD30" i="85"/>
  <c r="AE43" i="85"/>
  <c r="AD32" i="85"/>
  <c r="AD8" i="85"/>
  <c r="AE32" i="85"/>
  <c r="AD63" i="85"/>
  <c r="AE8" i="85"/>
  <c r="AD52" i="85"/>
  <c r="AE63" i="85"/>
  <c r="AD12" i="85"/>
  <c r="AE23" i="85"/>
  <c r="AD25" i="85"/>
  <c r="AH14" i="85"/>
  <c r="AQ14" i="85" s="1"/>
  <c r="AW14" i="85" s="1"/>
  <c r="AG25" i="85"/>
  <c r="AQ25" i="85" s="1"/>
  <c r="AE15" i="85"/>
  <c r="AE16" i="85"/>
  <c r="AP16" i="85" s="1"/>
  <c r="AV16" i="85" s="1"/>
  <c r="AE26" i="85"/>
  <c r="AF26" i="85"/>
  <c r="AQ18" i="85"/>
  <c r="AW18" i="85" s="1"/>
  <c r="AG26" i="85"/>
  <c r="AQ26" i="85" s="1"/>
  <c r="AE36" i="85"/>
  <c r="AJ47" i="85"/>
  <c r="AJ12" i="85"/>
  <c r="AG36" i="85"/>
  <c r="AQ36" i="85" s="1"/>
  <c r="AE19" i="85"/>
  <c r="AF27" i="85"/>
  <c r="AF47" i="85"/>
  <c r="AH53" i="85"/>
  <c r="AQ53" i="85" s="1"/>
  <c r="AW53" i="85" s="1"/>
  <c r="AL12" i="85"/>
  <c r="AD23" i="85"/>
  <c r="AF25" i="85"/>
  <c r="AL44" i="85"/>
  <c r="AD45" i="85"/>
  <c r="AM46" i="85"/>
  <c r="AT46" i="85" s="1"/>
  <c r="AE34" i="85"/>
  <c r="AD47" i="85"/>
  <c r="AD19" i="85"/>
  <c r="AD9" i="85"/>
  <c r="AG27" i="85"/>
  <c r="AQ27" i="85" s="1"/>
  <c r="AD37" i="85"/>
  <c r="AG47" i="85"/>
  <c r="AQ47" i="85" s="1"/>
  <c r="AE9" i="85"/>
  <c r="AG19" i="85"/>
  <c r="AF29" i="85"/>
  <c r="AE37" i="85"/>
  <c r="AK13" i="85"/>
  <c r="AJ59" i="85"/>
  <c r="AG20" i="85"/>
  <c r="AQ20" i="85" s="1"/>
  <c r="AG29" i="85"/>
  <c r="AQ29" i="85" s="1"/>
  <c r="AE38" i="85"/>
  <c r="AD48" i="85"/>
  <c r="AP48" i="85" s="1"/>
  <c r="AV48" i="85" s="1"/>
  <c r="AL13" i="85"/>
  <c r="AS13" i="85" s="1"/>
  <c r="AK59" i="85"/>
  <c r="AD15" i="85"/>
  <c r="AF16" i="85"/>
  <c r="AD34" i="85"/>
  <c r="AP34" i="85" s="1"/>
  <c r="AG16" i="85"/>
  <c r="AQ16" i="85" s="1"/>
  <c r="AE45" i="85"/>
  <c r="AF36" i="85"/>
  <c r="AK47" i="85"/>
  <c r="AD27" i="85"/>
  <c r="AQ31" i="85"/>
  <c r="AH9" i="85"/>
  <c r="AQ9" i="85" s="1"/>
  <c r="AF38" i="85"/>
  <c r="AJ25" i="85"/>
  <c r="AQ63" i="85"/>
  <c r="AH32" i="85"/>
  <c r="AG32" i="85"/>
  <c r="AQ32" i="85" s="1"/>
  <c r="AW32" i="85" s="1"/>
  <c r="AG10" i="85"/>
  <c r="AH10" i="85"/>
  <c r="AQ19" i="85"/>
  <c r="AH43" i="85"/>
  <c r="AG43" i="85"/>
  <c r="AQ43" i="85" s="1"/>
  <c r="AW43" i="85" s="1"/>
  <c r="AF55" i="85"/>
  <c r="AD55" i="85"/>
  <c r="AE55" i="85"/>
  <c r="AH22" i="85"/>
  <c r="AG22" i="85"/>
  <c r="AQ22" i="85" s="1"/>
  <c r="AF11" i="85"/>
  <c r="AE11" i="85"/>
  <c r="AD11" i="85"/>
  <c r="AH44" i="85"/>
  <c r="AG44" i="85"/>
  <c r="AF22" i="85"/>
  <c r="AD22" i="85"/>
  <c r="AE22" i="85"/>
  <c r="AQ41" i="85"/>
  <c r="AW41" i="85" s="1"/>
  <c r="AD44" i="85"/>
  <c r="AF44" i="85"/>
  <c r="AE44" i="85"/>
  <c r="AQ5" i="85"/>
  <c r="AH21" i="85"/>
  <c r="AG21" i="85"/>
  <c r="AQ21" i="85" s="1"/>
  <c r="AW21" i="85" s="1"/>
  <c r="AH55" i="85"/>
  <c r="AQ55" i="85" s="1"/>
  <c r="AD39" i="85"/>
  <c r="AF39" i="85"/>
  <c r="AE39" i="85"/>
  <c r="AG60" i="85"/>
  <c r="AQ60" i="85" s="1"/>
  <c r="AH54" i="85"/>
  <c r="AG54" i="85"/>
  <c r="AF33" i="85"/>
  <c r="AD33" i="85"/>
  <c r="AE33" i="85"/>
  <c r="AJ58" i="85"/>
  <c r="AL58" i="85"/>
  <c r="AK58" i="85"/>
  <c r="AH11" i="85"/>
  <c r="AQ11" i="85" s="1"/>
  <c r="AH5" i="85"/>
  <c r="AJ15" i="85"/>
  <c r="AL15" i="85"/>
  <c r="AK15" i="85"/>
  <c r="AJ50" i="85"/>
  <c r="AE6" i="85"/>
  <c r="AD6" i="85"/>
  <c r="AF6" i="85"/>
  <c r="AF17" i="85"/>
  <c r="AE17" i="85"/>
  <c r="AD17" i="85"/>
  <c r="AF28" i="85"/>
  <c r="AD28" i="85"/>
  <c r="AE28" i="85"/>
  <c r="AF50" i="85"/>
  <c r="AE50" i="85"/>
  <c r="AD50" i="85"/>
  <c r="AF61" i="85"/>
  <c r="AD61" i="85"/>
  <c r="AE61" i="85"/>
  <c r="AL16" i="85"/>
  <c r="AJ16" i="85"/>
  <c r="AL33" i="85"/>
  <c r="AK33" i="85"/>
  <c r="AJ33" i="85"/>
  <c r="AK51" i="85"/>
  <c r="AL51" i="85"/>
  <c r="AQ17" i="85"/>
  <c r="AH39" i="85"/>
  <c r="AG39" i="85"/>
  <c r="AQ39" i="85" s="1"/>
  <c r="AH33" i="85"/>
  <c r="AQ33" i="85" s="1"/>
  <c r="AQ62" i="85"/>
  <c r="AW62" i="85" s="1"/>
  <c r="AF12" i="85"/>
  <c r="AP12" i="85" s="1"/>
  <c r="AV12" i="85" s="1"/>
  <c r="AF56" i="85"/>
  <c r="AP56" i="85" s="1"/>
  <c r="AV56" i="85" s="1"/>
  <c r="AH56" i="85"/>
  <c r="AQ56" i="85" s="1"/>
  <c r="AW56" i="85" s="1"/>
  <c r="AD13" i="85"/>
  <c r="AE35" i="85"/>
  <c r="AF13" i="85"/>
  <c r="AH17" i="85"/>
  <c r="AF35" i="85"/>
  <c r="AH61" i="85"/>
  <c r="AQ61" i="85" s="1"/>
  <c r="AD18" i="85"/>
  <c r="AD40" i="85"/>
  <c r="AG57" i="85"/>
  <c r="AQ57" i="85" s="1"/>
  <c r="AD62" i="85"/>
  <c r="AJ17" i="85"/>
  <c r="AG12" i="85"/>
  <c r="AQ12" i="85" s="1"/>
  <c r="AW12" i="85" s="1"/>
  <c r="AG34" i="85"/>
  <c r="AQ34" i="85" s="1"/>
  <c r="AW34" i="85" s="1"/>
  <c r="AD57" i="85"/>
  <c r="AE57" i="85"/>
  <c r="AW29" i="85"/>
  <c r="AG13" i="85"/>
  <c r="AQ13" i="85" s="1"/>
  <c r="AW13" i="85" s="1"/>
  <c r="AG35" i="85"/>
  <c r="AQ35" i="85" s="1"/>
  <c r="AE18" i="85"/>
  <c r="AE40" i="85"/>
  <c r="AE62" i="85"/>
  <c r="AK17" i="85"/>
  <c r="AD14" i="85"/>
  <c r="AP14" i="85" s="1"/>
  <c r="AV14" i="85" s="1"/>
  <c r="AL17" i="85"/>
  <c r="AG45" i="85"/>
  <c r="AQ45" i="85" s="1"/>
  <c r="AJ60" i="85"/>
  <c r="AJ26" i="85"/>
  <c r="AK60" i="85"/>
  <c r="AK45" i="85"/>
  <c r="AG28" i="85"/>
  <c r="AQ28" i="85" s="1"/>
  <c r="AJ61" i="85"/>
  <c r="AH6" i="85"/>
  <c r="AQ6" i="85" s="1"/>
  <c r="AG15" i="85"/>
  <c r="AQ15" i="85" s="1"/>
  <c r="AD20" i="85"/>
  <c r="AP20" i="85" s="1"/>
  <c r="AV20" i="85" s="1"/>
  <c r="AF24" i="85"/>
  <c r="AG37" i="85"/>
  <c r="AQ37" i="85" s="1"/>
  <c r="AD42" i="85"/>
  <c r="AF46" i="85"/>
  <c r="AH50" i="85"/>
  <c r="AQ50" i="85" s="1"/>
  <c r="AG59" i="85"/>
  <c r="AQ59" i="85" s="1"/>
  <c r="AJ11" i="85"/>
  <c r="AJ27" i="85"/>
  <c r="AJ46" i="85"/>
  <c r="AK61" i="85"/>
  <c r="AG23" i="85"/>
  <c r="AQ23" i="85" s="1"/>
  <c r="AJ45" i="85"/>
  <c r="AE46" i="85"/>
  <c r="AL26" i="85"/>
  <c r="AD7" i="85"/>
  <c r="AE20" i="85"/>
  <c r="AG24" i="85"/>
  <c r="AQ24" i="85" s="1"/>
  <c r="AD29" i="85"/>
  <c r="AE42" i="85"/>
  <c r="AG46" i="85"/>
  <c r="AQ46" i="85" s="1"/>
  <c r="AD51" i="85"/>
  <c r="AK11" i="85"/>
  <c r="AK27" i="85"/>
  <c r="AK46" i="85"/>
  <c r="AL61" i="85"/>
  <c r="AD24" i="85"/>
  <c r="AK26" i="85"/>
  <c r="AL60" i="85"/>
  <c r="AL45" i="85"/>
  <c r="AL46" i="85"/>
  <c r="AJ62" i="85"/>
  <c r="AL35" i="85"/>
  <c r="AK35" i="85"/>
  <c r="AJ35" i="85"/>
  <c r="AM33" i="85"/>
  <c r="AT33" i="85" s="1"/>
  <c r="AL20" i="85"/>
  <c r="AJ5" i="85"/>
  <c r="AL23" i="85"/>
  <c r="AK23" i="85"/>
  <c r="AJ23" i="85"/>
  <c r="AL5" i="85"/>
  <c r="AJ38" i="85"/>
  <c r="AL8" i="85"/>
  <c r="AK8" i="85"/>
  <c r="AJ8" i="85"/>
  <c r="AS8" i="85" s="1"/>
  <c r="AL41" i="85"/>
  <c r="AJ6" i="85"/>
  <c r="AK38" i="85"/>
  <c r="AJ18" i="85"/>
  <c r="AK18" i="85"/>
  <c r="AL43" i="85"/>
  <c r="AK43" i="85"/>
  <c r="AJ43" i="85"/>
  <c r="AS43" i="85" s="1"/>
  <c r="AM8" i="85"/>
  <c r="AT8" i="85" s="1"/>
  <c r="AJ52" i="85"/>
  <c r="AJ40" i="85"/>
  <c r="AK19" i="85"/>
  <c r="AK31" i="85"/>
  <c r="AK40" i="85"/>
  <c r="AL10" i="85"/>
  <c r="AL19" i="85"/>
  <c r="AL40" i="85"/>
  <c r="AJ53" i="85"/>
  <c r="AM18" i="85"/>
  <c r="AL36" i="85"/>
  <c r="AK36" i="85"/>
  <c r="AJ36" i="85"/>
  <c r="AS36" i="85" s="1"/>
  <c r="AK37" i="85"/>
  <c r="AJ37" i="85"/>
  <c r="AK21" i="85"/>
  <c r="AL21" i="85"/>
  <c r="AJ21" i="85"/>
  <c r="AL55" i="85"/>
  <c r="AK55" i="85"/>
  <c r="AL7" i="85"/>
  <c r="AK7" i="85"/>
  <c r="AL22" i="85"/>
  <c r="AJ22" i="85"/>
  <c r="AL56" i="85"/>
  <c r="AK56" i="85"/>
  <c r="AJ56" i="85"/>
  <c r="AK5" i="85"/>
  <c r="AM7" i="85"/>
  <c r="AN7" i="85"/>
  <c r="AL57" i="85"/>
  <c r="AK57" i="85"/>
  <c r="AJ57" i="85"/>
  <c r="AK6" i="85"/>
  <c r="AL38" i="85"/>
  <c r="AL9" i="85"/>
  <c r="AK9" i="85"/>
  <c r="AJ9" i="85"/>
  <c r="AL42" i="85"/>
  <c r="AK42" i="85"/>
  <c r="AJ42" i="85"/>
  <c r="AL6" i="85"/>
  <c r="AJ39" i="85"/>
  <c r="AJ7" i="85"/>
  <c r="AL18" i="85"/>
  <c r="AK39" i="85"/>
  <c r="AN18" i="85"/>
  <c r="AL39" i="85"/>
  <c r="AW7" i="85"/>
  <c r="AJ10" i="85"/>
  <c r="AJ19" i="85"/>
  <c r="AK52" i="85"/>
  <c r="AK10" i="85"/>
  <c r="AL52" i="85"/>
  <c r="AL31" i="85"/>
  <c r="AJ20" i="85"/>
  <c r="AJ41" i="85"/>
  <c r="AK53" i="85"/>
  <c r="AN13" i="85"/>
  <c r="AL48" i="85"/>
  <c r="AK48" i="85"/>
  <c r="AJ48" i="85"/>
  <c r="AK20" i="85"/>
  <c r="AK41" i="85"/>
  <c r="AL53" i="85"/>
  <c r="AK22" i="85"/>
  <c r="AJ54" i="85"/>
  <c r="AJ24" i="85"/>
  <c r="AK54" i="85"/>
  <c r="AK24" i="85"/>
  <c r="AJ14" i="85"/>
  <c r="AK28" i="85"/>
  <c r="AL62" i="85"/>
  <c r="AK14" i="85"/>
  <c r="AL28" i="85"/>
  <c r="AJ29" i="85"/>
  <c r="AJ49" i="85"/>
  <c r="AK63" i="85"/>
  <c r="AK29" i="85"/>
  <c r="AK49" i="85"/>
  <c r="AK50" i="85"/>
  <c r="AK16" i="85"/>
  <c r="AJ44" i="85"/>
  <c r="AL50" i="85"/>
  <c r="AJ51" i="85"/>
  <c r="V25" i="85"/>
  <c r="AB25" i="85"/>
  <c r="AN25" i="85" s="1"/>
  <c r="V60" i="85"/>
  <c r="AB60" i="85"/>
  <c r="AN60" i="85" s="1"/>
  <c r="V38" i="85"/>
  <c r="AB38" i="85"/>
  <c r="AN38" i="85"/>
  <c r="V16" i="85"/>
  <c r="AB16" i="85"/>
  <c r="AN16" i="85" s="1"/>
  <c r="V15" i="85"/>
  <c r="AB15" i="85"/>
  <c r="AN15" i="85"/>
  <c r="AM14" i="85"/>
  <c r="AM52" i="85"/>
  <c r="AB5" i="85"/>
  <c r="AN5" i="85" s="1"/>
  <c r="V5" i="85"/>
  <c r="V47" i="85"/>
  <c r="V19" i="85"/>
  <c r="AB19" i="85"/>
  <c r="AN19" i="85"/>
  <c r="AN34" i="85"/>
  <c r="V24" i="85"/>
  <c r="AN24" i="85"/>
  <c r="AM12" i="85"/>
  <c r="AB6" i="85"/>
  <c r="AN6" i="85" s="1"/>
  <c r="V6" i="85"/>
  <c r="V29" i="85"/>
  <c r="AN29" i="85"/>
  <c r="AM29" i="85"/>
  <c r="AM41" i="85"/>
  <c r="AB45" i="85"/>
  <c r="AN45" i="85" s="1"/>
  <c r="AM54" i="85"/>
  <c r="AW24" i="85"/>
  <c r="AB26" i="85"/>
  <c r="V26" i="85"/>
  <c r="V59" i="85"/>
  <c r="AB59" i="85"/>
  <c r="AN59" i="85" s="1"/>
  <c r="AB9" i="85"/>
  <c r="AM40" i="85"/>
  <c r="AW40" i="85"/>
  <c r="AN40" i="85"/>
  <c r="AB28" i="85"/>
  <c r="AN28" i="85" s="1"/>
  <c r="V28" i="85"/>
  <c r="AB61" i="85"/>
  <c r="AN61" i="85" s="1"/>
  <c r="V61" i="85"/>
  <c r="AM10" i="85"/>
  <c r="AN10" i="85"/>
  <c r="AM51" i="85"/>
  <c r="AT51" i="85" s="1"/>
  <c r="AB42" i="85"/>
  <c r="AN42" i="85" s="1"/>
  <c r="AB48" i="85"/>
  <c r="V48" i="85"/>
  <c r="V20" i="85"/>
  <c r="AN41" i="85"/>
  <c r="AN52" i="85"/>
  <c r="AB44" i="85"/>
  <c r="AN44" i="85" s="1"/>
  <c r="AB11" i="85"/>
  <c r="AN11" i="85" s="1"/>
  <c r="AN12" i="85"/>
  <c r="AM24" i="85"/>
  <c r="V52" i="85"/>
  <c r="V63" i="85"/>
  <c r="AB63" i="85"/>
  <c r="AB47" i="85"/>
  <c r="V44" i="85"/>
  <c r="V43" i="85"/>
  <c r="AM13" i="85"/>
  <c r="AM34" i="85"/>
  <c r="AW51" i="85"/>
  <c r="AN36" i="85"/>
  <c r="AB31" i="85"/>
  <c r="AN31" i="85" s="1"/>
  <c r="V31" i="85"/>
  <c r="AB20" i="85"/>
  <c r="AN20" i="85" s="1"/>
  <c r="AN43" i="85"/>
  <c r="AT43" i="85" s="1"/>
  <c r="AB35" i="85"/>
  <c r="AN35" i="85" s="1"/>
  <c r="AB22" i="85"/>
  <c r="AB55" i="85"/>
  <c r="V55" i="85"/>
  <c r="AN55" i="85"/>
  <c r="V33" i="85"/>
  <c r="AN54" i="85"/>
  <c r="V37" i="85"/>
  <c r="AB37" i="85"/>
  <c r="AN37" i="85" s="1"/>
  <c r="AB58" i="85"/>
  <c r="AN58" i="85" s="1"/>
  <c r="V58" i="85"/>
  <c r="AN14" i="85"/>
  <c r="V14" i="85"/>
  <c r="AB27" i="85"/>
  <c r="V27" i="85"/>
  <c r="AM53" i="85"/>
  <c r="AB39" i="85"/>
  <c r="V39" i="85"/>
  <c r="AM56" i="85"/>
  <c r="AT56" i="85" s="1"/>
  <c r="V30" i="85"/>
  <c r="AB30" i="85"/>
  <c r="AB57" i="85"/>
  <c r="AN57" i="85" s="1"/>
  <c r="AB17" i="85"/>
  <c r="V17" i="85"/>
  <c r="AN53" i="85"/>
  <c r="V57" i="85"/>
  <c r="AB49" i="85"/>
  <c r="AN49" i="85" s="1"/>
  <c r="V49" i="85"/>
  <c r="AM32" i="85"/>
  <c r="AT32" i="85" s="1"/>
  <c r="AM21" i="85"/>
  <c r="AT21" i="85" s="1"/>
  <c r="AB50" i="85"/>
  <c r="V50" i="85"/>
  <c r="AN62" i="85"/>
  <c r="AT62" i="85" s="1"/>
  <c r="AB23" i="85"/>
  <c r="V4" i="85"/>
  <c r="AG13" i="86" l="1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AS34" i="85"/>
  <c r="AY34" i="85"/>
  <c r="AS20" i="85"/>
  <c r="AS17" i="85"/>
  <c r="AP62" i="85"/>
  <c r="AV62" i="85" s="1"/>
  <c r="AS59" i="85"/>
  <c r="AS15" i="85"/>
  <c r="AY15" i="85" s="1"/>
  <c r="AP40" i="85"/>
  <c r="AV40" i="85" s="1"/>
  <c r="AZ43" i="85"/>
  <c r="AZ51" i="85"/>
  <c r="AS35" i="85"/>
  <c r="AV69" i="85"/>
  <c r="AV68" i="85"/>
  <c r="AV34" i="85"/>
  <c r="AS63" i="85"/>
  <c r="AS62" i="85"/>
  <c r="AY62" i="85" s="1"/>
  <c r="AP18" i="85"/>
  <c r="AV18" i="85" s="1"/>
  <c r="AS25" i="85"/>
  <c r="AZ46" i="85"/>
  <c r="AS56" i="85"/>
  <c r="AY56" i="85" s="1"/>
  <c r="BB56" i="85" s="1"/>
  <c r="BC56" i="85" s="1"/>
  <c r="AS58" i="85"/>
  <c r="AY58" i="85" s="1"/>
  <c r="AS55" i="85"/>
  <c r="AS27" i="85"/>
  <c r="AS11" i="85"/>
  <c r="AS12" i="85"/>
  <c r="AS48" i="85"/>
  <c r="AY48" i="85" s="1"/>
  <c r="AP51" i="85"/>
  <c r="AV51" i="85" s="1"/>
  <c r="AP63" i="85"/>
  <c r="AV63" i="85" s="1"/>
  <c r="AP35" i="85"/>
  <c r="AV35" i="85" s="1"/>
  <c r="AP7" i="85"/>
  <c r="AV7" i="85" s="1"/>
  <c r="AP21" i="85"/>
  <c r="AV21" i="85" s="1"/>
  <c r="AP53" i="85"/>
  <c r="AV53" i="85" s="1"/>
  <c r="AP46" i="85"/>
  <c r="AV46" i="85" s="1"/>
  <c r="AP8" i="85"/>
  <c r="AV8" i="85" s="1"/>
  <c r="AP38" i="85"/>
  <c r="AV38" i="85" s="1"/>
  <c r="AP30" i="85"/>
  <c r="AV30" i="85" s="1"/>
  <c r="AP10" i="85"/>
  <c r="AV10" i="85" s="1"/>
  <c r="AP36" i="85"/>
  <c r="AV36" i="85" s="1"/>
  <c r="AP32" i="85"/>
  <c r="AV32" i="85" s="1"/>
  <c r="AP43" i="85"/>
  <c r="AP37" i="85"/>
  <c r="AV37" i="85" s="1"/>
  <c r="AP9" i="85"/>
  <c r="AV9" i="85" s="1"/>
  <c r="AP26" i="85"/>
  <c r="AV26" i="85" s="1"/>
  <c r="AY63" i="85"/>
  <c r="AP29" i="85"/>
  <c r="AV29" i="85" s="1"/>
  <c r="AP27" i="85"/>
  <c r="AV27" i="85" s="1"/>
  <c r="AY59" i="85"/>
  <c r="AP41" i="85"/>
  <c r="AV41" i="85" s="1"/>
  <c r="AP19" i="85"/>
  <c r="AV19" i="85" s="1"/>
  <c r="AP47" i="85"/>
  <c r="AV47" i="85" s="1"/>
  <c r="AP15" i="85"/>
  <c r="AV15" i="85" s="1"/>
  <c r="AP31" i="85"/>
  <c r="AV31" i="85" s="1"/>
  <c r="AP24" i="85"/>
  <c r="AV24" i="85" s="1"/>
  <c r="AP52" i="85"/>
  <c r="AV52" i="85" s="1"/>
  <c r="AY8" i="85"/>
  <c r="AP57" i="85"/>
  <c r="AV57" i="85" s="1"/>
  <c r="AS60" i="85"/>
  <c r="AY60" i="85" s="1"/>
  <c r="AY20" i="85"/>
  <c r="AP17" i="85"/>
  <c r="AV17" i="85" s="1"/>
  <c r="AS47" i="85"/>
  <c r="AW46" i="85"/>
  <c r="AP45" i="85"/>
  <c r="AV45" i="85" s="1"/>
  <c r="AP25" i="85"/>
  <c r="AP61" i="85"/>
  <c r="AV61" i="85" s="1"/>
  <c r="AT12" i="85"/>
  <c r="AZ12" i="85" s="1"/>
  <c r="AS46" i="85"/>
  <c r="AZ32" i="85"/>
  <c r="AS31" i="85"/>
  <c r="AP23" i="85"/>
  <c r="AV23" i="85" s="1"/>
  <c r="AS44" i="85"/>
  <c r="AS16" i="85"/>
  <c r="AY16" i="85" s="1"/>
  <c r="AS23" i="85"/>
  <c r="AY23" i="85" s="1"/>
  <c r="AP42" i="85"/>
  <c r="AV42" i="85" s="1"/>
  <c r="AS21" i="85"/>
  <c r="AY21" i="85" s="1"/>
  <c r="AZ8" i="85"/>
  <c r="AZ33" i="85"/>
  <c r="AW33" i="85"/>
  <c r="AT7" i="85"/>
  <c r="AZ7" i="85" s="1"/>
  <c r="AS33" i="85"/>
  <c r="AQ54" i="85"/>
  <c r="AW54" i="85" s="1"/>
  <c r="AZ56" i="85"/>
  <c r="AS50" i="85"/>
  <c r="AS45" i="85"/>
  <c r="AP6" i="85"/>
  <c r="AV6" i="85" s="1"/>
  <c r="AP33" i="85"/>
  <c r="AV33" i="85" s="1"/>
  <c r="AP22" i="85"/>
  <c r="AV22" i="85" s="1"/>
  <c r="AQ10" i="85"/>
  <c r="AW10" i="85" s="1"/>
  <c r="AS51" i="85"/>
  <c r="AY51" i="85" s="1"/>
  <c r="BB51" i="85" s="1"/>
  <c r="BC51" i="85" s="1"/>
  <c r="AP44" i="85"/>
  <c r="AV44" i="85" s="1"/>
  <c r="AZ62" i="85"/>
  <c r="AP13" i="85"/>
  <c r="AT18" i="85"/>
  <c r="AZ18" i="85" s="1"/>
  <c r="AY35" i="85"/>
  <c r="AS39" i="85"/>
  <c r="AS61" i="85"/>
  <c r="AZ21" i="85"/>
  <c r="AT34" i="85"/>
  <c r="AZ34" i="85" s="1"/>
  <c r="BB34" i="85" s="1"/>
  <c r="BC34" i="85" s="1"/>
  <c r="AQ44" i="85"/>
  <c r="AW44" i="85" s="1"/>
  <c r="AY12" i="85"/>
  <c r="AP55" i="85"/>
  <c r="AV55" i="85" s="1"/>
  <c r="AS22" i="85"/>
  <c r="AP28" i="85"/>
  <c r="AV28" i="85" s="1"/>
  <c r="AS42" i="85"/>
  <c r="AP39" i="85"/>
  <c r="AV39" i="85" s="1"/>
  <c r="AS7" i="85"/>
  <c r="AS41" i="85"/>
  <c r="AS26" i="85"/>
  <c r="AP50" i="85"/>
  <c r="AV50" i="85" s="1"/>
  <c r="AP11" i="85"/>
  <c r="AV11" i="85" s="1"/>
  <c r="AS14" i="85"/>
  <c r="AY14" i="85" s="1"/>
  <c r="AS24" i="85"/>
  <c r="AS53" i="85"/>
  <c r="AT13" i="85"/>
  <c r="AZ13" i="85" s="1"/>
  <c r="AS9" i="85"/>
  <c r="AS18" i="85"/>
  <c r="AS5" i="85"/>
  <c r="AY5" i="85" s="1"/>
  <c r="AS6" i="85"/>
  <c r="AS57" i="85"/>
  <c r="AY57" i="85" s="1"/>
  <c r="AS40" i="85"/>
  <c r="AY40" i="85" s="1"/>
  <c r="AT14" i="85"/>
  <c r="AZ14" i="85" s="1"/>
  <c r="AS28" i="85"/>
  <c r="AS54" i="85"/>
  <c r="AY54" i="85" s="1"/>
  <c r="AS19" i="85"/>
  <c r="AY19" i="85" s="1"/>
  <c r="AS10" i="85"/>
  <c r="AY10" i="85" s="1"/>
  <c r="AS52" i="85"/>
  <c r="AS49" i="85"/>
  <c r="AY49" i="85" s="1"/>
  <c r="AS29" i="85"/>
  <c r="AS38" i="85"/>
  <c r="AT53" i="85"/>
  <c r="AZ53" i="85" s="1"/>
  <c r="AS37" i="85"/>
  <c r="AT40" i="85"/>
  <c r="AZ40" i="85" s="1"/>
  <c r="AW30" i="85"/>
  <c r="AM30" i="85"/>
  <c r="AW37" i="85"/>
  <c r="AM37" i="85"/>
  <c r="AT37" i="85" s="1"/>
  <c r="AZ37" i="85" s="1"/>
  <c r="AM9" i="85"/>
  <c r="AW9" i="85"/>
  <c r="AM23" i="85"/>
  <c r="AW23" i="85"/>
  <c r="AN9" i="85"/>
  <c r="AW6" i="85"/>
  <c r="AM6" i="85"/>
  <c r="AT6" i="85" s="1"/>
  <c r="AZ6" i="85" s="1"/>
  <c r="AW15" i="85"/>
  <c r="AM15" i="85"/>
  <c r="AT15" i="85" s="1"/>
  <c r="AZ15" i="85" s="1"/>
  <c r="AW39" i="85"/>
  <c r="AN39" i="85"/>
  <c r="AM39" i="85"/>
  <c r="AW26" i="85"/>
  <c r="AM26" i="85"/>
  <c r="AN23" i="85"/>
  <c r="AN30" i="85"/>
  <c r="AM42" i="85"/>
  <c r="AT42" i="85" s="1"/>
  <c r="AZ42" i="85" s="1"/>
  <c r="AW42" i="85"/>
  <c r="AW22" i="85"/>
  <c r="AM22" i="85"/>
  <c r="AW16" i="85"/>
  <c r="AM16" i="85"/>
  <c r="AT16" i="85" s="1"/>
  <c r="AZ16" i="85" s="1"/>
  <c r="AN22" i="85"/>
  <c r="AW47" i="85"/>
  <c r="AM47" i="85"/>
  <c r="AW63" i="85"/>
  <c r="AM63" i="85"/>
  <c r="AN63" i="85"/>
  <c r="AM35" i="85"/>
  <c r="AT35" i="85" s="1"/>
  <c r="AZ35" i="85" s="1"/>
  <c r="AW35" i="85"/>
  <c r="AT54" i="85"/>
  <c r="AN47" i="85"/>
  <c r="AW38" i="85"/>
  <c r="AM38" i="85"/>
  <c r="AT38" i="85" s="1"/>
  <c r="AZ38" i="85" s="1"/>
  <c r="AM45" i="85"/>
  <c r="AT45" i="85" s="1"/>
  <c r="AZ45" i="85" s="1"/>
  <c r="AW45" i="85"/>
  <c r="AM17" i="85"/>
  <c r="AW17" i="85"/>
  <c r="AN17" i="85"/>
  <c r="AW48" i="85"/>
  <c r="AM48" i="85"/>
  <c r="AN48" i="85"/>
  <c r="AM55" i="85"/>
  <c r="AT55" i="85" s="1"/>
  <c r="AZ55" i="85" s="1"/>
  <c r="AW55" i="85"/>
  <c r="AW19" i="85"/>
  <c r="AM19" i="85"/>
  <c r="AT19" i="85" s="1"/>
  <c r="AZ19" i="85" s="1"/>
  <c r="AT10" i="85"/>
  <c r="AZ10" i="85" s="1"/>
  <c r="AW5" i="85"/>
  <c r="AM5" i="85"/>
  <c r="AT5" i="85" s="1"/>
  <c r="AZ5" i="85" s="1"/>
  <c r="AN50" i="85"/>
  <c r="AM50" i="85"/>
  <c r="AT50" i="85" s="1"/>
  <c r="AZ50" i="85" s="1"/>
  <c r="AW50" i="85"/>
  <c r="AW27" i="85"/>
  <c r="AM27" i="85"/>
  <c r="AN26" i="85"/>
  <c r="AT24" i="85"/>
  <c r="AZ24" i="85" s="1"/>
  <c r="AT41" i="85"/>
  <c r="AZ41" i="85" s="1"/>
  <c r="AW60" i="85"/>
  <c r="AM60" i="85"/>
  <c r="AT60" i="85" s="1"/>
  <c r="AZ60" i="85" s="1"/>
  <c r="AW49" i="85"/>
  <c r="AM49" i="85"/>
  <c r="AT49" i="85" s="1"/>
  <c r="AZ49" i="85" s="1"/>
  <c r="AN27" i="85"/>
  <c r="AM20" i="85"/>
  <c r="AT20" i="85" s="1"/>
  <c r="AZ20" i="85" s="1"/>
  <c r="AW20" i="85"/>
  <c r="AW61" i="85"/>
  <c r="AM61" i="85"/>
  <c r="AT61" i="85" s="1"/>
  <c r="AZ61" i="85" s="1"/>
  <c r="AT29" i="85"/>
  <c r="AZ29" i="85" s="1"/>
  <c r="AW57" i="85"/>
  <c r="AM57" i="85"/>
  <c r="AT57" i="85" s="1"/>
  <c r="AZ57" i="85" s="1"/>
  <c r="AM31" i="85"/>
  <c r="AT31" i="85" s="1"/>
  <c r="AZ31" i="85"/>
  <c r="AW31" i="85"/>
  <c r="AW28" i="85"/>
  <c r="AM28" i="85"/>
  <c r="AT28" i="85" s="1"/>
  <c r="AZ28" i="85" s="1"/>
  <c r="AW59" i="85"/>
  <c r="AM59" i="85"/>
  <c r="AT59" i="85" s="1"/>
  <c r="AZ59" i="85" s="1"/>
  <c r="AW11" i="85"/>
  <c r="AM11" i="85"/>
  <c r="AT11" i="85" s="1"/>
  <c r="AZ11" i="85" s="1"/>
  <c r="AW25" i="85"/>
  <c r="AM25" i="85"/>
  <c r="AT25" i="85" s="1"/>
  <c r="AZ25" i="85"/>
  <c r="AM58" i="85"/>
  <c r="AT58" i="85" s="1"/>
  <c r="AZ58" i="85" s="1"/>
  <c r="AW58" i="85"/>
  <c r="AM36" i="85"/>
  <c r="AT36" i="85" s="1"/>
  <c r="AZ36" i="85" s="1"/>
  <c r="AZ70" i="85" s="1"/>
  <c r="AZ71" i="85" s="1"/>
  <c r="AW36" i="85"/>
  <c r="AW70" i="85" s="1"/>
  <c r="AW71" i="85" s="1"/>
  <c r="AM44" i="85"/>
  <c r="AT44" i="85" s="1"/>
  <c r="AT52" i="85"/>
  <c r="AZ52" i="85" s="1"/>
  <c r="AG24" i="86" l="1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AT47" i="85"/>
  <c r="AZ47" i="85" s="1"/>
  <c r="AY18" i="85"/>
  <c r="BB18" i="85" s="1"/>
  <c r="BC18" i="85" s="1"/>
  <c r="AY53" i="85"/>
  <c r="BB53" i="85" s="1"/>
  <c r="BC53" i="85" s="1"/>
  <c r="AY36" i="85"/>
  <c r="AZ44" i="85"/>
  <c r="BB21" i="85"/>
  <c r="BC21" i="85" s="1"/>
  <c r="BB14" i="85"/>
  <c r="BC14" i="85" s="1"/>
  <c r="BB35" i="85"/>
  <c r="BC35" i="85" s="1"/>
  <c r="BB20" i="85"/>
  <c r="BC20" i="85" s="1"/>
  <c r="BB59" i="85"/>
  <c r="BC59" i="85" s="1"/>
  <c r="AY27" i="85"/>
  <c r="BB40" i="85"/>
  <c r="BC40" i="85" s="1"/>
  <c r="AY37" i="85"/>
  <c r="BB37" i="85" s="1"/>
  <c r="BC37" i="85" s="1"/>
  <c r="AY31" i="85"/>
  <c r="AY32" i="85"/>
  <c r="BB32" i="85" s="1"/>
  <c r="BC32" i="85" s="1"/>
  <c r="BB58" i="85"/>
  <c r="BC58" i="85" s="1"/>
  <c r="AY30" i="85"/>
  <c r="BB30" i="85" s="1"/>
  <c r="BC30" i="85" s="1"/>
  <c r="AY29" i="85"/>
  <c r="BB29" i="85" s="1"/>
  <c r="BC29" i="85" s="1"/>
  <c r="AY7" i="85"/>
  <c r="BB7" i="85" s="1"/>
  <c r="BC7" i="85" s="1"/>
  <c r="BB15" i="85"/>
  <c r="BC15" i="85" s="1"/>
  <c r="BB60" i="85"/>
  <c r="BC60" i="85" s="1"/>
  <c r="AY26" i="85"/>
  <c r="AY38" i="85"/>
  <c r="BB38" i="85" s="1"/>
  <c r="BC38" i="85" s="1"/>
  <c r="AY41" i="85"/>
  <c r="BB41" i="85" s="1"/>
  <c r="BC41" i="85" s="1"/>
  <c r="AY46" i="85"/>
  <c r="BB46" i="85" s="1"/>
  <c r="BC46" i="85" s="1"/>
  <c r="BB12" i="85"/>
  <c r="BC12" i="85" s="1"/>
  <c r="AY9" i="85"/>
  <c r="BB36" i="85"/>
  <c r="BC36" i="85" s="1"/>
  <c r="BB16" i="85"/>
  <c r="BC16" i="85" s="1"/>
  <c r="AV43" i="85"/>
  <c r="AY43" i="85"/>
  <c r="AY24" i="85"/>
  <c r="BB24" i="85" s="1"/>
  <c r="BC24" i="85" s="1"/>
  <c r="BB62" i="85"/>
  <c r="BC62" i="85" s="1"/>
  <c r="AY52" i="85"/>
  <c r="BB10" i="85"/>
  <c r="BC10" i="85" s="1"/>
  <c r="BB31" i="85"/>
  <c r="BC31" i="85" s="1"/>
  <c r="BB8" i="85"/>
  <c r="BC8" i="85" s="1"/>
  <c r="AY61" i="85"/>
  <c r="BB61" i="85" s="1"/>
  <c r="BC61" i="85" s="1"/>
  <c r="AY47" i="85"/>
  <c r="BB52" i="85"/>
  <c r="BC52" i="85" s="1"/>
  <c r="BB19" i="85"/>
  <c r="BC19" i="85" s="1"/>
  <c r="BB47" i="85"/>
  <c r="BC47" i="85" s="1"/>
  <c r="BB5" i="85"/>
  <c r="BC5" i="85" s="1"/>
  <c r="BB57" i="85"/>
  <c r="BC57" i="85" s="1"/>
  <c r="BB49" i="85"/>
  <c r="BC49" i="85" s="1"/>
  <c r="AV25" i="85"/>
  <c r="AY25" i="85"/>
  <c r="AY45" i="85"/>
  <c r="BB45" i="85" s="1"/>
  <c r="BC45" i="85" s="1"/>
  <c r="AY42" i="85"/>
  <c r="BB42" i="85" s="1"/>
  <c r="BC42" i="85" s="1"/>
  <c r="AY28" i="85"/>
  <c r="BB28" i="85" s="1"/>
  <c r="BC28" i="85" s="1"/>
  <c r="AY17" i="85"/>
  <c r="AV13" i="85"/>
  <c r="AY13" i="85"/>
  <c r="AY44" i="85"/>
  <c r="BB44" i="85" s="1"/>
  <c r="BC44" i="85" s="1"/>
  <c r="AY55" i="85"/>
  <c r="BB55" i="85" s="1"/>
  <c r="BC55" i="85" s="1"/>
  <c r="AY22" i="85"/>
  <c r="AY33" i="85"/>
  <c r="BB33" i="85" s="1"/>
  <c r="BC33" i="85" s="1"/>
  <c r="AY11" i="85"/>
  <c r="BB11" i="85" s="1"/>
  <c r="BC11" i="85" s="1"/>
  <c r="AY50" i="85"/>
  <c r="BB50" i="85" s="1"/>
  <c r="BC50" i="85" s="1"/>
  <c r="AY6" i="85"/>
  <c r="BB6" i="85" s="1"/>
  <c r="BC6" i="85" s="1"/>
  <c r="AZ54" i="85"/>
  <c r="BB54" i="85" s="1"/>
  <c r="BC54" i="85" s="1"/>
  <c r="AY39" i="85"/>
  <c r="AT17" i="85"/>
  <c r="AZ17" i="85" s="1"/>
  <c r="AT22" i="85"/>
  <c r="AZ22" i="85" s="1"/>
  <c r="AT9" i="85"/>
  <c r="AZ9" i="85" s="1"/>
  <c r="AT26" i="85"/>
  <c r="AZ26" i="85" s="1"/>
  <c r="BB26" i="85" s="1"/>
  <c r="BC26" i="85" s="1"/>
  <c r="AT23" i="85"/>
  <c r="AZ23" i="85" s="1"/>
  <c r="BB23" i="85" s="1"/>
  <c r="BC23" i="85" s="1"/>
  <c r="AT63" i="85"/>
  <c r="AZ63" i="85" s="1"/>
  <c r="BB63" i="85" s="1"/>
  <c r="BC63" i="85" s="1"/>
  <c r="AT48" i="85"/>
  <c r="AZ48" i="85" s="1"/>
  <c r="BB48" i="85" s="1"/>
  <c r="BC48" i="85" s="1"/>
  <c r="AT39" i="85"/>
  <c r="AZ39" i="85" s="1"/>
  <c r="AT27" i="85"/>
  <c r="AZ27" i="85" s="1"/>
  <c r="AT30" i="85"/>
  <c r="AZ30" i="85" s="1"/>
  <c r="Y4" i="85"/>
  <c r="AH4" i="85" s="1"/>
  <c r="X4" i="85"/>
  <c r="AD4" i="85" s="1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8" i="83"/>
  <c r="C12" i="83"/>
  <c r="G5" i="83"/>
  <c r="BB27" i="85"/>
  <c r="BC27" i="85" s="1"/>
  <c r="BB39" i="85"/>
  <c r="BC39" i="85" s="1"/>
  <c r="BB17" i="85"/>
  <c r="BC17" i="85" s="1"/>
  <c r="BB9" i="85"/>
  <c r="BC9" i="85" s="1"/>
  <c r="BB22" i="85"/>
  <c r="BC22" i="85" s="1"/>
  <c r="BB43" i="85"/>
  <c r="BC43" i="85" s="1"/>
  <c r="BB13" i="85"/>
  <c r="BC13" i="85" s="1"/>
  <c r="BB25" i="85"/>
  <c r="BC25" i="85" s="1"/>
  <c r="AA4" i="85"/>
  <c r="AJ4" i="85" s="1"/>
  <c r="AE4" i="85"/>
  <c r="AF4" i="85"/>
  <c r="AG4" i="85"/>
  <c r="AQ4" i="85" s="1"/>
  <c r="E38" i="83"/>
  <c r="D38" i="83"/>
  <c r="C38" i="83"/>
  <c r="F38" i="83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D11" i="83" l="1"/>
  <c r="D12" i="83" s="1"/>
  <c r="B12" i="83"/>
  <c r="AP4" i="85"/>
  <c r="AV4" i="85" s="1"/>
  <c r="AV66" i="85" s="1"/>
  <c r="AK4" i="85"/>
  <c r="AL4" i="85"/>
  <c r="J3" i="83"/>
  <c r="K3" i="83"/>
  <c r="K11" i="83"/>
  <c r="B16" i="83" s="1"/>
  <c r="J11" i="83"/>
  <c r="J12" i="83"/>
  <c r="H7" i="83"/>
  <c r="K12" i="83" s="1"/>
  <c r="C16" i="83" s="1"/>
  <c r="C17" i="83" s="1"/>
  <c r="I27" i="82"/>
  <c r="D16" i="83" l="1"/>
  <c r="B17" i="83"/>
  <c r="AS4" i="85"/>
  <c r="AY4" i="85"/>
  <c r="AY66" i="85" s="1"/>
  <c r="C27" i="83"/>
  <c r="C28" i="83" s="1"/>
  <c r="K6" i="83"/>
  <c r="C22" i="83"/>
  <c r="C23" i="83" s="1"/>
  <c r="B27" i="83"/>
  <c r="B22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8" i="83" l="1"/>
  <c r="D27" i="83"/>
  <c r="D28" i="83" s="1"/>
  <c r="D17" i="83"/>
  <c r="B23" i="83"/>
  <c r="D22" i="83"/>
  <c r="D23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3" i="83" l="1"/>
  <c r="B34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C11" i="51"/>
  <c r="C10" i="51"/>
  <c r="C9" i="51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L6" i="70"/>
  <c r="I35" i="70"/>
  <c r="I14" i="70"/>
  <c r="I13" i="70"/>
  <c r="G11" i="70"/>
  <c r="G10" i="70" s="1"/>
  <c r="G6" i="70"/>
  <c r="I34" i="70" s="1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I46" i="70" s="1"/>
  <c r="G2" i="11"/>
  <c r="G3" i="11"/>
  <c r="H6" i="11" s="1"/>
  <c r="H9" i="11" s="1"/>
  <c r="H10" i="11" s="1"/>
  <c r="H7" i="11"/>
  <c r="F5" i="52"/>
  <c r="G5" i="52"/>
  <c r="F6" i="52"/>
  <c r="J5" i="52" s="1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F9" i="53" s="1"/>
  <c r="D10" i="53"/>
  <c r="F10" i="53"/>
  <c r="D11" i="53"/>
  <c r="G11" i="53" s="1"/>
  <c r="F11" i="53"/>
  <c r="D12" i="53"/>
  <c r="G12" i="53" s="1"/>
  <c r="F12" i="53"/>
  <c r="D13" i="53"/>
  <c r="G13" i="53" s="1"/>
  <c r="D14" i="53"/>
  <c r="F14" i="53" s="1"/>
  <c r="D15" i="53"/>
  <c r="F15" i="53"/>
  <c r="D16" i="53"/>
  <c r="F16" i="53"/>
  <c r="D17" i="53"/>
  <c r="G17" i="53" s="1"/>
  <c r="F17" i="53"/>
  <c r="D18" i="53"/>
  <c r="F18" i="53"/>
  <c r="D19" i="53"/>
  <c r="F19" i="53"/>
  <c r="D20" i="53"/>
  <c r="F20" i="53" s="1"/>
  <c r="D21" i="53"/>
  <c r="G21" i="53" s="1"/>
  <c r="F21" i="53"/>
  <c r="D22" i="53"/>
  <c r="G22" i="53" s="1"/>
  <c r="D23" i="53"/>
  <c r="F23" i="53"/>
  <c r="D24" i="53"/>
  <c r="G24" i="53" s="1"/>
  <c r="F24" i="53"/>
  <c r="D25" i="53"/>
  <c r="F25" i="53" s="1"/>
  <c r="D26" i="53"/>
  <c r="F26" i="53"/>
  <c r="D27" i="53"/>
  <c r="F27" i="53"/>
  <c r="D28" i="53"/>
  <c r="F28" i="53"/>
  <c r="D29" i="53"/>
  <c r="G29" i="53" s="1"/>
  <c r="F29" i="53"/>
  <c r="D30" i="53"/>
  <c r="F30" i="53"/>
  <c r="D31" i="53"/>
  <c r="F31" i="53" s="1"/>
  <c r="D32" i="53"/>
  <c r="F32" i="53"/>
  <c r="D33" i="53"/>
  <c r="G33" i="53" s="1"/>
  <c r="F33" i="53"/>
  <c r="D34" i="53"/>
  <c r="G34" i="53" s="1"/>
  <c r="F34" i="53"/>
  <c r="D35" i="53"/>
  <c r="G35" i="53" s="1"/>
  <c r="F35" i="53"/>
  <c r="D36" i="53"/>
  <c r="F36" i="53" s="1"/>
  <c r="D37" i="53"/>
  <c r="F37" i="53"/>
  <c r="D38" i="53"/>
  <c r="F38" i="53"/>
  <c r="D39" i="53"/>
  <c r="F39" i="53"/>
  <c r="D40" i="53"/>
  <c r="F40" i="53"/>
  <c r="G8" i="53"/>
  <c r="G9" i="53"/>
  <c r="G10" i="53"/>
  <c r="G14" i="53"/>
  <c r="G15" i="53"/>
  <c r="G16" i="53"/>
  <c r="G18" i="53"/>
  <c r="G19" i="53"/>
  <c r="G20" i="53"/>
  <c r="G23" i="53"/>
  <c r="G25" i="53"/>
  <c r="G26" i="53"/>
  <c r="G27" i="53"/>
  <c r="G28" i="53"/>
  <c r="G30" i="53"/>
  <c r="G32" i="53"/>
  <c r="G36" i="53"/>
  <c r="G37" i="53"/>
  <c r="G38" i="53"/>
  <c r="G39" i="53"/>
  <c r="G40" i="53"/>
  <c r="M5" i="53"/>
  <c r="M6" i="53"/>
  <c r="E3" i="8"/>
  <c r="K4" i="8" s="1"/>
  <c r="F3" i="8"/>
  <c r="E4" i="8"/>
  <c r="E5" i="8"/>
  <c r="J8" i="8" s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K8" i="8" s="1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H5" i="6" s="1"/>
  <c r="C17" i="6"/>
  <c r="F14" i="6" s="1"/>
  <c r="F5" i="6"/>
  <c r="E6" i="6"/>
  <c r="E9" i="6"/>
  <c r="F9" i="6"/>
  <c r="H9" i="6"/>
  <c r="F10" i="6"/>
  <c r="E12" i="6"/>
  <c r="H12" i="6" s="1"/>
  <c r="F12" i="6"/>
  <c r="F13" i="6"/>
  <c r="F15" i="6"/>
  <c r="H19" i="6"/>
  <c r="H23" i="6"/>
  <c r="H24" i="6"/>
  <c r="H22" i="6"/>
  <c r="A4" i="50"/>
  <c r="E4" i="50"/>
  <c r="A5" i="50"/>
  <c r="E5" i="50"/>
  <c r="A6" i="50"/>
  <c r="A7" i="50" s="1"/>
  <c r="A8" i="50" s="1"/>
  <c r="A9" i="50" s="1"/>
  <c r="A10" i="50" s="1"/>
  <c r="A11" i="50" s="1"/>
  <c r="A12" i="50" s="1"/>
  <c r="E6" i="50"/>
  <c r="J6" i="5"/>
  <c r="G14" i="5" s="1"/>
  <c r="L6" i="5"/>
  <c r="G7" i="5"/>
  <c r="G16" i="5" s="1"/>
  <c r="H7" i="5"/>
  <c r="G24" i="5" s="1"/>
  <c r="J7" i="5"/>
  <c r="L7" i="5"/>
  <c r="G8" i="5"/>
  <c r="H8" i="5"/>
  <c r="J8" i="5"/>
  <c r="L8" i="5"/>
  <c r="G9" i="5"/>
  <c r="H9" i="5"/>
  <c r="J9" i="5"/>
  <c r="L9" i="5"/>
  <c r="J10" i="5"/>
  <c r="L10" i="5"/>
  <c r="J11" i="5"/>
  <c r="G13" i="5" s="1"/>
  <c r="L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G19" i="5"/>
  <c r="G25" i="5"/>
  <c r="G26" i="5"/>
  <c r="C8" i="4"/>
  <c r="C9" i="4"/>
  <c r="D9" i="3"/>
  <c r="E6" i="3" s="1"/>
  <c r="G3" i="68"/>
  <c r="H3" i="68"/>
  <c r="G4" i="68"/>
  <c r="H4" i="68" s="1"/>
  <c r="H10" i="68" s="1"/>
  <c r="G5" i="68"/>
  <c r="H5" i="68" s="1"/>
  <c r="G6" i="68"/>
  <c r="H6" i="68"/>
  <c r="C8" i="68"/>
  <c r="D8" i="68"/>
  <c r="E8" i="68"/>
  <c r="G8" i="68"/>
  <c r="C10" i="68"/>
  <c r="D10" i="68"/>
  <c r="E10" i="68"/>
  <c r="D3" i="51"/>
  <c r="D4" i="51"/>
  <c r="D5" i="51"/>
  <c r="D6" i="51"/>
  <c r="D7" i="51"/>
  <c r="F6" i="1"/>
  <c r="G6" i="1"/>
  <c r="H6" i="1" s="1"/>
  <c r="G7" i="1"/>
  <c r="H7" i="1"/>
  <c r="F7" i="1"/>
  <c r="I7" i="1"/>
  <c r="G8" i="1"/>
  <c r="I11" i="1" s="1"/>
  <c r="H8" i="1"/>
  <c r="I8" i="1" s="1"/>
  <c r="F8" i="1"/>
  <c r="C12" i="2"/>
  <c r="C13" i="2"/>
  <c r="C14" i="2"/>
  <c r="C16" i="2"/>
  <c r="D14" i="2" s="1"/>
  <c r="C24" i="2" s="1"/>
  <c r="D24" i="2" s="1"/>
  <c r="C31" i="2" s="1"/>
  <c r="D13" i="2"/>
  <c r="C23" i="2" s="1"/>
  <c r="D23" i="2" s="1"/>
  <c r="C30" i="2" s="1"/>
  <c r="E36" i="2"/>
  <c r="E37" i="2"/>
  <c r="F36" i="2" s="1"/>
  <c r="E38" i="2"/>
  <c r="F24" i="80" l="1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5" i="53"/>
  <c r="H8" i="68"/>
  <c r="K19" i="63"/>
  <c r="J20" i="63"/>
  <c r="K20" i="63" s="1"/>
  <c r="F6" i="3"/>
  <c r="E18" i="15"/>
  <c r="F18" i="15"/>
  <c r="E7" i="3"/>
  <c r="F7" i="3" s="1"/>
  <c r="G12" i="5"/>
  <c r="E15" i="6"/>
  <c r="H15" i="6" s="1"/>
  <c r="N45" i="17"/>
  <c r="J6" i="53"/>
  <c r="N43" i="17"/>
  <c r="K20" i="18"/>
  <c r="I26" i="36"/>
  <c r="I27" i="36"/>
  <c r="M7" i="36" s="1"/>
  <c r="M18" i="36" s="1"/>
  <c r="M36" i="36" s="1"/>
  <c r="E15" i="40"/>
  <c r="E16" i="40"/>
  <c r="D12" i="2"/>
  <c r="C22" i="2" s="1"/>
  <c r="D22" i="2" s="1"/>
  <c r="C29" i="2" s="1"/>
  <c r="C36" i="2" s="1"/>
  <c r="F4" i="6"/>
  <c r="I43" i="17"/>
  <c r="I49" i="17" s="1"/>
  <c r="C20" i="18"/>
  <c r="E20" i="18" s="1"/>
  <c r="G31" i="53"/>
  <c r="E16" i="15"/>
  <c r="D41" i="46"/>
  <c r="J8" i="14"/>
  <c r="J13" i="14" s="1"/>
  <c r="G48" i="17"/>
  <c r="G50" i="17" s="1"/>
  <c r="N48" i="17"/>
  <c r="F38" i="2"/>
  <c r="G10" i="68"/>
  <c r="G21" i="5"/>
  <c r="E14" i="6"/>
  <c r="H14" i="6" s="1"/>
  <c r="E7" i="6"/>
  <c r="E10" i="6"/>
  <c r="H10" i="6" s="1"/>
  <c r="E4" i="6"/>
  <c r="H4" i="6" s="1"/>
  <c r="E11" i="6"/>
  <c r="E13" i="6"/>
  <c r="H13" i="6" s="1"/>
  <c r="E65" i="7"/>
  <c r="J6" i="52"/>
  <c r="F42" i="15"/>
  <c r="G42" i="15" s="1"/>
  <c r="F46" i="15" s="1"/>
  <c r="E22" i="39"/>
  <c r="E23" i="39" s="1"/>
  <c r="N4" i="39" s="1"/>
  <c r="O6" i="41"/>
  <c r="F37" i="2"/>
  <c r="F40" i="2" s="1"/>
  <c r="F13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H11" i="68"/>
  <c r="N49" i="17"/>
  <c r="N51" i="17" s="1"/>
  <c r="I47" i="17"/>
  <c r="I48" i="17"/>
  <c r="I50" i="17" s="1"/>
  <c r="L8" i="41"/>
  <c r="M8" i="41"/>
  <c r="N8" i="41"/>
  <c r="O8" i="41"/>
  <c r="G20" i="5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5" i="8"/>
  <c r="J5" i="8" s="1"/>
  <c r="J4" i="8"/>
  <c r="T9" i="25"/>
  <c r="I6" i="1"/>
  <c r="F8" i="6"/>
  <c r="I45" i="17"/>
  <c r="I46" i="17" s="1"/>
  <c r="E19" i="38"/>
  <c r="E14" i="38"/>
  <c r="F22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C12" i="51"/>
  <c r="H21" i="6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I10" i="78" l="1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5" i="8"/>
  <c r="H8" i="8"/>
  <c r="H56" i="8"/>
  <c r="H9" i="8"/>
  <c r="H61" i="8"/>
  <c r="H33" i="8"/>
  <c r="H34" i="8"/>
  <c r="H35" i="8"/>
  <c r="H31" i="8"/>
  <c r="H12" i="8"/>
  <c r="H36" i="8"/>
  <c r="H13" i="8"/>
  <c r="H42" i="8"/>
  <c r="H43" i="8"/>
  <c r="H14" i="8"/>
  <c r="H44" i="8"/>
  <c r="H3" i="8"/>
  <c r="H45" i="8"/>
  <c r="H17" i="8"/>
  <c r="H47" i="8"/>
  <c r="H22" i="8"/>
  <c r="H53" i="8"/>
  <c r="H23" i="8"/>
  <c r="H57" i="8"/>
  <c r="H5" i="8"/>
  <c r="H52" i="8"/>
  <c r="H39" i="8"/>
  <c r="H60" i="8"/>
  <c r="H28" i="8"/>
  <c r="H6" i="8"/>
  <c r="H26" i="8"/>
  <c r="H15" i="8"/>
  <c r="H59" i="8"/>
  <c r="H48" i="8"/>
  <c r="H37" i="8"/>
  <c r="H49" i="8"/>
  <c r="H58" i="8"/>
  <c r="H30" i="8"/>
  <c r="H4" i="8"/>
  <c r="H11" i="8"/>
  <c r="H46" i="8"/>
  <c r="H24" i="8"/>
  <c r="H18" i="8"/>
  <c r="H41" i="8"/>
  <c r="H10" i="8"/>
  <c r="H7" i="8"/>
  <c r="H55" i="8"/>
  <c r="H54" i="8"/>
  <c r="H21" i="8"/>
  <c r="H32" i="8"/>
  <c r="H20" i="8"/>
  <c r="H27" i="8"/>
  <c r="H62" i="8"/>
  <c r="H40" i="8"/>
  <c r="H29" i="8"/>
  <c r="H19" i="8"/>
  <c r="H50" i="8"/>
  <c r="H38" i="8"/>
  <c r="H51" i="8"/>
  <c r="H16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C40" i="2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L3" i="38"/>
  <c r="B3" i="38"/>
  <c r="K3" i="38" s="1"/>
  <c r="D11" i="3"/>
  <c r="D12" i="3" s="1"/>
  <c r="B19" i="38"/>
  <c r="B14" i="38"/>
  <c r="C37" i="2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D10" i="3"/>
  <c r="F18" i="66"/>
  <c r="I18" i="66"/>
  <c r="B19" i="66"/>
  <c r="F19" i="66" s="1"/>
  <c r="C38" i="2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I10" i="1"/>
  <c r="J6" i="1" s="1"/>
  <c r="B19" i="47"/>
  <c r="C19" i="47"/>
  <c r="F22" i="47" a="1"/>
  <c r="F22" i="47" s="1"/>
  <c r="N46" i="17"/>
  <c r="O50" i="17"/>
  <c r="K18" i="63"/>
  <c r="K21" i="63" s="1"/>
  <c r="J21" i="63"/>
  <c r="E19" i="56"/>
  <c r="J18" i="66" l="1"/>
  <c r="Q34" i="76"/>
  <c r="Q36" i="76" s="1"/>
  <c r="P7" i="38"/>
  <c r="P16" i="38"/>
  <c r="D20" i="38"/>
  <c r="D21" i="38"/>
  <c r="M4" i="38" s="1"/>
  <c r="J11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J8" i="1"/>
  <c r="J7" i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N12" i="38" l="1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AB4" i="85" l="1"/>
  <c r="AM4" i="85" l="1"/>
  <c r="AW4" i="85"/>
  <c r="AW66" i="85" s="1"/>
  <c r="AW67" i="85" s="1"/>
  <c r="AN4" i="85"/>
  <c r="AT4" i="85" l="1"/>
  <c r="AZ4" i="85" s="1"/>
  <c r="BB4" i="85" l="1"/>
  <c r="AZ66" i="85"/>
  <c r="AZ67" i="85" s="1"/>
  <c r="BC4" i="85"/>
  <c r="BB66" i="85"/>
  <c r="U62" i="86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<sst xmlns="http://schemas.openxmlformats.org/spreadsheetml/2006/main" count="1904" uniqueCount="831">
  <si>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</si>
  <si>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</si>
  <si>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</si>
  <si>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</si>
  <si>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</si>
  <si>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</si>
  <si>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</si>
  <si>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</si>
  <si>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</si>
  <si>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</si>
  <si>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</si>
  <si>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</si>
  <si>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</si>
  <si>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</si>
  <si>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</si>
  <si>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</si>
  <si>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</si>
  <si>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</si>
  <si>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</si>
  <si>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</si>
  <si>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</si>
  <si>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</si>
  <si>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</si>
  <si>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</si>
  <si>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</si>
  <si>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</si>
  <si>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</si>
  <si>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</si>
  <si>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</si>
  <si>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</si>
  <si>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</si>
  <si>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</si>
  <si>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</si>
  <si>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</si>
  <si>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</si>
  <si>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</si>
  <si>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</si>
  <si>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</si>
  <si>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</si>
  <si>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</si>
  <si>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</si>
  <si>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</si>
  <si>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</si>
  <si>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</si>
  <si>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</si>
  <si>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</si>
  <si>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</si>
  <si>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</si>
  <si>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</si>
  <si>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</si>
  <si>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</si>
  <si>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</si>
  <si>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</si>
  <si>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</si>
  <si>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</si>
  <si>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</si>
  <si>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</si>
  <si>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</si>
  <si>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</si>
  <si>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</si>
  <si>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</si>
  <si>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</si>
  <si>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</si>
  <si>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</si>
  <si>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</si>
  <si>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</si>
  <si>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</si>
  <si>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</si>
  <si>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</si>
  <si>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</si>
  <si>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</si>
  <si>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</si>
  <si>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</si>
  <si>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</si>
  <si>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</si>
  <si>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</si>
  <si>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</si>
  <si>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</si>
  <si>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</si>
  <si>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</si>
  <si>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</si>
  <si>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</si>
  <si>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</si>
  <si>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</si>
  <si>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</si>
  <si>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</si>
  <si>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</si>
  <si>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</si>
  <si>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</si>
  <si>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</si>
  <si>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</si>
  <si>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</si>
  <si>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</si>
  <si>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</si>
  <si>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</si>
  <si>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</si>
  <si>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</si>
  <si>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</si>
  <si>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</si>
  <si>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</si>
  <si>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</si>
  <si>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</si>
  <si>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</si>
  <si>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</si>
  <si>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</si>
  <si>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</si>
  <si>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</si>
  <si>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</si>
  <si>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</si>
  <si>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</si>
  <si>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</si>
  <si>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</si>
  <si>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</si>
  <si>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</si>
  <si>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</si>
  <si>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</si>
  <si>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</si>
  <si>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</si>
  <si>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</si>
  <si>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</si>
  <si>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</si>
  <si>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</si>
  <si>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</si>
  <si>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</si>
  <si>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</si>
  <si>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</si>
  <si>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</si>
  <si>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</si>
  <si>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</si>
  <si>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</si>
  <si>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</si>
  <si>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</si>
  <si>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</si>
  <si>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</si>
  <si>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</si>
  <si>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</si>
  <si>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</si>
  <si>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</si>
  <si>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</si>
  <si>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</si>
  <si>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</si>
  <si>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</si>
  <si>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</si>
  <si>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</si>
  <si>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</si>
  <si>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</si>
  <si>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</si>
  <si>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</si>
  <si>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</si>
  <si>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</si>
  <si>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</si>
  <si>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</si>
  <si>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</si>
  <si>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</si>
  <si>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</si>
  <si>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</si>
  <si>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</si>
  <si>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</si>
  <si>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</si>
  <si>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</si>
  <si>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</si>
  <si>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</si>
  <si>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</si>
  <si>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</si>
  <si>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</si>
  <si>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</si>
  <si>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</si>
  <si>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</si>
  <si>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</si>
  <si>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</si>
  <si>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</si>
  <si>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</si>
  <si>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</si>
  <si>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</si>
  <si>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</si>
  <si>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</si>
  <si>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</si>
  <si>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</si>
  <si>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</si>
  <si>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</si>
  <si>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</si>
  <si>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</si>
  <si>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</si>
  <si>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</si>
  <si>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</si>
  <si>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</si>
  <si>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</si>
  <si>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</si>
  <si>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</si>
  <si>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</si>
  <si>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</si>
  <si>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</si>
  <si>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</si>
  <si>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</si>
  <si>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</si>
  <si>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</si>
  <si>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</si>
  <si>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</si>
  <si>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</si>
  <si>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</si>
  <si>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</si>
  <si>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</si>
  <si>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</si>
  <si>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</si>
  <si>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</si>
  <si>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</si>
  <si>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</si>
  <si>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</si>
  <si>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</si>
  <si>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</si>
  <si>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</si>
  <si>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</si>
  <si>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</si>
  <si>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</si>
  <si>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</si>
  <si>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</si>
  <si>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</si>
  <si>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</si>
  <si>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</si>
  <si>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</si>
  <si>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</si>
  <si>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</si>
  <si>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</si>
  <si>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</si>
  <si>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</si>
  <si>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</si>
  <si>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</si>
  <si>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</si>
  <si>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</si>
  <si>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</si>
  <si>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</si>
  <si>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</si>
  <si>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</si>
  <si>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</si>
  <si>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</si>
  <si>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</si>
  <si>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</si>
  <si>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</si>
  <si>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</si>
  <si>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</si>
  <si>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</si>
  <si>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</si>
  <si>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</si>
  <si>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</si>
  <si>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</si>
  <si>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</si>
  <si>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</si>
  <si>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</si>
  <si>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</si>
  <si>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</si>
  <si>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</si>
  <si>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</si>
  <si>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</si>
  <si>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</si>
  <si>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</si>
  <si>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</si>
  <si>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</si>
  <si>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</si>
  <si>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</si>
  <si>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</si>
  <si>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</si>
  <si>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</si>
  <si>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</si>
  <si>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</si>
  <si>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</si>
  <si>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</si>
  <si>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</si>
  <si>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</si>
  <si>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</si>
  <si>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</si>
  <si>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</si>
  <si>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</si>
  <si>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</si>
  <si>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</si>
  <si>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</si>
  <si>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</si>
  <si>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</si>
  <si>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</si>
  <si>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</si>
  <si>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</si>
  <si>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</si>
  <si>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</si>
  <si>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</si>
  <si>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</si>
  <si>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</si>
  <si>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</si>
  <si>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</si>
  <si>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</si>
  <si>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</si>
  <si>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</si>
  <si>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</si>
  <si>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</si>
  <si>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</si>
  <si>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</si>
  <si>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</si>
  <si>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</si>
  <si>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</si>
  <si>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</si>
  <si>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</si>
  <si>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</si>
  <si>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</si>
  <si>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</si>
  <si>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</si>
  <si>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</si>
  <si>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</si>
  <si>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</si>
  <si>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</si>
  <si>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</si>
  <si>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</si>
  <si>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</si>
  <si>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</si>
  <si>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</si>
  <si>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</si>
  <si>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</si>
  <si>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</si>
  <si>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</si>
  <si>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</si>
  <si>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</si>
  <si>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</si>
  <si>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</si>
  <si>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</si>
  <si>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</si>
  <si>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</si>
  <si>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</si>
  <si>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</si>
  <si>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</si>
  <si>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</si>
  <si>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</si>
  <si>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</si>
  <si>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</si>
  <si>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</si>
  <si>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</si>
  <si>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</si>
  <si>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</si>
  <si>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</si>
  <si>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</si>
  <si>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</si>
  <si>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</si>
  <si>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</si>
  <si>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</si>
  <si>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</si>
  <si>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</si>
  <si>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</si>
  <si>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</si>
  <si>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</si>
  <si>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</si>
  <si>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</si>
  <si>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</si>
  <si>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</si>
  <si>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</si>
  <si>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</si>
  <si>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</si>
  <si>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</si>
  <si>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</si>
  <si>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</si>
  <si>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</si>
  <si>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</si>
  <si>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</si>
  <si>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</si>
  <si>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</si>
  <si>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</si>
  <si>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</si>
  <si>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</si>
  <si>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</si>
  <si>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</si>
  <si>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</si>
  <si>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</si>
  <si>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</si>
  <si>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</si>
  <si>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</si>
  <si>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</si>
  <si>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</si>
  <si>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</si>
  <si>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</si>
  <si>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</si>
  <si>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</si>
  <si>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</si>
  <si>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</si>
  <si>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</si>
  <si>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</si>
  <si>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</si>
  <si>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</si>
  <si>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</si>
  <si>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</si>
  <si>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</si>
  <si>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</si>
  <si>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</si>
  <si>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</si>
  <si>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</si>
  <si>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</si>
  <si>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</si>
  <si>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</si>
  <si>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</si>
  <si>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</si>
  <si>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</si>
  <si>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</si>
  <si>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</si>
  <si>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</si>
  <si>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</si>
  <si>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</si>
  <si>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</si>
  <si>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</si>
  <si>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</si>
  <si>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</si>
  <si>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</si>
  <si>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</si>
  <si>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</si>
  <si>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</si>
  <si>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</si>
  <si>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</si>
  <si>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</si>
  <si>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</si>
  <si>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</si>
  <si>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</si>
  <si>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</si>
  <si>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</si>
  <si>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</si>
  <si>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</si>
  <si>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</si>
  <si>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</si>
  <si>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</si>
  <si>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</si>
  <si>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</si>
  <si>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</si>
  <si>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</si>
  <si>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</si>
  <si>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</si>
  <si>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</si>
  <si>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</si>
  <si>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</si>
  <si>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</si>
  <si>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</si>
  <si>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</si>
  <si>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</si>
  <si>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</si>
  <si>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</si>
  <si>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</si>
  <si>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</si>
  <si>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</si>
  <si>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</si>
  <si>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</si>
  <si>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</si>
  <si>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</si>
  <si>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</si>
  <si>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</si>
  <si>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</si>
  <si>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</si>
  <si>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</si>
  <si>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</si>
  <si>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</si>
  <si>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</si>
  <si>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</si>
  <si>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</si>
  <si>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</si>
  <si>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</si>
  <si>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</si>
  <si>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</si>
  <si>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</si>
  <si>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</si>
  <si>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</si>
  <si>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</si>
  <si>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</si>
  <si>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</si>
  <si>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</si>
  <si>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</si>
  <si>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</si>
  <si>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</si>
  <si>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</si>
  <si>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</si>
  <si>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</si>
  <si>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</si>
  <si>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</si>
  <si>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</si>
  <si>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</si>
  <si>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</si>
  <si>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</si>
  <si>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</si>
  <si>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</si>
  <si>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</si>
  <si>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</si>
  <si>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</si>
  <si>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</si>
  <si>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</si>
  <si>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</si>
  <si>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</si>
  <si>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</si>
  <si>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</si>
  <si>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</si>
  <si>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</si>
  <si>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</si>
  <si>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</si>
  <si>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</si>
  <si>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</si>
  <si>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</si>
  <si>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</si>
  <si>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</si>
  <si>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</si>
  <si>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</si>
  <si>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</si>
  <si>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</si>
  <si>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</si>
  <si>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</si>
  <si>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</si>
  <si>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</si>
  <si>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</si>
  <si>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</si>
  <si>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</si>
  <si>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</si>
  <si>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</si>
  <si>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</si>
  <si>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</si>
  <si>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</si>
  <si>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</si>
  <si>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</si>
  <si>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</si>
  <si>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</si>
  <si>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</si>
  <si>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</si>
  <si>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</si>
  <si>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</si>
  <si>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</si>
  <si>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</si>
  <si>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</si>
  <si>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</si>
  <si>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</si>
  <si>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</si>
  <si>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</si>
  <si>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</si>
  <si>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</si>
  <si>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</si>
  <si>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</si>
  <si>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</si>
  <si>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</si>
  <si>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</si>
  <si>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</si>
  <si>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</si>
  <si>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</si>
  <si>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</si>
  <si>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</si>
  <si>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</si>
  <si>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</si>
  <si>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</si>
  <si>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</si>
  <si>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</si>
  <si>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</si>
  <si>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</si>
  <si>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</si>
  <si>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</si>
  <si>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</si>
  <si>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</si>
  <si>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</si>
  <si>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</si>
  <si>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</si>
  <si>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</si>
  <si>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</si>
  <si>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</si>
  <si>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</si>
  <si>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</si>
  <si>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</si>
  <si>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</si>
  <si>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</si>
  <si>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</si>
  <si>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</si>
  <si>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</si>
  <si>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</si>
  <si>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</si>
  <si>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</si>
  <si>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</si>
  <si>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</si>
  <si>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</si>
  <si>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</si>
  <si>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</si>
  <si>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</si>
  <si>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</si>
  <si>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</si>
  <si>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</si>
  <si>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</si>
  <si>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</si>
  <si>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</si>
  <si>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</si>
  <si>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</si>
  <si>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</si>
  <si>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</si>
  <si>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</si>
  <si>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</si>
  <si>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</si>
  <si>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</si>
  <si>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</si>
  <si>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</si>
  <si>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</si>
  <si>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</si>
  <si>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</si>
  <si>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</si>
  <si>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</si>
  <si>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</si>
  <si>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</si>
  <si>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</si>
  <si>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</si>
  <si>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</si>
  <si>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</si>
  <si>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</si>
  <si>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</si>
  <si>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</si>
  <si>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</si>
  <si>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Fund Weight</t>
  </si>
  <si>
    <t>Benchmark Weight</t>
  </si>
  <si>
    <t>Active Weight</t>
  </si>
  <si>
    <t>Asset 1</t>
  </si>
  <si>
    <t>Asset 2</t>
  </si>
  <si>
    <t>Asset 3</t>
  </si>
  <si>
    <t>Asset 4</t>
  </si>
  <si>
    <t>Asset 5</t>
  </si>
  <si>
    <t>benchmark return</t>
  </si>
  <si>
    <t>active return</t>
  </si>
  <si>
    <t>portfolio return (direct )</t>
  </si>
  <si>
    <t>portfolio return (indirect )</t>
  </si>
  <si>
    <t>Small/Value</t>
  </si>
  <si>
    <t>Small/Growth</t>
  </si>
  <si>
    <t>Large/Growth</t>
  </si>
  <si>
    <t>Active 1</t>
  </si>
  <si>
    <t>Active 2</t>
  </si>
  <si>
    <t>Total Active</t>
  </si>
  <si>
    <t>Direct Approach</t>
  </si>
  <si>
    <t>Indirect Approach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</si>
  <si>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</si>
  <si>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</si>
  <si>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</si>
  <si>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</si>
  <si>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</si>
  <si>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</si>
  <si>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</si>
  <si>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</si>
  <si>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</si>
  <si>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</si>
  <si>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</si>
  <si>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</si>
  <si>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</si>
  <si>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</si>
  <si>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</si>
  <si>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</si>
  <si>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</si>
  <si>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</si>
  <si>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</si>
  <si>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</si>
  <si>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</si>
  <si>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</si>
  <si>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</si>
  <si>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</si>
  <si>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</si>
  <si>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</si>
  <si>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</si>
  <si>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</si>
  <si>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</si>
  <si>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</si>
  <si>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</si>
  <si>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</si>
  <si>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</si>
  <si>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</si>
  <si>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</si>
  <si>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</si>
  <si>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</si>
  <si>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</si>
  <si>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</si>
  <si>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</si>
  <si>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</si>
  <si>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</si>
  <si>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</si>
  <si>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</si>
  <si>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</si>
  <si>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</si>
  <si>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</si>
  <si>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</si>
  <si>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</si>
  <si>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</si>
  <si>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</si>
  <si>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</si>
  <si>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</si>
  <si>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</si>
  <si>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</si>
  <si>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</si>
  <si>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</si>
  <si>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</si>
  <si>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</si>
  <si>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</si>
  <si>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</si>
  <si>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</si>
  <si>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</si>
  <si>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</si>
  <si>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</si>
  <si>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</si>
  <si>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</si>
  <si>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</si>
  <si>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</si>
  <si>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</si>
  <si>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</si>
  <si>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</si>
  <si>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</si>
  <si>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</si>
  <si>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</si>
  <si>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</si>
  <si>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</si>
  <si>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</si>
  <si>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</si>
  <si>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</si>
  <si>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</si>
  <si>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</si>
  <si>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</si>
  <si>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</si>
  <si>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</si>
  <si>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</si>
  <si>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</si>
  <si>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</si>
  <si>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</si>
  <si>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</si>
  <si>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</si>
  <si>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</si>
  <si>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</si>
  <si>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</si>
  <si>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</si>
  <si>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</si>
  <si>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</si>
  <si>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</si>
  <si>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</si>
  <si>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</si>
  <si>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</si>
  <si>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</si>
  <si>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</si>
  <si>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</si>
  <si>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</si>
  <si>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</si>
  <si>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</si>
  <si>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</si>
  <si>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</si>
  <si>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</si>
  <si>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</si>
  <si>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</si>
  <si>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</si>
  <si>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</si>
  <si>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</si>
  <si>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</si>
  <si>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</si>
  <si>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</si>
  <si>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</si>
  <si>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</si>
  <si>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</si>
  <si>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</si>
  <si>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</si>
  <si>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</si>
  <si>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</si>
  <si>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</si>
  <si>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</si>
  <si>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</si>
  <si>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</si>
  <si>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</si>
  <si>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</si>
  <si>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</si>
  <si>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</si>
  <si>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</si>
  <si>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</si>
  <si>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</si>
  <si>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</si>
  <si>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</si>
  <si>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</si>
  <si>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</si>
  <si>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</si>
  <si>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</si>
  <si>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</si>
  <si>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</si>
  <si>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</si>
  <si>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</si>
  <si>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</si>
  <si>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</si>
  <si>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</si>
  <si>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</si>
  <si>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</si>
  <si>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</si>
  <si>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</si>
  <si>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</si>
  <si>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</si>
  <si>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</si>
  <si>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</si>
  <si>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</si>
  <si>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</si>
  <si>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</si>
  <si>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</si>
  <si>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</si>
  <si>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</si>
  <si>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</si>
  <si>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</si>
  <si>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</si>
  <si>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</si>
  <si>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</si>
  <si>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</si>
  <si>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</si>
  <si>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</si>
  <si>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</si>
  <si>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</si>
  <si>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</si>
  <si>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</si>
  <si>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</si>
  <si>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</si>
  <si>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</si>
  <si>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</si>
  <si>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Sector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</si>
  <si>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</si>
  <si>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</si>
  <si>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</si>
  <si>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</si>
  <si>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</si>
  <si>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</si>
  <si>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</si>
  <si>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</si>
  <si>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</si>
  <si>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</si>
  <si>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</si>
  <si>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Performance</t>
  </si>
  <si>
    <t>Spread</t>
  </si>
  <si>
    <t>Allocation</t>
  </si>
  <si>
    <t>Selection</t>
  </si>
  <si>
    <t>Benchmark Weights</t>
  </si>
  <si>
    <t>Segment</t>
  </si>
  <si>
    <t>Portfolio Weights</t>
  </si>
  <si>
    <t>Average Effects</t>
  </si>
  <si>
    <t>Excess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</si>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</sst>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36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82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/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176" fontId="34" fillId="0" borderId="0" xfId="0" applyNumberFormat="1" applyFont="1" applyAlignment="1">
      <alignment horizontal="center" vertical="top"/>
    </xf>
    <xf numFmtId="0" fontId="34" fillId="0" borderId="0" xfId="0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64" fontId="33" fillId="0" borderId="0" xfId="0" applyNumberFormat="1" applyFont="1"/>
    <xf numFmtId="164" fontId="2" fillId="0" borderId="0" xfId="0" applyNumberFormat="1" applyFont="1" applyAlignment="1"/>
    <xf numFmtId="10" fontId="35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'9-Lakers'!$C$5:$C$55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'9-Lakers'!$D$5:$D$55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5"/>
  <cols>
    <col min="3" max="3" width="14.85546875" bestFit="1" customWidth="1"/>
    <col min="4" max="4" width="12" bestFit="1" customWidth="1"/>
    <col min="6" max="6" width="13.5703125" bestFit="1" customWidth="1"/>
    <col min="12" max="12" width="11.5703125" bestFit="1" customWidth="1"/>
  </cols>
  <sheetData>
    <row r="1" spans="1:6">
      <c r="B1" s="44"/>
      <c r="C1" s="44"/>
      <c r="D1" s="44"/>
      <c r="E1" s="44"/>
      <c r="F1" s="44"/>
    </row>
    <row r="2" spans="1:6">
      <c r="C2" s="250" t="s">
        <v>13</v>
      </c>
      <c r="D2" s="251"/>
      <c r="E2" s="250" t="s">
        <v>14</v>
      </c>
      <c r="F2" s="251"/>
    </row>
    <row r="3" spans="1:6">
      <c r="B3" s="44"/>
      <c r="C3" s="45" t="s">
        <v>15</v>
      </c>
      <c r="D3" s="45" t="s">
        <v>16</v>
      </c>
      <c r="E3" s="45" t="s">
        <v>15</v>
      </c>
      <c r="F3" s="45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5" t="s">
        <v>10</v>
      </c>
      <c r="C6" s="45">
        <v>33</v>
      </c>
      <c r="D6" s="45">
        <v>200</v>
      </c>
      <c r="E6" s="45">
        <v>35</v>
      </c>
      <c r="F6" s="45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6"/>
    </row>
    <row r="26" spans="2:12">
      <c r="L26" s="46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0">
        <f>C29/SUM($C$29:$C$31)</f>
        <v>0.65948275862068961</v>
      </c>
      <c r="E36">
        <f>F4*E4</f>
        <v>30600</v>
      </c>
      <c r="F36" s="40">
        <f>E36/SUM($E$36:$E$38)</f>
        <v>0.65948275862068961</v>
      </c>
    </row>
    <row r="37" spans="2:6">
      <c r="B37" t="s">
        <v>9</v>
      </c>
      <c r="C37" s="40">
        <f>C30/SUM($C$29:$C$31)</f>
        <v>0.18965517241379307</v>
      </c>
      <c r="E37">
        <f>F5*E5</f>
        <v>8800</v>
      </c>
      <c r="F37" s="40">
        <f>E37/SUM($E$36:$E$38)</f>
        <v>0.18965517241379309</v>
      </c>
    </row>
    <row r="38" spans="2:6">
      <c r="B38" t="s">
        <v>10</v>
      </c>
      <c r="C38" s="40">
        <f>C31/SUM($C$29:$C$31)</f>
        <v>0.15086206896551724</v>
      </c>
      <c r="E38">
        <f>F6*E6</f>
        <v>7000</v>
      </c>
      <c r="F38" s="40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5"/>
  <cols>
    <col min="5" max="5" width="11.85546875" customWidth="1"/>
    <col min="7" max="7" width="11.140625" customWidth="1"/>
    <col min="8" max="8" width="12" bestFit="1" customWidth="1"/>
    <col min="9" max="10" width="13.42578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59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59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59">
        <f>H8*(1+F8)</f>
        <v>353.53535353535352</v>
      </c>
      <c r="J8" s="6">
        <f>I8/$I$10</f>
        <v>0.36238232529986142</v>
      </c>
    </row>
    <row r="10" spans="3:10">
      <c r="G10" s="61" t="s">
        <v>11</v>
      </c>
      <c r="H10" s="2">
        <v>1000</v>
      </c>
      <c r="I10" s="158">
        <f>SUM(I6:I8)</f>
        <v>975.58663558663557</v>
      </c>
    </row>
    <row r="11" spans="3:10">
      <c r="F11" t="s">
        <v>12</v>
      </c>
      <c r="I11" s="160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2:E12"/>
  <sheetViews>
    <sheetView workbookViewId="0">
      <selection activeCell="C12" sqref="C12"/>
    </sheetView>
  </sheetViews>
  <sheetFormatPr defaultRowHeight="15"/>
  <cols>
    <col min="2" max="2" width="14.5703125" customWidth="1"/>
    <col min="3" max="3" width="10.85546875" customWidth="1"/>
    <col min="4" max="4" width="13.5703125" bestFit="1" customWidth="1"/>
    <col min="7" max="7" width="13.42578125" bestFit="1" customWidth="1"/>
  </cols>
  <sheetData>
    <row r="2" spans="1:5">
      <c r="A2" t="s">
        <v>603</v>
      </c>
      <c r="B2" s="1" t="s">
        <v>604</v>
      </c>
      <c r="C2" s="1" t="s">
        <v>605</v>
      </c>
      <c r="D2" s="1" t="s">
        <v>606</v>
      </c>
      <c r="E2" s="1" t="s">
        <v>245</v>
      </c>
    </row>
    <row r="3" spans="1:5">
      <c r="A3" t="s">
        <v>607</v>
      </c>
      <c r="B3" s="190">
        <v>0</v>
      </c>
      <c r="C3" s="190">
        <v>0.2</v>
      </c>
      <c r="D3" s="190">
        <f>B3-C3</f>
        <v>-0.2</v>
      </c>
      <c r="E3" s="190">
        <v>0.05</v>
      </c>
    </row>
    <row r="4" spans="1:5">
      <c r="A4" t="s">
        <v>608</v>
      </c>
      <c r="B4" s="190">
        <v>0.45</v>
      </c>
      <c r="C4" s="190">
        <v>0.4</v>
      </c>
      <c r="D4" s="190">
        <f t="shared" ref="D4:D7" si="0">B4-C4</f>
        <v>4.9999999999999989E-2</v>
      </c>
      <c r="E4" s="190">
        <v>-0.08</v>
      </c>
    </row>
    <row r="5" spans="1:5">
      <c r="A5" t="s">
        <v>609</v>
      </c>
      <c r="B5" s="190">
        <v>0.4</v>
      </c>
      <c r="C5" s="190">
        <v>0.1</v>
      </c>
      <c r="D5" s="190">
        <f t="shared" si="0"/>
        <v>0.30000000000000004</v>
      </c>
      <c r="E5" s="190">
        <v>0.2</v>
      </c>
    </row>
    <row r="6" spans="1:5">
      <c r="A6" t="s">
        <v>610</v>
      </c>
      <c r="B6" s="190">
        <v>-0.1</v>
      </c>
      <c r="C6" s="190">
        <v>0.3</v>
      </c>
      <c r="D6" s="190">
        <f t="shared" si="0"/>
        <v>-0.4</v>
      </c>
      <c r="E6" s="190">
        <v>0.17</v>
      </c>
    </row>
    <row r="7" spans="1:5">
      <c r="A7" t="s">
        <v>611</v>
      </c>
      <c r="B7" s="190">
        <v>0.2</v>
      </c>
      <c r="C7" s="190">
        <v>0</v>
      </c>
      <c r="D7" s="190">
        <f t="shared" si="0"/>
        <v>0.2</v>
      </c>
      <c r="E7" s="190">
        <v>0.02</v>
      </c>
    </row>
    <row r="8" spans="1:5">
      <c r="B8" s="190"/>
      <c r="C8" s="190"/>
      <c r="D8" s="190"/>
    </row>
    <row r="9" spans="1:5">
      <c r="A9" s="1" t="s">
        <v>614</v>
      </c>
      <c r="C9">
        <f>SUMPRODUCT(B3:B7,E3:E7)</f>
        <v>3.100000000000001E-2</v>
      </c>
    </row>
    <row r="10" spans="1:5">
      <c r="A10" t="s">
        <v>612</v>
      </c>
      <c r="C10">
        <f>SUMPRODUCT(C3:C7,E3:E7)</f>
        <v>4.9000000000000009E-2</v>
      </c>
    </row>
    <row r="11" spans="1:5">
      <c r="A11" t="s">
        <v>613</v>
      </c>
      <c r="C11">
        <f>SUMPRODUCT(D3:D7,E3:E7)</f>
        <v>-1.7999999999999992E-2</v>
      </c>
    </row>
    <row r="12" spans="1:5">
      <c r="A12" s="1" t="s">
        <v>615</v>
      </c>
      <c r="C12">
        <f>C10+C11</f>
        <v>3.1000000000000017E-2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J11"/>
  <sheetViews>
    <sheetView workbookViewId="0">
      <selection activeCell="H18" sqref="H18"/>
    </sheetView>
  </sheetViews>
  <sheetFormatPr defaultRowHeight="15"/>
  <cols>
    <col min="1" max="1" width="7.85546875" bestFit="1" customWidth="1"/>
    <col min="2" max="2" width="13.42578125" customWidth="1"/>
    <col min="3" max="3" width="10.85546875" bestFit="1" customWidth="1"/>
    <col min="4" max="5" width="8" bestFit="1" customWidth="1"/>
    <col min="6" max="6" width="2.85546875" customWidth="1"/>
    <col min="7" max="7" width="11.42578125" bestFit="1" customWidth="1"/>
    <col min="9" max="9" width="4" customWidth="1"/>
  </cols>
  <sheetData>
    <row r="1" spans="1:10">
      <c r="C1" s="252" t="s">
        <v>478</v>
      </c>
      <c r="D1" s="252"/>
      <c r="E1" s="252"/>
      <c r="F1" s="252"/>
      <c r="G1" s="252"/>
      <c r="H1" s="252"/>
      <c r="J1" s="56" t="s">
        <v>246</v>
      </c>
    </row>
    <row r="2" spans="1:10">
      <c r="A2" s="1" t="s">
        <v>603</v>
      </c>
      <c r="B2" s="1" t="s">
        <v>625</v>
      </c>
      <c r="C2" s="1" t="s">
        <v>206</v>
      </c>
      <c r="D2" s="1" t="s">
        <v>619</v>
      </c>
      <c r="E2" s="1" t="s">
        <v>620</v>
      </c>
      <c r="F2" s="1"/>
      <c r="G2" s="1" t="s">
        <v>621</v>
      </c>
      <c r="H2" s="1" t="s">
        <v>527</v>
      </c>
    </row>
    <row r="3" spans="1:10">
      <c r="A3" s="4">
        <v>1</v>
      </c>
      <c r="B3" t="s">
        <v>616</v>
      </c>
      <c r="C3" s="190">
        <v>0.15</v>
      </c>
      <c r="D3" s="190">
        <v>0.1</v>
      </c>
      <c r="E3" s="191">
        <v>0.11</v>
      </c>
      <c r="F3" s="190"/>
      <c r="G3" s="190">
        <f>D3+E3</f>
        <v>0.21000000000000002</v>
      </c>
      <c r="H3" s="190">
        <f>C3+G3</f>
        <v>0.36</v>
      </c>
      <c r="J3">
        <v>0.25</v>
      </c>
    </row>
    <row r="4" spans="1:10">
      <c r="A4" s="4">
        <v>2</v>
      </c>
      <c r="B4" t="s">
        <v>617</v>
      </c>
      <c r="C4" s="190">
        <v>0.1</v>
      </c>
      <c r="D4" s="190">
        <v>7.0000000000000007E-2</v>
      </c>
      <c r="E4" s="190">
        <v>-0.06</v>
      </c>
      <c r="F4" s="190"/>
      <c r="G4" s="190">
        <f t="shared" ref="G4:G6" si="0">D4+E4</f>
        <v>1.0000000000000009E-2</v>
      </c>
      <c r="H4" s="190">
        <f t="shared" ref="H4:H6" si="1">C4+G4</f>
        <v>0.11000000000000001</v>
      </c>
      <c r="J4">
        <v>0.05</v>
      </c>
    </row>
    <row r="5" spans="1:10">
      <c r="A5" s="4">
        <v>3</v>
      </c>
      <c r="B5" t="s">
        <v>624</v>
      </c>
      <c r="C5" s="190">
        <v>0.45</v>
      </c>
      <c r="D5" s="190">
        <v>-0.11</v>
      </c>
      <c r="E5" s="191">
        <v>0.04</v>
      </c>
      <c r="F5" s="190"/>
      <c r="G5" s="190">
        <f t="shared" si="0"/>
        <v>-7.0000000000000007E-2</v>
      </c>
      <c r="H5" s="190">
        <f t="shared" si="1"/>
        <v>0.38</v>
      </c>
      <c r="J5">
        <v>0.3</v>
      </c>
    </row>
    <row r="6" spans="1:10">
      <c r="A6" s="4">
        <v>4</v>
      </c>
      <c r="B6" t="s">
        <v>618</v>
      </c>
      <c r="C6" s="190">
        <v>0.3</v>
      </c>
      <c r="D6" s="190">
        <v>-0.06</v>
      </c>
      <c r="E6" s="190">
        <v>-0.09</v>
      </c>
      <c r="F6" s="190"/>
      <c r="G6" s="190">
        <f t="shared" si="0"/>
        <v>-0.15</v>
      </c>
      <c r="H6" s="190">
        <f t="shared" si="1"/>
        <v>0.15</v>
      </c>
      <c r="J6">
        <v>-0.02</v>
      </c>
    </row>
    <row r="7" spans="1:10">
      <c r="C7" s="190"/>
      <c r="D7" s="190"/>
      <c r="F7" s="190"/>
    </row>
    <row r="8" spans="1:10">
      <c r="A8" t="s">
        <v>20</v>
      </c>
      <c r="C8" s="190">
        <f>SUM(C3:C6)</f>
        <v>1</v>
      </c>
      <c r="D8" s="190">
        <f>SUM(D3:D6)</f>
        <v>0</v>
      </c>
      <c r="E8" s="190">
        <f>SUM(E3:E6)</f>
        <v>0</v>
      </c>
      <c r="G8" s="190">
        <f>SUM(G3:G6)</f>
        <v>0</v>
      </c>
      <c r="H8" s="190">
        <f>SUM(H3:H6)</f>
        <v>1</v>
      </c>
    </row>
    <row r="10" spans="1:10">
      <c r="A10" s="1" t="s">
        <v>246</v>
      </c>
      <c r="B10" s="1"/>
      <c r="C10" s="199">
        <f>SUMPRODUCT(C3:C6,J3:J6)</f>
        <v>0.17149999999999999</v>
      </c>
      <c r="D10" s="199">
        <f>SUMPRODUCT(D3:D6,J3:J6)</f>
        <v>-3.3000000000000008E-3</v>
      </c>
      <c r="E10" s="199">
        <f>SUMPRODUCT(E3:E6,J3:J6)</f>
        <v>3.8300000000000008E-2</v>
      </c>
      <c r="G10" s="199">
        <f>SUMPRODUCT(G3:G6,J3:J6)</f>
        <v>3.5000000000000003E-2</v>
      </c>
      <c r="H10" s="199">
        <f>SUMPRODUCT(H3:H6,J3:J6)</f>
        <v>0.20649999999999999</v>
      </c>
      <c r="I10" t="s">
        <v>622</v>
      </c>
    </row>
    <row r="11" spans="1:10">
      <c r="H11" s="199">
        <f>SUM(C10:E10)</f>
        <v>0.20649999999999999</v>
      </c>
      <c r="I11" t="s">
        <v>623</v>
      </c>
    </row>
  </sheetData>
  <mergeCells count="1"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5"/>
  <cols>
    <col min="4" max="4" width="12.14062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61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65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65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65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65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65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65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65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65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65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65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65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65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65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65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65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65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65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65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65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65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65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65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65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65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65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65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65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65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65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65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65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65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65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65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65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65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65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65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65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65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65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65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65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65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65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65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65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65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65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65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65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65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65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65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65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65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65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65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65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5"/>
  <cols>
    <col min="2" max="2" width="11.42578125" customWidth="1"/>
    <col min="3" max="3" width="10.85546875" customWidth="1"/>
    <col min="4" max="4" width="15.85546875" customWidth="1"/>
    <col min="5" max="5" width="18.140625" customWidth="1"/>
  </cols>
  <sheetData>
    <row r="1" spans="1:5">
      <c r="B1" t="s">
        <v>520</v>
      </c>
    </row>
    <row r="2" spans="1:5">
      <c r="B2" t="s">
        <v>517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518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519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472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5"/>
  <cols>
    <col min="1" max="1" width="10.5703125" bestFit="1" customWidth="1"/>
    <col min="2" max="2" width="11.42578125" customWidth="1"/>
    <col min="3" max="3" width="10.42578125" bestFit="1" customWidth="1"/>
    <col min="7" max="7" width="17.5703125" customWidth="1"/>
  </cols>
  <sheetData>
    <row r="2" spans="1:8">
      <c r="E2" s="250" t="s">
        <v>60</v>
      </c>
      <c r="F2" s="251"/>
      <c r="H2" t="s">
        <v>61</v>
      </c>
    </row>
    <row r="3" spans="1:8">
      <c r="A3" t="s">
        <v>244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3">
        <v>44225</v>
      </c>
      <c r="B4" s="29">
        <v>2.66491685871066E-2</v>
      </c>
      <c r="C4" s="29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3">
        <v>44253</v>
      </c>
      <c r="B5" s="29">
        <v>-7.9993111119980503E-2</v>
      </c>
      <c r="C5" s="29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3">
        <v>44286</v>
      </c>
      <c r="B6" s="29">
        <v>0.12781874616733399</v>
      </c>
      <c r="C6" s="29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3">
        <v>44316</v>
      </c>
      <c r="B7" s="29">
        <v>4.30954365242011E-2</v>
      </c>
      <c r="C7" s="29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3">
        <v>44344</v>
      </c>
      <c r="B8" s="29">
        <v>4.9127124826307102E-3</v>
      </c>
      <c r="C8" s="29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3">
        <v>44377</v>
      </c>
      <c r="B9" s="29">
        <v>-1.49670290589293E-2</v>
      </c>
      <c r="C9" s="29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3">
        <v>44407</v>
      </c>
      <c r="B10" s="29">
        <v>6.4728517382665898E-2</v>
      </c>
      <c r="C10" s="29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3">
        <v>44439</v>
      </c>
      <c r="B11" s="29">
        <v>4.9579659557048199E-3</v>
      </c>
      <c r="C11" s="29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3">
        <v>44469</v>
      </c>
      <c r="B12" s="29">
        <v>-6.7552166575601202E-2</v>
      </c>
      <c r="C12" s="29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3">
        <v>44498</v>
      </c>
      <c r="B13" s="29">
        <v>4.5291651401516399E-2</v>
      </c>
      <c r="C13" s="29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3">
        <v>44530</v>
      </c>
      <c r="B14" s="29">
        <v>-3.9738062631339097E-2</v>
      </c>
      <c r="C14" s="29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3">
        <v>44560</v>
      </c>
      <c r="B15" s="29">
        <v>8.0197903391152098E-2</v>
      </c>
      <c r="C15" s="29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29">
        <f>AVERAGE(B4:B15)</f>
        <v>1.6283477708871796E-2</v>
      </c>
      <c r="C17" s="29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5"/>
  <cols>
    <col min="1" max="1" width="10.5703125" bestFit="1" customWidth="1"/>
  </cols>
  <sheetData>
    <row r="1" spans="1:5">
      <c r="E1" t="s">
        <v>73</v>
      </c>
    </row>
    <row r="2" spans="1:5">
      <c r="B2" t="s">
        <v>527</v>
      </c>
      <c r="C2" t="s">
        <v>74</v>
      </c>
      <c r="E2" t="s">
        <v>45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529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5"/>
  <sheetData>
    <row r="4" spans="2:5">
      <c r="B4" s="1" t="s">
        <v>527</v>
      </c>
      <c r="C4" s="1" t="s">
        <v>247</v>
      </c>
    </row>
    <row r="5" spans="2:5">
      <c r="B5" s="1" t="s">
        <v>41</v>
      </c>
      <c r="C5" s="1" t="s">
        <v>41</v>
      </c>
      <c r="D5" s="1" t="s">
        <v>526</v>
      </c>
      <c r="E5" s="1" t="s">
        <v>528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53" t="s">
        <v>478</v>
      </c>
      <c r="C8" s="253"/>
      <c r="D8" s="1" t="s">
        <v>45</v>
      </c>
    </row>
    <row r="9" spans="2:5">
      <c r="B9" s="3" t="s">
        <v>8</v>
      </c>
      <c r="C9" s="3" t="s">
        <v>527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5"/>
  <cols>
    <col min="1" max="1" width="9.42578125" bestFit="1" customWidth="1"/>
    <col min="2" max="2" width="9" bestFit="1" customWidth="1"/>
    <col min="3" max="3" width="12.42578125" bestFit="1" customWidth="1"/>
    <col min="4" max="4" width="2.42578125" customWidth="1"/>
    <col min="5" max="5" width="13.42578125" bestFit="1" customWidth="1"/>
  </cols>
  <sheetData>
    <row r="1" spans="1:5">
      <c r="A1" s="1" t="s">
        <v>244</v>
      </c>
      <c r="B1" s="1" t="s">
        <v>45</v>
      </c>
      <c r="C1" s="1" t="s">
        <v>630</v>
      </c>
      <c r="E1" s="1" t="s">
        <v>626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41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627</v>
      </c>
      <c r="B64" s="40">
        <f>SLOPE(C2:C61,B2:B61)</f>
        <v>0.6172588196669182</v>
      </c>
      <c r="C64" s="40"/>
      <c r="D64" s="40"/>
      <c r="E64" s="40"/>
    </row>
    <row r="65" spans="1:2">
      <c r="A65" s="192" t="s">
        <v>628</v>
      </c>
      <c r="B65" s="193">
        <f>(B64-1)</f>
        <v>-0.3827411803330818</v>
      </c>
    </row>
    <row r="66" spans="1:2">
      <c r="A66" s="192" t="s">
        <v>629</v>
      </c>
      <c r="B66" s="193">
        <f>(E63/B63-1)*100</f>
        <v>-0.37571597481538266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F28" sqref="F28"/>
    </sheetView>
  </sheetViews>
  <sheetFormatPr defaultRowHeight="15"/>
  <cols>
    <col min="5" max="5" width="5.4257812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0.5703125" customWidth="1"/>
    <col min="12" max="12" width="12.85546875" bestFit="1" customWidth="1"/>
    <col min="18" max="18" width="12.85546875" bestFit="1" customWidth="1"/>
  </cols>
  <sheetData>
    <row r="1" spans="1:18">
      <c r="I1" s="253" t="s">
        <v>93</v>
      </c>
      <c r="J1" s="251"/>
      <c r="L1" s="253" t="s">
        <v>93</v>
      </c>
      <c r="M1" s="251"/>
      <c r="R1" s="1"/>
    </row>
    <row r="2" spans="1:18">
      <c r="I2" s="253" t="s">
        <v>94</v>
      </c>
      <c r="J2" s="251"/>
      <c r="L2" s="253" t="s">
        <v>95</v>
      </c>
      <c r="M2" s="251"/>
    </row>
    <row r="3" spans="1:18">
      <c r="B3" s="253" t="s">
        <v>95</v>
      </c>
      <c r="C3" s="251"/>
      <c r="F3" s="253" t="s">
        <v>94</v>
      </c>
      <c r="G3" s="251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100</v>
      </c>
      <c r="J5" s="40">
        <f>INTERCEPT(F5:F40,G5:G40)</f>
        <v>1.5992832356627025E-2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103</v>
      </c>
      <c r="J6" s="40">
        <f>SLOPE(F5:F40,G5:G40)</f>
        <v>1.9104011679319399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5"/>
  <cols>
    <col min="5" max="5" width="5.4257812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0.5703125" customWidth="1"/>
    <col min="12" max="12" width="12.85546875" bestFit="1" customWidth="1"/>
    <col min="18" max="18" width="12.85546875" bestFit="1" customWidth="1"/>
  </cols>
  <sheetData>
    <row r="1" spans="1:18">
      <c r="I1" s="253" t="s">
        <v>93</v>
      </c>
      <c r="J1" s="251"/>
      <c r="L1" s="253" t="s">
        <v>93</v>
      </c>
      <c r="M1" s="251"/>
      <c r="R1" s="1"/>
    </row>
    <row r="2" spans="1:18">
      <c r="I2" s="253" t="s">
        <v>94</v>
      </c>
      <c r="J2" s="251"/>
      <c r="L2" s="253" t="s">
        <v>95</v>
      </c>
      <c r="M2" s="251"/>
    </row>
    <row r="3" spans="1:18">
      <c r="B3" s="253" t="s">
        <v>95</v>
      </c>
      <c r="C3" s="251"/>
      <c r="F3" s="253" t="s">
        <v>94</v>
      </c>
      <c r="G3" s="251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100</v>
      </c>
      <c r="J5" s="40">
        <f>INTERCEPT(F5:F40,G5:G40)</f>
        <v>1.5920502618598321E-2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103</v>
      </c>
      <c r="J6" s="40">
        <f>SLOPE(F5:F40,G5:G40)</f>
        <v>1.9182902417238019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5"/>
  <cols>
    <col min="1" max="1" width="10.5703125" bestFit="1" customWidth="1"/>
    <col min="5" max="5" width="3.85546875" customWidth="1"/>
    <col min="6" max="6" width="12.5703125" bestFit="1" customWidth="1"/>
  </cols>
  <sheetData>
    <row r="1" spans="1:9">
      <c r="B1" t="s">
        <v>87</v>
      </c>
      <c r="C1" t="s">
        <v>88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89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90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91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92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1"/>
    </row>
    <row r="22" spans="1:10">
      <c r="A22" s="43">
        <v>43371</v>
      </c>
      <c r="B22">
        <v>-2.0068267408298101E-2</v>
      </c>
      <c r="C22">
        <v>2.04473980356001E-3</v>
      </c>
      <c r="I22" s="161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5"/>
  <cols>
    <col min="1" max="1" width="10.5703125" bestFit="1" customWidth="1"/>
    <col min="3" max="3" width="13.85546875" customWidth="1"/>
    <col min="4" max="4" width="15.42578125" bestFit="1" customWidth="1"/>
    <col min="10" max="10" width="13.5703125" bestFit="1" customWidth="1"/>
    <col min="13" max="13" width="10.140625" customWidth="1"/>
    <col min="14" max="15" width="9.5703125" customWidth="1"/>
    <col min="16" max="16" width="8.42578125" customWidth="1"/>
    <col min="17" max="17" width="8.140625" customWidth="1"/>
    <col min="18" max="18" width="13.42578125" bestFit="1" customWidth="1"/>
    <col min="19" max="19" width="11" bestFit="1" customWidth="1"/>
    <col min="20" max="20" width="12.42578125" bestFit="1" customWidth="1"/>
    <col min="21" max="21" width="12.5703125" bestFit="1" customWidth="1"/>
  </cols>
  <sheetData>
    <row r="1" spans="1:18">
      <c r="B1" s="253" t="s">
        <v>95</v>
      </c>
      <c r="C1" s="251"/>
      <c r="D1" s="251"/>
      <c r="I1" s="253"/>
      <c r="J1" s="251"/>
      <c r="K1" s="251"/>
    </row>
    <row r="2" spans="1:18">
      <c r="A2" t="s">
        <v>244</v>
      </c>
      <c r="B2" t="s">
        <v>87</v>
      </c>
      <c r="C2" t="s">
        <v>88</v>
      </c>
      <c r="D2" t="s">
        <v>162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topLeftCell="A19" workbookViewId="0">
      <selection sqref="A1:D55"/>
    </sheetView>
  </sheetViews>
  <sheetFormatPr defaultRowHeight="15"/>
  <cols>
    <col min="1" max="1" width="14.42578125" customWidth="1"/>
    <col min="2" max="2" width="24.5703125" customWidth="1"/>
    <col min="3" max="3" width="10.42578125" style="212" bestFit="1" customWidth="1"/>
    <col min="4" max="4" width="14.5703125" style="158" customWidth="1"/>
    <col min="11" max="11" width="17" bestFit="1" customWidth="1"/>
    <col min="12" max="12" width="12.5703125" bestFit="1" customWidth="1"/>
  </cols>
  <sheetData>
    <row r="1" spans="1:12">
      <c r="B1" s="1" t="s">
        <v>709</v>
      </c>
    </row>
    <row r="2" spans="1:12">
      <c r="B2" s="1"/>
      <c r="C2" s="3" t="s">
        <v>716</v>
      </c>
      <c r="D2" s="218" t="s">
        <v>715</v>
      </c>
    </row>
    <row r="3" spans="1:12">
      <c r="D3" s="217" t="s">
        <v>710</v>
      </c>
    </row>
    <row r="4" spans="1:12" ht="30">
      <c r="A4" s="210" t="s">
        <v>642</v>
      </c>
      <c r="B4" s="210" t="s">
        <v>694</v>
      </c>
      <c r="C4" s="213" t="s">
        <v>640</v>
      </c>
      <c r="D4" s="215" t="s">
        <v>641</v>
      </c>
      <c r="I4" s="1" t="s">
        <v>714</v>
      </c>
    </row>
    <row r="5" spans="1:12">
      <c r="A5" s="211" t="s">
        <v>643</v>
      </c>
      <c r="B5" s="211" t="s">
        <v>695</v>
      </c>
      <c r="C5" s="214">
        <v>30</v>
      </c>
      <c r="D5" s="216">
        <v>36.6</v>
      </c>
      <c r="F5" s="250" t="s">
        <v>711</v>
      </c>
      <c r="G5" s="250"/>
      <c r="I5">
        <f>D5-$G$6-$G$7*C5</f>
        <v>-28.823515647060841</v>
      </c>
      <c r="K5" t="s">
        <v>713</v>
      </c>
      <c r="L5">
        <f>AVERAGE(I5:I55)</f>
        <v>8.0806820929580018E-15</v>
      </c>
    </row>
    <row r="6" spans="1:12">
      <c r="A6" s="211" t="s">
        <v>644</v>
      </c>
      <c r="B6" s="211" t="s">
        <v>695</v>
      </c>
      <c r="C6" s="212">
        <v>27.7</v>
      </c>
      <c r="D6" s="216">
        <v>48.8</v>
      </c>
      <c r="F6" t="s">
        <v>101</v>
      </c>
      <c r="G6">
        <f>INTERCEPT(D5:D55,C5:C55)</f>
        <v>34.894176754316554</v>
      </c>
      <c r="I6">
        <f t="shared" ref="I6:I55" si="0">D6-$G$6-$G$7*C6</f>
        <v>-14.282932998617117</v>
      </c>
      <c r="K6" t="s">
        <v>717</v>
      </c>
      <c r="L6">
        <f>COVAR(I5:I55,C5:C55)</f>
        <v>-4.640623397538583E-15</v>
      </c>
    </row>
    <row r="7" spans="1:12">
      <c r="A7" s="211" t="s">
        <v>645</v>
      </c>
      <c r="B7" s="211" t="s">
        <v>695</v>
      </c>
      <c r="C7" s="212">
        <v>26.2</v>
      </c>
      <c r="D7" s="216">
        <v>64.600000000000009</v>
      </c>
      <c r="F7" t="s">
        <v>104</v>
      </c>
      <c r="G7">
        <f>SLOPE(D5:D55,C5:C55)</f>
        <v>1.017644629758143</v>
      </c>
      <c r="I7">
        <f t="shared" si="0"/>
        <v>3.0435339460201085</v>
      </c>
    </row>
    <row r="8" spans="1:12">
      <c r="A8" s="211" t="s">
        <v>646</v>
      </c>
      <c r="B8" s="211" t="s">
        <v>695</v>
      </c>
      <c r="C8" s="212">
        <v>25.8</v>
      </c>
      <c r="D8" s="216">
        <v>54.900000000000006</v>
      </c>
      <c r="I8">
        <f t="shared" si="0"/>
        <v>-6.2494082020766371</v>
      </c>
    </row>
    <row r="9" spans="1:12">
      <c r="A9" s="211" t="s">
        <v>647</v>
      </c>
      <c r="B9" s="211" t="s">
        <v>695</v>
      </c>
      <c r="C9" s="212">
        <v>23.8</v>
      </c>
      <c r="D9" s="216">
        <v>57.3</v>
      </c>
      <c r="F9" s="250" t="s">
        <v>712</v>
      </c>
      <c r="G9" s="250"/>
      <c r="I9">
        <f t="shared" si="0"/>
        <v>-1.8141189425603592</v>
      </c>
    </row>
    <row r="10" spans="1:12">
      <c r="A10" s="211" t="s">
        <v>648</v>
      </c>
      <c r="B10" s="211" t="s">
        <v>695</v>
      </c>
      <c r="C10" s="212">
        <v>24.8</v>
      </c>
      <c r="D10" s="216">
        <v>73.2</v>
      </c>
      <c r="F10" t="s">
        <v>101</v>
      </c>
      <c r="G10">
        <f>AVERAGE(D5:D55)-G11*AVERAGE(C5:C55)</f>
        <v>34.894176754316582</v>
      </c>
      <c r="I10">
        <f t="shared" si="0"/>
        <v>13.068236427681502</v>
      </c>
    </row>
    <row r="11" spans="1:12">
      <c r="A11" s="211" t="s">
        <v>649</v>
      </c>
      <c r="B11" s="211" t="s">
        <v>695</v>
      </c>
      <c r="C11" s="212">
        <v>26.2</v>
      </c>
      <c r="D11" s="216">
        <v>65.900000000000006</v>
      </c>
      <c r="F11" t="s">
        <v>104</v>
      </c>
      <c r="G11">
        <f>COVAR(C5:C55,D5:D55)/VARP(C5:C55)</f>
        <v>1.0176446297581418</v>
      </c>
      <c r="I11">
        <f t="shared" si="0"/>
        <v>4.3435339460201057</v>
      </c>
    </row>
    <row r="12" spans="1:12">
      <c r="A12" s="211" t="s">
        <v>650</v>
      </c>
      <c r="B12" s="211" t="s">
        <v>695</v>
      </c>
      <c r="C12" s="212">
        <v>23.9</v>
      </c>
      <c r="D12" s="216">
        <v>69.5</v>
      </c>
      <c r="I12">
        <f t="shared" si="0"/>
        <v>10.284116594463832</v>
      </c>
    </row>
    <row r="13" spans="1:12">
      <c r="A13" s="211" t="s">
        <v>651</v>
      </c>
      <c r="B13" s="211" t="s">
        <v>695</v>
      </c>
      <c r="C13" s="212">
        <v>21.8</v>
      </c>
      <c r="D13" s="216">
        <v>70.7</v>
      </c>
      <c r="I13">
        <f t="shared" si="0"/>
        <v>13.621170316955933</v>
      </c>
    </row>
    <row r="14" spans="1:12">
      <c r="A14" s="211" t="s">
        <v>652</v>
      </c>
      <c r="B14" s="211" t="s">
        <v>695</v>
      </c>
      <c r="C14" s="212">
        <v>21.5</v>
      </c>
      <c r="D14" s="216">
        <v>65.900000000000006</v>
      </c>
      <c r="I14">
        <f t="shared" si="0"/>
        <v>9.1264637058833777</v>
      </c>
    </row>
    <row r="15" spans="1:12">
      <c r="A15" s="211" t="s">
        <v>653</v>
      </c>
      <c r="B15" s="211" t="s">
        <v>695</v>
      </c>
      <c r="C15" s="214">
        <v>22</v>
      </c>
      <c r="D15" s="216">
        <v>75.599999999999994</v>
      </c>
      <c r="I15">
        <f t="shared" si="0"/>
        <v>18.317641391004294</v>
      </c>
    </row>
    <row r="16" spans="1:12">
      <c r="A16" s="211" t="s">
        <v>654</v>
      </c>
      <c r="B16" s="211" t="s">
        <v>695</v>
      </c>
      <c r="C16" s="212">
        <v>23.4</v>
      </c>
      <c r="D16" s="216">
        <v>75.599999999999994</v>
      </c>
      <c r="I16">
        <f t="shared" si="0"/>
        <v>16.892938909342895</v>
      </c>
    </row>
    <row r="17" spans="1:9">
      <c r="A17" s="211" t="s">
        <v>655</v>
      </c>
      <c r="B17" s="211" t="s">
        <v>696</v>
      </c>
      <c r="C17" s="212">
        <v>23.9</v>
      </c>
      <c r="D17" s="216">
        <v>79.3</v>
      </c>
      <c r="I17">
        <f t="shared" si="0"/>
        <v>20.084116594463829</v>
      </c>
    </row>
    <row r="18" spans="1:9">
      <c r="A18" s="211" t="s">
        <v>656</v>
      </c>
      <c r="B18" s="211" t="s">
        <v>696</v>
      </c>
      <c r="C18" s="212">
        <v>19.600000000000001</v>
      </c>
      <c r="D18" s="216">
        <v>75.599999999999994</v>
      </c>
      <c r="I18">
        <f t="shared" si="0"/>
        <v>20.759988502423838</v>
      </c>
    </row>
    <row r="19" spans="1:9">
      <c r="A19" s="211" t="s">
        <v>657</v>
      </c>
      <c r="B19" s="211" t="s">
        <v>696</v>
      </c>
      <c r="C19" s="212">
        <v>22.5</v>
      </c>
      <c r="D19" s="216">
        <v>69.5</v>
      </c>
      <c r="I19">
        <f t="shared" si="0"/>
        <v>11.708819076125231</v>
      </c>
    </row>
    <row r="20" spans="1:9">
      <c r="A20" s="211" t="s">
        <v>658</v>
      </c>
      <c r="B20" s="211" t="s">
        <v>696</v>
      </c>
      <c r="C20" s="212">
        <v>22.3</v>
      </c>
      <c r="D20" s="216">
        <v>76.8</v>
      </c>
      <c r="I20">
        <f t="shared" si="0"/>
        <v>19.212348002076855</v>
      </c>
    </row>
    <row r="21" spans="1:9">
      <c r="A21" s="211" t="s">
        <v>659</v>
      </c>
      <c r="B21" s="211" t="s">
        <v>696</v>
      </c>
      <c r="C21" s="212">
        <v>19.399999999999999</v>
      </c>
      <c r="D21" s="216">
        <v>70.7</v>
      </c>
      <c r="I21">
        <f t="shared" si="0"/>
        <v>16.063517428375476</v>
      </c>
    </row>
    <row r="22" spans="1:9">
      <c r="A22" s="211" t="s">
        <v>660</v>
      </c>
      <c r="B22" s="211" t="s">
        <v>697</v>
      </c>
      <c r="C22" s="212">
        <v>19.899999999999999</v>
      </c>
      <c r="D22" s="216">
        <v>52.400000000000006</v>
      </c>
      <c r="I22">
        <f t="shared" si="0"/>
        <v>-2.7453048865035932</v>
      </c>
    </row>
    <row r="23" spans="1:9">
      <c r="A23" s="211" t="s">
        <v>661</v>
      </c>
      <c r="B23" s="211" t="s">
        <v>698</v>
      </c>
      <c r="C23" s="212">
        <v>15.1</v>
      </c>
      <c r="D23" s="216">
        <v>47.599999999999994</v>
      </c>
      <c r="I23">
        <f t="shared" si="0"/>
        <v>-2.6606106636645173</v>
      </c>
    </row>
    <row r="24" spans="1:9">
      <c r="A24" s="211" t="s">
        <v>662</v>
      </c>
      <c r="B24" s="211" t="s">
        <v>699</v>
      </c>
      <c r="C24" s="212">
        <v>14.2</v>
      </c>
      <c r="D24" s="216">
        <v>40.200000000000003</v>
      </c>
      <c r="I24">
        <f t="shared" si="0"/>
        <v>-9.1447304968821808</v>
      </c>
    </row>
    <row r="25" spans="1:9">
      <c r="A25" s="211" t="s">
        <v>663</v>
      </c>
      <c r="B25" s="211" t="s">
        <v>700</v>
      </c>
      <c r="C25" s="212">
        <v>21.7</v>
      </c>
      <c r="D25" s="216">
        <v>58.5</v>
      </c>
      <c r="I25">
        <f t="shared" si="0"/>
        <v>1.5229347799317452</v>
      </c>
    </row>
    <row r="26" spans="1:9">
      <c r="A26" s="211" t="s">
        <v>664</v>
      </c>
      <c r="B26" s="211" t="s">
        <v>700</v>
      </c>
      <c r="C26" s="212">
        <v>21.2</v>
      </c>
      <c r="D26" s="216">
        <v>64.600000000000009</v>
      </c>
      <c r="I26">
        <f t="shared" si="0"/>
        <v>8.1317570948108262</v>
      </c>
    </row>
    <row r="27" spans="1:9">
      <c r="A27" s="211" t="s">
        <v>665</v>
      </c>
      <c r="B27" s="211" t="s">
        <v>701</v>
      </c>
      <c r="C27" s="212">
        <v>26.2</v>
      </c>
      <c r="D27" s="216">
        <v>68.300000000000011</v>
      </c>
      <c r="I27">
        <f t="shared" si="0"/>
        <v>6.7435339460201114</v>
      </c>
    </row>
    <row r="28" spans="1:9">
      <c r="A28" s="211" t="s">
        <v>666</v>
      </c>
      <c r="B28" s="211" t="s">
        <v>701</v>
      </c>
      <c r="C28" s="212">
        <v>28.3</v>
      </c>
      <c r="D28" s="216">
        <v>74.400000000000006</v>
      </c>
      <c r="I28">
        <f t="shared" si="0"/>
        <v>10.706480223528004</v>
      </c>
    </row>
    <row r="29" spans="1:9">
      <c r="A29" s="211" t="s">
        <v>667</v>
      </c>
      <c r="B29" s="211" t="s">
        <v>701</v>
      </c>
      <c r="C29" s="212">
        <v>26.3</v>
      </c>
      <c r="D29" s="216">
        <v>62</v>
      </c>
      <c r="I29">
        <f t="shared" si="0"/>
        <v>0.34176948304428478</v>
      </c>
    </row>
    <row r="30" spans="1:9">
      <c r="A30" s="211" t="s">
        <v>668</v>
      </c>
      <c r="B30" s="211" t="s">
        <v>701</v>
      </c>
      <c r="C30" s="212">
        <v>29.7</v>
      </c>
      <c r="D30" s="216">
        <v>81.699999999999989</v>
      </c>
      <c r="I30">
        <f t="shared" si="0"/>
        <v>16.581777741866588</v>
      </c>
    </row>
    <row r="31" spans="1:9">
      <c r="A31" s="211" t="s">
        <v>669</v>
      </c>
      <c r="B31" s="211" t="s">
        <v>701</v>
      </c>
      <c r="C31" s="212">
        <v>28.7</v>
      </c>
      <c r="D31" s="216">
        <v>68.300000000000011</v>
      </c>
      <c r="I31">
        <f t="shared" si="0"/>
        <v>4.1994223716247561</v>
      </c>
    </row>
    <row r="32" spans="1:9">
      <c r="A32" s="211" t="s">
        <v>670</v>
      </c>
      <c r="B32" s="211" t="s">
        <v>701</v>
      </c>
      <c r="C32" s="212">
        <v>27.2</v>
      </c>
      <c r="D32" s="216">
        <v>70.7</v>
      </c>
      <c r="I32">
        <f t="shared" si="0"/>
        <v>8.1258893162619614</v>
      </c>
    </row>
    <row r="33" spans="1:9">
      <c r="A33" s="211" t="s">
        <v>671</v>
      </c>
      <c r="B33" s="211" t="s">
        <v>702</v>
      </c>
      <c r="C33" s="214">
        <v>30</v>
      </c>
      <c r="D33" s="216">
        <v>61</v>
      </c>
      <c r="I33">
        <f t="shared" si="0"/>
        <v>-4.4235156470608423</v>
      </c>
    </row>
    <row r="34" spans="1:9">
      <c r="A34" s="211" t="s">
        <v>672</v>
      </c>
      <c r="B34" s="211" t="s">
        <v>702</v>
      </c>
      <c r="C34" s="214">
        <v>24</v>
      </c>
      <c r="D34" s="216">
        <v>68.300000000000011</v>
      </c>
      <c r="I34">
        <f t="shared" si="0"/>
        <v>8.9823521314880281</v>
      </c>
    </row>
    <row r="35" spans="1:9">
      <c r="A35" s="211" t="s">
        <v>673</v>
      </c>
      <c r="B35" s="211" t="s">
        <v>702</v>
      </c>
      <c r="C35" s="212">
        <v>27.6</v>
      </c>
      <c r="D35" s="216">
        <v>41.5</v>
      </c>
      <c r="I35">
        <f t="shared" si="0"/>
        <v>-21.481168535641302</v>
      </c>
    </row>
    <row r="36" spans="1:9">
      <c r="A36" s="211" t="s">
        <v>674</v>
      </c>
      <c r="B36" s="211" t="s">
        <v>702</v>
      </c>
      <c r="C36" s="212">
        <v>35.4</v>
      </c>
      <c r="D36" s="216">
        <v>54.900000000000006</v>
      </c>
      <c r="I36">
        <f t="shared" si="0"/>
        <v>-16.018796647754804</v>
      </c>
    </row>
    <row r="37" spans="1:9">
      <c r="A37" s="211" t="s">
        <v>675</v>
      </c>
      <c r="B37" s="211" t="s">
        <v>702</v>
      </c>
      <c r="C37" s="212">
        <v>31.6</v>
      </c>
      <c r="D37" s="216">
        <v>51.2</v>
      </c>
      <c r="I37">
        <f t="shared" si="0"/>
        <v>-15.851747054673872</v>
      </c>
    </row>
    <row r="38" spans="1:9">
      <c r="A38" s="211" t="s">
        <v>676</v>
      </c>
      <c r="B38" s="211" t="s">
        <v>702</v>
      </c>
      <c r="C38" s="212">
        <v>28.3</v>
      </c>
      <c r="D38" s="216">
        <v>69.5</v>
      </c>
      <c r="I38">
        <f t="shared" si="0"/>
        <v>5.8064802235279984</v>
      </c>
    </row>
    <row r="39" spans="1:9">
      <c r="A39" s="211" t="s">
        <v>677</v>
      </c>
      <c r="B39" s="211" t="s">
        <v>702</v>
      </c>
      <c r="C39" s="212">
        <v>26.8</v>
      </c>
      <c r="D39" s="216">
        <v>79.3</v>
      </c>
      <c r="I39">
        <f t="shared" si="0"/>
        <v>17.132947168165209</v>
      </c>
    </row>
    <row r="40" spans="1:9">
      <c r="A40" s="211" t="s">
        <v>678</v>
      </c>
      <c r="B40" s="211" t="s">
        <v>702</v>
      </c>
      <c r="C40" s="214">
        <v>27</v>
      </c>
      <c r="D40" s="216">
        <v>69.5</v>
      </c>
      <c r="I40">
        <f t="shared" si="0"/>
        <v>7.1294182422135854</v>
      </c>
    </row>
    <row r="41" spans="1:9">
      <c r="A41" s="211" t="s">
        <v>679</v>
      </c>
      <c r="B41" s="211" t="s">
        <v>702</v>
      </c>
      <c r="C41" s="212">
        <v>25.3</v>
      </c>
      <c r="D41" s="216">
        <v>69.5</v>
      </c>
      <c r="I41">
        <f t="shared" si="0"/>
        <v>8.8594141128024297</v>
      </c>
    </row>
    <row r="42" spans="1:9">
      <c r="A42" s="211" t="s">
        <v>680</v>
      </c>
      <c r="B42" s="211" t="s">
        <v>702</v>
      </c>
      <c r="C42" s="212">
        <v>27.9</v>
      </c>
      <c r="D42" s="216">
        <v>62.1</v>
      </c>
      <c r="I42">
        <f t="shared" si="0"/>
        <v>-1.1864619245687393</v>
      </c>
    </row>
    <row r="43" spans="1:9">
      <c r="A43" s="211" t="s">
        <v>681</v>
      </c>
      <c r="B43" s="211" t="s">
        <v>702</v>
      </c>
      <c r="C43" s="212">
        <v>27.3</v>
      </c>
      <c r="D43" s="216">
        <v>54.900000000000006</v>
      </c>
      <c r="I43">
        <f t="shared" si="0"/>
        <v>-7.7758751467138509</v>
      </c>
    </row>
    <row r="44" spans="1:9">
      <c r="A44" s="211" t="s">
        <v>682</v>
      </c>
      <c r="B44" s="211" t="s">
        <v>703</v>
      </c>
      <c r="C44" s="212">
        <v>17.399999999999999</v>
      </c>
      <c r="D44" s="216">
        <v>32.9</v>
      </c>
      <c r="I44">
        <f t="shared" si="0"/>
        <v>-19.701193312108241</v>
      </c>
    </row>
    <row r="45" spans="1:9">
      <c r="A45" s="211" t="s">
        <v>683</v>
      </c>
      <c r="B45" s="211" t="s">
        <v>704</v>
      </c>
      <c r="C45" s="214">
        <v>12</v>
      </c>
      <c r="D45" s="216">
        <v>25.6</v>
      </c>
      <c r="I45">
        <f t="shared" si="0"/>
        <v>-21.505912311414267</v>
      </c>
    </row>
    <row r="46" spans="1:9">
      <c r="A46" s="211" t="s">
        <v>684</v>
      </c>
      <c r="B46" s="211" t="s">
        <v>702</v>
      </c>
      <c r="C46" s="212">
        <v>17.600000000000001</v>
      </c>
      <c r="D46" s="216">
        <v>20.7</v>
      </c>
      <c r="I46">
        <f t="shared" si="0"/>
        <v>-32.104722238059871</v>
      </c>
    </row>
    <row r="47" spans="1:9">
      <c r="A47" s="211" t="s">
        <v>685</v>
      </c>
      <c r="B47" s="211" t="s">
        <v>705</v>
      </c>
      <c r="C47" s="212">
        <v>15.6</v>
      </c>
      <c r="D47" s="216">
        <v>31.7</v>
      </c>
      <c r="I47">
        <f t="shared" si="0"/>
        <v>-19.069432978543585</v>
      </c>
    </row>
    <row r="48" spans="1:9">
      <c r="A48" s="211" t="s">
        <v>686</v>
      </c>
      <c r="B48" s="211" t="s">
        <v>706</v>
      </c>
      <c r="C48" s="212">
        <v>16.100000000000001</v>
      </c>
      <c r="D48" s="216">
        <v>42.699999999999996</v>
      </c>
      <c r="I48">
        <f t="shared" si="0"/>
        <v>-8.5782552934226608</v>
      </c>
    </row>
    <row r="49" spans="1:9">
      <c r="A49" s="211" t="s">
        <v>687</v>
      </c>
      <c r="B49" s="211" t="s">
        <v>707</v>
      </c>
      <c r="C49" s="212">
        <v>27.4</v>
      </c>
      <c r="D49" s="216">
        <v>45.1</v>
      </c>
      <c r="I49">
        <f t="shared" si="0"/>
        <v>-17.677639609689667</v>
      </c>
    </row>
    <row r="50" spans="1:9">
      <c r="A50" s="211" t="s">
        <v>688</v>
      </c>
      <c r="B50" s="211" t="s">
        <v>708</v>
      </c>
      <c r="C50" s="212">
        <v>26.1</v>
      </c>
      <c r="D50" s="216">
        <v>73.2</v>
      </c>
      <c r="I50">
        <f t="shared" si="0"/>
        <v>11.745298408995914</v>
      </c>
    </row>
    <row r="51" spans="1:9">
      <c r="A51" s="211" t="s">
        <v>689</v>
      </c>
      <c r="B51" s="211" t="s">
        <v>707</v>
      </c>
      <c r="C51" s="214">
        <v>25</v>
      </c>
      <c r="D51" s="216">
        <v>58.3</v>
      </c>
      <c r="I51">
        <f t="shared" si="0"/>
        <v>-2.035292498270131</v>
      </c>
    </row>
    <row r="52" spans="1:9">
      <c r="A52" s="211" t="s">
        <v>690</v>
      </c>
      <c r="B52" s="211" t="s">
        <v>707</v>
      </c>
      <c r="C52" s="212">
        <v>30.3</v>
      </c>
      <c r="D52" s="216">
        <v>40.200000000000003</v>
      </c>
      <c r="I52">
        <f t="shared" si="0"/>
        <v>-25.528809035988285</v>
      </c>
    </row>
    <row r="53" spans="1:9">
      <c r="A53" s="211" t="s">
        <v>691</v>
      </c>
      <c r="B53" s="211" t="s">
        <v>707</v>
      </c>
      <c r="C53" s="212">
        <v>28.9</v>
      </c>
      <c r="D53" s="216">
        <v>52.400000000000006</v>
      </c>
      <c r="I53">
        <f t="shared" si="0"/>
        <v>-11.90410655432688</v>
      </c>
    </row>
    <row r="54" spans="1:9">
      <c r="A54" s="211" t="s">
        <v>692</v>
      </c>
      <c r="B54" s="211" t="s">
        <v>707</v>
      </c>
      <c r="C54" s="212">
        <v>25.7</v>
      </c>
      <c r="D54" s="216">
        <v>57.3</v>
      </c>
      <c r="I54">
        <f t="shared" si="0"/>
        <v>-3.7476437391008304</v>
      </c>
    </row>
    <row r="55" spans="1:9">
      <c r="A55" s="211" t="s">
        <v>693</v>
      </c>
      <c r="B55" s="211" t="s">
        <v>707</v>
      </c>
      <c r="C55" s="212">
        <v>24.4</v>
      </c>
      <c r="D55" s="216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1" sqref="J11"/>
    </sheetView>
  </sheetViews>
  <sheetFormatPr defaultColWidth="9.140625" defaultRowHeight="15"/>
  <cols>
    <col min="1" max="1" width="13.42578125" customWidth="1"/>
    <col min="2" max="2" width="18.140625" style="4" bestFit="1" customWidth="1"/>
    <col min="3" max="3" width="13.42578125" style="4" customWidth="1"/>
    <col min="4" max="4" width="3.42578125" customWidth="1"/>
    <col min="5" max="5" width="12.42578125" bestFit="1" customWidth="1"/>
    <col min="6" max="6" width="14.140625" bestFit="1" customWidth="1"/>
    <col min="7" max="7" width="6.140625" customWidth="1"/>
    <col min="8" max="8" width="10.140625" customWidth="1"/>
    <col min="10" max="10" width="9.5703125" bestFit="1" customWidth="1"/>
    <col min="11" max="11" width="7.42578125" bestFit="1" customWidth="1"/>
  </cols>
  <sheetData>
    <row r="1" spans="1:12">
      <c r="A1" t="s">
        <v>77</v>
      </c>
      <c r="B1" s="253" t="s">
        <v>95</v>
      </c>
      <c r="C1" s="253"/>
      <c r="E1" s="253" t="s">
        <v>94</v>
      </c>
      <c r="F1" s="253"/>
      <c r="G1" s="3"/>
      <c r="H1" s="3"/>
      <c r="I1" s="166" t="s">
        <v>193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525</v>
      </c>
      <c r="F2" s="4" t="s">
        <v>264</v>
      </c>
      <c r="G2" s="4"/>
      <c r="H2" s="3" t="s">
        <v>523</v>
      </c>
    </row>
    <row r="3" spans="1:12">
      <c r="A3" s="43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100</v>
      </c>
      <c r="K3" s="3" t="s">
        <v>103</v>
      </c>
    </row>
    <row r="4" spans="1:12">
      <c r="A4" s="43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84</v>
      </c>
    </row>
    <row r="5" spans="1:12">
      <c r="A5" s="43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718</v>
      </c>
    </row>
    <row r="6" spans="1:12">
      <c r="A6" s="43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3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3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3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3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1" t="s">
        <v>524</v>
      </c>
      <c r="K10" s="3"/>
    </row>
    <row r="11" spans="1:12">
      <c r="A11" s="43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9">
        <f>COVAR(F3:F62,H3:H62)</f>
        <v>7.9508159315603655E-19</v>
      </c>
      <c r="K11" s="16"/>
    </row>
    <row r="12" spans="1:12">
      <c r="A12" s="43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/>
      <c r="K12" s="16"/>
    </row>
    <row r="13" spans="1:12">
      <c r="A13" s="43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3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</row>
    <row r="15" spans="1:12">
      <c r="A15" s="43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K15" s="4"/>
    </row>
    <row r="16" spans="1:12">
      <c r="A16" s="43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3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3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3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3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3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3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3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3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3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3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3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3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3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3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3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3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3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3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3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3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3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3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3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3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3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3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3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3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3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3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3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3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3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3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3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3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3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3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3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3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3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3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3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3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3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3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workbookViewId="0">
      <selection activeCell="B8" sqref="B8"/>
    </sheetView>
  </sheetViews>
  <sheetFormatPr defaultRowHeight="15"/>
  <cols>
    <col min="2" max="2" width="45.42578125" customWidth="1"/>
    <col min="5" max="5" width="34.42578125" customWidth="1"/>
  </cols>
  <sheetData>
    <row r="1" spans="1:5">
      <c r="B1" s="1" t="s">
        <v>709</v>
      </c>
      <c r="C1" s="212"/>
      <c r="D1" s="212"/>
      <c r="E1" s="158"/>
    </row>
    <row r="2" spans="1:5">
      <c r="B2" s="1"/>
      <c r="E2" s="218" t="s">
        <v>715</v>
      </c>
    </row>
    <row r="3" spans="1:5">
      <c r="C3" s="3" t="s">
        <v>720</v>
      </c>
      <c r="D3" s="3" t="s">
        <v>721</v>
      </c>
      <c r="E3" s="218" t="s">
        <v>710</v>
      </c>
    </row>
    <row r="4" spans="1:5">
      <c r="A4" s="210" t="s">
        <v>642</v>
      </c>
      <c r="B4" s="210" t="s">
        <v>694</v>
      </c>
      <c r="C4" s="213" t="s">
        <v>640</v>
      </c>
      <c r="D4" s="210" t="s">
        <v>719</v>
      </c>
      <c r="E4" s="215" t="s">
        <v>641</v>
      </c>
    </row>
    <row r="5" spans="1:5">
      <c r="A5" s="211" t="s">
        <v>643</v>
      </c>
      <c r="B5" s="211" t="s">
        <v>695</v>
      </c>
      <c r="C5" s="214">
        <v>30</v>
      </c>
      <c r="D5">
        <v>106.4</v>
      </c>
      <c r="E5" s="216">
        <v>36.6</v>
      </c>
    </row>
    <row r="6" spans="1:5">
      <c r="A6" s="211" t="s">
        <v>644</v>
      </c>
      <c r="B6" s="211" t="s">
        <v>695</v>
      </c>
      <c r="C6" s="212">
        <v>27.7</v>
      </c>
      <c r="D6">
        <v>108</v>
      </c>
      <c r="E6" s="216">
        <v>48.8</v>
      </c>
    </row>
    <row r="7" spans="1:5">
      <c r="A7" s="211" t="s">
        <v>645</v>
      </c>
      <c r="B7" s="211" t="s">
        <v>695</v>
      </c>
      <c r="C7" s="212">
        <v>26.2</v>
      </c>
      <c r="D7">
        <v>104.7</v>
      </c>
      <c r="E7" s="216">
        <v>64.600000000000009</v>
      </c>
    </row>
    <row r="8" spans="1:5">
      <c r="A8" s="211" t="s">
        <v>646</v>
      </c>
      <c r="B8" s="211" t="s">
        <v>695</v>
      </c>
      <c r="C8" s="212">
        <v>25.8</v>
      </c>
      <c r="D8">
        <v>106.1</v>
      </c>
      <c r="E8" s="216">
        <v>54.900000000000006</v>
      </c>
    </row>
    <row r="9" spans="1:5">
      <c r="A9" s="211" t="s">
        <v>647</v>
      </c>
      <c r="B9" s="211" t="s">
        <v>695</v>
      </c>
      <c r="C9" s="212">
        <v>23.8</v>
      </c>
      <c r="D9">
        <v>105.9</v>
      </c>
      <c r="E9" s="216">
        <v>57.3</v>
      </c>
    </row>
    <row r="10" spans="1:5">
      <c r="A10" s="211" t="s">
        <v>648</v>
      </c>
      <c r="B10" s="211" t="s">
        <v>695</v>
      </c>
      <c r="C10" s="212">
        <v>24.8</v>
      </c>
      <c r="D10">
        <v>104.1</v>
      </c>
      <c r="E10" s="216">
        <v>73.2</v>
      </c>
    </row>
    <row r="11" spans="1:5">
      <c r="A11" s="211" t="s">
        <v>649</v>
      </c>
      <c r="B11" s="211" t="s">
        <v>695</v>
      </c>
      <c r="C11" s="212">
        <v>26.2</v>
      </c>
      <c r="D11">
        <v>102.7</v>
      </c>
      <c r="E11" s="216">
        <v>65.900000000000006</v>
      </c>
    </row>
    <row r="12" spans="1:5">
      <c r="A12" s="211" t="s">
        <v>650</v>
      </c>
      <c r="B12" s="211" t="s">
        <v>695</v>
      </c>
      <c r="C12" s="212">
        <v>23.9</v>
      </c>
      <c r="D12">
        <v>103.1</v>
      </c>
      <c r="E12" s="216">
        <v>69.5</v>
      </c>
    </row>
    <row r="13" spans="1:5">
      <c r="A13" s="211" t="s">
        <v>651</v>
      </c>
      <c r="B13" s="211" t="s">
        <v>695</v>
      </c>
      <c r="C13" s="212">
        <v>21.8</v>
      </c>
      <c r="D13">
        <v>103.8</v>
      </c>
      <c r="E13" s="216">
        <v>70.7</v>
      </c>
    </row>
    <row r="14" spans="1:5">
      <c r="A14" s="211" t="s">
        <v>652</v>
      </c>
      <c r="B14" s="211" t="s">
        <v>695</v>
      </c>
      <c r="C14" s="212">
        <v>21.5</v>
      </c>
      <c r="D14">
        <v>103.7</v>
      </c>
      <c r="E14" s="216">
        <v>65.900000000000006</v>
      </c>
    </row>
    <row r="15" spans="1:5">
      <c r="A15" s="211" t="s">
        <v>653</v>
      </c>
      <c r="B15" s="211" t="s">
        <v>695</v>
      </c>
      <c r="C15" s="214">
        <v>22</v>
      </c>
      <c r="D15">
        <v>103.2</v>
      </c>
      <c r="E15" s="216">
        <v>75.599999999999994</v>
      </c>
    </row>
    <row r="16" spans="1:5">
      <c r="A16" s="211" t="s">
        <v>654</v>
      </c>
      <c r="B16" s="211" t="s">
        <v>695</v>
      </c>
      <c r="C16" s="212">
        <v>23.4</v>
      </c>
      <c r="D16">
        <v>102.7</v>
      </c>
      <c r="E16" s="216">
        <v>75.599999999999994</v>
      </c>
    </row>
    <row r="17" spans="1:5">
      <c r="A17" s="211" t="s">
        <v>655</v>
      </c>
      <c r="B17" s="211" t="s">
        <v>696</v>
      </c>
      <c r="C17" s="212">
        <v>23.9</v>
      </c>
      <c r="D17">
        <v>101.6</v>
      </c>
      <c r="E17" s="216">
        <v>79.3</v>
      </c>
    </row>
    <row r="18" spans="1:5">
      <c r="A18" s="211" t="s">
        <v>656</v>
      </c>
      <c r="B18" s="211" t="s">
        <v>696</v>
      </c>
      <c r="C18" s="212">
        <v>19.600000000000001</v>
      </c>
      <c r="D18">
        <v>99.1</v>
      </c>
      <c r="E18" s="216">
        <v>75.599999999999994</v>
      </c>
    </row>
    <row r="19" spans="1:5">
      <c r="A19" s="211" t="s">
        <v>657</v>
      </c>
      <c r="B19" s="211" t="s">
        <v>696</v>
      </c>
      <c r="C19" s="212">
        <v>22.5</v>
      </c>
      <c r="D19">
        <v>100.1</v>
      </c>
      <c r="E19" s="216">
        <v>69.5</v>
      </c>
    </row>
    <row r="20" spans="1:5">
      <c r="A20" s="211" t="s">
        <v>658</v>
      </c>
      <c r="B20" s="211" t="s">
        <v>696</v>
      </c>
      <c r="C20" s="212">
        <v>22.3</v>
      </c>
      <c r="D20">
        <v>96.3</v>
      </c>
      <c r="E20" s="216">
        <v>76.8</v>
      </c>
    </row>
    <row r="21" spans="1:5">
      <c r="A21" s="211" t="s">
        <v>659</v>
      </c>
      <c r="B21" s="211" t="s">
        <v>696</v>
      </c>
      <c r="C21" s="212">
        <v>19.399999999999999</v>
      </c>
      <c r="D21">
        <v>94.1</v>
      </c>
      <c r="E21" s="216">
        <v>70.7</v>
      </c>
    </row>
    <row r="22" spans="1:5">
      <c r="A22" s="211" t="s">
        <v>660</v>
      </c>
      <c r="B22" s="211" t="s">
        <v>697</v>
      </c>
      <c r="C22" s="212">
        <v>19.899999999999999</v>
      </c>
      <c r="D22">
        <v>92.5</v>
      </c>
      <c r="E22" s="216">
        <v>52.400000000000006</v>
      </c>
    </row>
    <row r="23" spans="1:5">
      <c r="A23" s="211" t="s">
        <v>661</v>
      </c>
      <c r="B23" s="211" t="s">
        <v>698</v>
      </c>
      <c r="C23" s="212">
        <v>15.1</v>
      </c>
      <c r="D23">
        <v>96.2</v>
      </c>
      <c r="E23" s="216">
        <v>47.599999999999994</v>
      </c>
    </row>
    <row r="24" spans="1:5">
      <c r="A24" s="211" t="s">
        <v>662</v>
      </c>
      <c r="B24" s="211" t="s">
        <v>699</v>
      </c>
      <c r="C24" s="212">
        <v>14.2</v>
      </c>
      <c r="D24">
        <v>95.5</v>
      </c>
      <c r="E24" s="216">
        <v>40.200000000000003</v>
      </c>
    </row>
    <row r="25" spans="1:5">
      <c r="A25" s="211" t="s">
        <v>663</v>
      </c>
      <c r="B25" s="211" t="s">
        <v>700</v>
      </c>
      <c r="C25" s="212">
        <v>21.7</v>
      </c>
      <c r="D25">
        <v>95.2</v>
      </c>
      <c r="E25" s="216">
        <v>58.5</v>
      </c>
    </row>
    <row r="26" spans="1:5">
      <c r="A26" s="211" t="s">
        <v>664</v>
      </c>
      <c r="B26" s="211" t="s">
        <v>700</v>
      </c>
      <c r="C26" s="212">
        <v>21.2</v>
      </c>
      <c r="D26">
        <v>92.4</v>
      </c>
      <c r="E26" s="216">
        <v>64.600000000000009</v>
      </c>
    </row>
    <row r="27" spans="1:5">
      <c r="A27" s="211" t="s">
        <v>665</v>
      </c>
      <c r="B27" s="211" t="s">
        <v>701</v>
      </c>
      <c r="C27" s="212">
        <v>26.2</v>
      </c>
      <c r="D27">
        <v>91.1</v>
      </c>
      <c r="E27" s="216">
        <v>68.300000000000011</v>
      </c>
    </row>
    <row r="28" spans="1:5">
      <c r="A28" s="211" t="s">
        <v>666</v>
      </c>
      <c r="B28" s="211" t="s">
        <v>701</v>
      </c>
      <c r="C28" s="212">
        <v>28.3</v>
      </c>
      <c r="D28">
        <v>93.6</v>
      </c>
      <c r="E28" s="216">
        <v>74.400000000000006</v>
      </c>
    </row>
    <row r="29" spans="1:5">
      <c r="A29" s="211" t="s">
        <v>667</v>
      </c>
      <c r="B29" s="211" t="s">
        <v>701</v>
      </c>
      <c r="C29" s="212">
        <v>26.3</v>
      </c>
      <c r="D29">
        <v>91.6</v>
      </c>
      <c r="E29" s="216">
        <v>62</v>
      </c>
    </row>
    <row r="30" spans="1:5">
      <c r="A30" s="211" t="s">
        <v>668</v>
      </c>
      <c r="B30" s="211" t="s">
        <v>701</v>
      </c>
      <c r="C30" s="212">
        <v>29.7</v>
      </c>
      <c r="D30">
        <v>93.3</v>
      </c>
      <c r="E30" s="216">
        <v>81.699999999999989</v>
      </c>
    </row>
    <row r="31" spans="1:5">
      <c r="A31" s="211" t="s">
        <v>669</v>
      </c>
      <c r="B31" s="211" t="s">
        <v>701</v>
      </c>
      <c r="C31" s="212">
        <v>28.7</v>
      </c>
      <c r="D31">
        <v>91.7</v>
      </c>
      <c r="E31" s="216">
        <v>68.300000000000011</v>
      </c>
    </row>
    <row r="32" spans="1:5">
      <c r="A32" s="211" t="s">
        <v>670</v>
      </c>
      <c r="B32" s="211" t="s">
        <v>701</v>
      </c>
      <c r="C32" s="212">
        <v>27.2</v>
      </c>
      <c r="D32">
        <v>92.1</v>
      </c>
      <c r="E32" s="216">
        <v>70.7</v>
      </c>
    </row>
    <row r="33" spans="1:5">
      <c r="A33" s="211" t="s">
        <v>671</v>
      </c>
      <c r="B33" s="211" t="s">
        <v>702</v>
      </c>
      <c r="C33" s="214">
        <v>30</v>
      </c>
      <c r="D33">
        <v>92.5</v>
      </c>
      <c r="E33" s="216">
        <v>61</v>
      </c>
    </row>
    <row r="34" spans="1:5">
      <c r="A34" s="211" t="s">
        <v>672</v>
      </c>
      <c r="B34" s="211" t="s">
        <v>702</v>
      </c>
      <c r="C34" s="214">
        <v>24</v>
      </c>
      <c r="D34">
        <v>92.3</v>
      </c>
      <c r="E34" s="216">
        <v>68.300000000000011</v>
      </c>
    </row>
    <row r="35" spans="1:5">
      <c r="A35" s="211" t="s">
        <v>673</v>
      </c>
      <c r="B35" s="211" t="s">
        <v>702</v>
      </c>
      <c r="C35" s="212">
        <v>27.6</v>
      </c>
      <c r="D35">
        <v>90.8</v>
      </c>
      <c r="E35" s="216">
        <v>41.5</v>
      </c>
    </row>
    <row r="36" spans="1:5">
      <c r="A36" s="211" t="s">
        <v>674</v>
      </c>
      <c r="B36" s="211" t="s">
        <v>702</v>
      </c>
      <c r="C36" s="212">
        <v>35.4</v>
      </c>
      <c r="D36">
        <v>90.9</v>
      </c>
      <c r="E36" s="216">
        <v>54.900000000000006</v>
      </c>
    </row>
    <row r="37" spans="1:5">
      <c r="A37" s="211" t="s">
        <v>675</v>
      </c>
      <c r="B37" s="211" t="s">
        <v>702</v>
      </c>
      <c r="C37" s="212">
        <v>31.6</v>
      </c>
      <c r="D37">
        <v>93.5</v>
      </c>
      <c r="E37" s="216">
        <v>51.2</v>
      </c>
    </row>
    <row r="38" spans="1:5">
      <c r="A38" s="211" t="s">
        <v>676</v>
      </c>
      <c r="B38" s="211" t="s">
        <v>702</v>
      </c>
      <c r="C38" s="212">
        <v>28.3</v>
      </c>
      <c r="D38">
        <v>95.6</v>
      </c>
      <c r="E38" s="216">
        <v>69.5</v>
      </c>
    </row>
    <row r="39" spans="1:5">
      <c r="A39" s="211" t="s">
        <v>677</v>
      </c>
      <c r="B39" s="211" t="s">
        <v>702</v>
      </c>
      <c r="C39" s="212">
        <v>26.8</v>
      </c>
      <c r="D39">
        <v>94.3</v>
      </c>
      <c r="E39" s="216">
        <v>79.3</v>
      </c>
    </row>
    <row r="40" spans="1:5">
      <c r="A40" s="211" t="s">
        <v>678</v>
      </c>
      <c r="B40" s="211" t="s">
        <v>702</v>
      </c>
      <c r="C40" s="214">
        <v>27</v>
      </c>
      <c r="D40">
        <v>92.8</v>
      </c>
      <c r="E40" s="216">
        <v>69.5</v>
      </c>
    </row>
    <row r="41" spans="1:5">
      <c r="A41" s="211" t="s">
        <v>679</v>
      </c>
      <c r="B41" s="211" t="s">
        <v>702</v>
      </c>
      <c r="C41" s="212">
        <v>25.3</v>
      </c>
      <c r="D41">
        <v>90.7</v>
      </c>
      <c r="E41" s="216">
        <v>69.5</v>
      </c>
    </row>
    <row r="42" spans="1:5">
      <c r="A42" s="211" t="s">
        <v>680</v>
      </c>
      <c r="B42" s="211" t="s">
        <v>702</v>
      </c>
      <c r="C42" s="212">
        <v>27.9</v>
      </c>
      <c r="D42">
        <v>90.5</v>
      </c>
      <c r="E42" s="216">
        <v>62.1</v>
      </c>
    </row>
    <row r="43" spans="1:5">
      <c r="A43" s="211" t="s">
        <v>681</v>
      </c>
      <c r="B43" s="211" t="s">
        <v>702</v>
      </c>
      <c r="C43" s="212">
        <v>27.3</v>
      </c>
      <c r="D43">
        <v>94.4</v>
      </c>
      <c r="E43" s="216">
        <v>54.900000000000006</v>
      </c>
    </row>
    <row r="44" spans="1:5">
      <c r="A44" s="211" t="s">
        <v>682</v>
      </c>
      <c r="B44" s="211" t="s">
        <v>703</v>
      </c>
      <c r="C44" s="212">
        <v>17.399999999999999</v>
      </c>
      <c r="D44">
        <v>98.7</v>
      </c>
      <c r="E44" s="216">
        <v>32.9</v>
      </c>
    </row>
    <row r="45" spans="1:5">
      <c r="A45" s="211" t="s">
        <v>683</v>
      </c>
      <c r="B45" s="211" t="s">
        <v>704</v>
      </c>
      <c r="C45" s="214">
        <v>12</v>
      </c>
      <c r="D45">
        <v>94</v>
      </c>
      <c r="E45" s="216">
        <v>25.6</v>
      </c>
    </row>
    <row r="46" spans="1:5">
      <c r="A46" s="211" t="s">
        <v>684</v>
      </c>
      <c r="B46" s="211" t="s">
        <v>702</v>
      </c>
      <c r="C46" s="212">
        <v>17.600000000000001</v>
      </c>
      <c r="D46">
        <v>95.6</v>
      </c>
      <c r="E46" s="216">
        <v>20.7</v>
      </c>
    </row>
    <row r="47" spans="1:5">
      <c r="A47" s="211" t="s">
        <v>685</v>
      </c>
      <c r="B47" s="211" t="s">
        <v>705</v>
      </c>
      <c r="C47" s="212">
        <v>15.6</v>
      </c>
      <c r="D47">
        <v>98.5</v>
      </c>
      <c r="E47" s="216">
        <v>31.7</v>
      </c>
    </row>
    <row r="48" spans="1:5">
      <c r="A48" s="211" t="s">
        <v>686</v>
      </c>
      <c r="B48" s="211" t="s">
        <v>706</v>
      </c>
      <c r="C48" s="212">
        <v>16.100000000000001</v>
      </c>
      <c r="D48">
        <v>100.3</v>
      </c>
      <c r="E48" s="216">
        <v>42.699999999999996</v>
      </c>
    </row>
    <row r="49" spans="1:5">
      <c r="A49" s="211" t="s">
        <v>687</v>
      </c>
      <c r="B49" s="211" t="s">
        <v>707</v>
      </c>
      <c r="C49" s="212">
        <v>27.4</v>
      </c>
      <c r="D49">
        <v>103.2</v>
      </c>
      <c r="E49" s="216">
        <v>45.1</v>
      </c>
    </row>
    <row r="50" spans="1:5">
      <c r="A50" s="211" t="s">
        <v>688</v>
      </c>
      <c r="B50" s="211" t="s">
        <v>708</v>
      </c>
      <c r="C50" s="212">
        <v>26.1</v>
      </c>
      <c r="D50">
        <v>100.9</v>
      </c>
      <c r="E50" s="216">
        <v>73.2</v>
      </c>
    </row>
    <row r="51" spans="1:5">
      <c r="A51" s="211" t="s">
        <v>689</v>
      </c>
      <c r="B51" s="211" t="s">
        <v>707</v>
      </c>
      <c r="C51" s="214">
        <v>25</v>
      </c>
      <c r="D51">
        <v>98.7</v>
      </c>
      <c r="E51" s="216">
        <v>58.3</v>
      </c>
    </row>
    <row r="52" spans="1:5">
      <c r="A52" s="211" t="s">
        <v>690</v>
      </c>
      <c r="B52" s="211" t="s">
        <v>707</v>
      </c>
      <c r="C52" s="212">
        <v>30.3</v>
      </c>
      <c r="D52">
        <v>100.1</v>
      </c>
      <c r="E52" s="216">
        <v>40.200000000000003</v>
      </c>
    </row>
    <row r="53" spans="1:5">
      <c r="A53" s="211" t="s">
        <v>691</v>
      </c>
      <c r="B53" s="211" t="s">
        <v>707</v>
      </c>
      <c r="C53" s="212">
        <v>28.9</v>
      </c>
      <c r="D53">
        <v>101.3</v>
      </c>
      <c r="E53" s="216">
        <v>52.400000000000006</v>
      </c>
    </row>
    <row r="54" spans="1:5">
      <c r="A54" s="211" t="s">
        <v>692</v>
      </c>
      <c r="B54" s="211" t="s">
        <v>707</v>
      </c>
      <c r="C54" s="212">
        <v>25.7</v>
      </c>
      <c r="D54">
        <v>100.9</v>
      </c>
      <c r="E54" s="216">
        <v>57.3</v>
      </c>
    </row>
    <row r="55" spans="1:5">
      <c r="A55" s="211" t="s">
        <v>693</v>
      </c>
      <c r="B55" s="211" t="s">
        <v>707</v>
      </c>
      <c r="C55" s="212">
        <v>24.4</v>
      </c>
      <c r="D55">
        <v>97.6</v>
      </c>
      <c r="E55" s="216">
        <v>61.5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5"/>
  <cols>
    <col min="2" max="2" width="10.5703125" bestFit="1" customWidth="1"/>
  </cols>
  <sheetData>
    <row r="1" spans="1:13">
      <c r="C1" t="s">
        <v>185</v>
      </c>
      <c r="D1" t="s">
        <v>186</v>
      </c>
      <c r="E1" t="s">
        <v>187</v>
      </c>
      <c r="F1" t="s">
        <v>188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189</v>
      </c>
      <c r="J3" t="s">
        <v>190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191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192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40625" defaultRowHeight="15"/>
  <cols>
    <col min="1" max="1" width="9.140625" style="20" customWidth="1"/>
    <col min="2" max="5" width="9.5703125" style="20" bestFit="1" customWidth="1"/>
    <col min="6" max="8" width="9.140625" style="20" customWidth="1"/>
    <col min="9" max="9" width="11.5703125" style="20" customWidth="1"/>
    <col min="10" max="15" width="9.140625" style="20" customWidth="1"/>
    <col min="16" max="16384" width="9.140625" style="20"/>
  </cols>
  <sheetData>
    <row r="1" spans="1:12">
      <c r="A1" s="31" t="s">
        <v>191</v>
      </c>
      <c r="B1" s="32"/>
      <c r="J1" s="31"/>
      <c r="K1" s="31"/>
      <c r="L1" s="31"/>
    </row>
    <row r="2" spans="1:12">
      <c r="B2" s="168" t="s">
        <v>530</v>
      </c>
      <c r="C2" s="168" t="s">
        <v>531</v>
      </c>
      <c r="D2" s="168" t="s">
        <v>532</v>
      </c>
    </row>
    <row r="3" spans="1:12">
      <c r="A3" s="168" t="s">
        <v>530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8" t="s">
        <v>531</v>
      </c>
      <c r="B4" s="51">
        <v>-0.02</v>
      </c>
      <c r="C4" s="51">
        <v>0.09</v>
      </c>
      <c r="D4" s="51">
        <v>0.04</v>
      </c>
      <c r="I4" s="33"/>
    </row>
    <row r="5" spans="1:12">
      <c r="A5" s="168" t="s">
        <v>532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8" t="s">
        <v>530</v>
      </c>
      <c r="C7" s="168" t="s">
        <v>531</v>
      </c>
      <c r="D7" s="168" t="s">
        <v>532</v>
      </c>
      <c r="E7" s="31" t="s">
        <v>193</v>
      </c>
      <c r="I7" s="33"/>
    </row>
    <row r="8" spans="1:12">
      <c r="A8" s="20" t="s">
        <v>37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194</v>
      </c>
      <c r="B11" s="37"/>
      <c r="I11" s="33"/>
    </row>
    <row r="12" spans="1:12" ht="15.75" customHeight="1">
      <c r="A12" s="38" t="s">
        <v>45</v>
      </c>
      <c r="B12" s="38" t="s">
        <v>195</v>
      </c>
      <c r="C12" s="38" t="s">
        <v>196</v>
      </c>
      <c r="D12" s="38" t="s">
        <v>197</v>
      </c>
      <c r="E12" s="38" t="s">
        <v>37</v>
      </c>
      <c r="F12" s="38" t="s">
        <v>198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199</v>
      </c>
    </row>
    <row r="26" spans="1:7" ht="15.75" customHeight="1">
      <c r="A26" s="38" t="s">
        <v>45</v>
      </c>
      <c r="B26" s="168" t="s">
        <v>530</v>
      </c>
      <c r="C26" s="168" t="s">
        <v>531</v>
      </c>
      <c r="D26" s="168" t="s">
        <v>532</v>
      </c>
      <c r="E26" s="38" t="s">
        <v>37</v>
      </c>
      <c r="F26" s="38" t="s">
        <v>198</v>
      </c>
      <c r="G26" s="38" t="s">
        <v>200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9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9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9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9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9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9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9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9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9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9">
        <v>0.27</v>
      </c>
    </row>
    <row r="38" spans="1:7">
      <c r="F38" s="20">
        <f>SUM(F27:F37)</f>
        <v>3.8686075399748545</v>
      </c>
    </row>
    <row r="40" spans="1:7" ht="21" customHeight="1">
      <c r="A40" s="36" t="s">
        <v>201</v>
      </c>
    </row>
    <row r="41" spans="1:7" ht="15.75" customHeight="1">
      <c r="A41" s="38" t="s">
        <v>45</v>
      </c>
      <c r="B41" s="168" t="s">
        <v>530</v>
      </c>
      <c r="C41" s="168" t="s">
        <v>531</v>
      </c>
      <c r="D41" s="168" t="s">
        <v>532</v>
      </c>
      <c r="E41" s="38" t="s">
        <v>37</v>
      </c>
      <c r="F41" s="38" t="s">
        <v>202</v>
      </c>
      <c r="G41" s="38" t="s">
        <v>203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85</v>
      </c>
      <c r="F44" s="20" t="s">
        <v>86</v>
      </c>
    </row>
    <row r="45" spans="1:7">
      <c r="D45" s="20" t="s">
        <v>204</v>
      </c>
      <c r="E45" s="20">
        <f>0</f>
        <v>0</v>
      </c>
      <c r="F45" s="39">
        <f>E8</f>
        <v>0.05</v>
      </c>
    </row>
    <row r="46" spans="1:7">
      <c r="D46" s="20" t="s">
        <v>205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5"/>
  <cols>
    <col min="1" max="1" width="12.85546875" bestFit="1" customWidth="1"/>
    <col min="2" max="2" width="10.85546875" bestFit="1" customWidth="1"/>
    <col min="3" max="3" width="12.140625" bestFit="1" customWidth="1"/>
    <col min="4" max="5" width="12.85546875" bestFit="1" customWidth="1"/>
  </cols>
  <sheetData>
    <row r="3" spans="1:6">
      <c r="B3" t="s">
        <v>206</v>
      </c>
      <c r="C3" t="s">
        <v>207</v>
      </c>
      <c r="D3" t="s">
        <v>208</v>
      </c>
      <c r="E3" t="s">
        <v>209</v>
      </c>
      <c r="F3" t="s">
        <v>193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210</v>
      </c>
    </row>
    <row r="7" spans="1:6">
      <c r="B7" t="s">
        <v>206</v>
      </c>
      <c r="C7" t="s">
        <v>207</v>
      </c>
      <c r="D7" t="s">
        <v>208</v>
      </c>
      <c r="E7" t="s">
        <v>209</v>
      </c>
    </row>
    <row r="8" spans="1:6">
      <c r="A8" t="s">
        <v>206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207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208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209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211</v>
      </c>
      <c r="B16">
        <f>SQRT(B15)</f>
        <v>0.28887580275679142</v>
      </c>
    </row>
    <row r="17" spans="1:3">
      <c r="A17" t="s">
        <v>203</v>
      </c>
      <c r="B17">
        <f>(B14-0.01)/B16</f>
        <v>0.66810867105858551</v>
      </c>
    </row>
    <row r="19" spans="1:3">
      <c r="B19" t="s">
        <v>212</v>
      </c>
    </row>
    <row r="20" spans="1:3">
      <c r="A20" t="s">
        <v>206</v>
      </c>
      <c r="B20">
        <f>B13</f>
        <v>1</v>
      </c>
      <c r="C20">
        <f>B20/(1+$C$13)</f>
        <v>0.49501147778198873</v>
      </c>
    </row>
    <row r="21" spans="1:3">
      <c r="A21" t="s">
        <v>213</v>
      </c>
      <c r="B21">
        <f>C13</f>
        <v>1.0201551779783511</v>
      </c>
      <c r="C21">
        <f>B21/(1+$C$13)</f>
        <v>0.50498852221801127</v>
      </c>
    </row>
    <row r="22" spans="1:3">
      <c r="A22" t="s">
        <v>214</v>
      </c>
      <c r="B22">
        <f>D13</f>
        <v>0.1386915190257931</v>
      </c>
      <c r="C22">
        <f>B22/(1+$C$13)</f>
        <v>6.8653893788786655E-2</v>
      </c>
    </row>
    <row r="23" spans="1:3">
      <c r="A23" t="s">
        <v>215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40625" defaultRowHeight="15"/>
  <cols>
    <col min="1" max="1" width="10.5703125" bestFit="1" customWidth="1"/>
    <col min="5" max="5" width="12" bestFit="1" customWidth="1"/>
    <col min="6" max="6" width="12.5703125" bestFit="1" customWidth="1"/>
    <col min="7" max="7" width="27.5703125" customWidth="1"/>
    <col min="8" max="8" width="12.5703125" bestFit="1" customWidth="1"/>
    <col min="9" max="9" width="21.42578125" customWidth="1"/>
    <col min="10" max="10" width="8" customWidth="1"/>
    <col min="12" max="12" width="8.42578125" customWidth="1"/>
    <col min="13" max="13" width="12.5703125" bestFit="1" customWidth="1"/>
    <col min="14" max="14" width="16" customWidth="1"/>
    <col min="15" max="15" width="10.140625" customWidth="1"/>
    <col min="16" max="16" width="14" customWidth="1"/>
    <col min="17" max="17" width="14.85546875" customWidth="1"/>
  </cols>
  <sheetData>
    <row r="1" spans="1:17">
      <c r="A1" s="1" t="s">
        <v>98</v>
      </c>
      <c r="B1" s="199">
        <v>2E-3</v>
      </c>
      <c r="F1" s="256" t="s">
        <v>94</v>
      </c>
      <c r="G1" s="255"/>
      <c r="H1" s="255"/>
      <c r="I1" s="255"/>
      <c r="J1" s="1"/>
      <c r="N1" s="54" t="s">
        <v>638</v>
      </c>
      <c r="P1" s="1"/>
      <c r="Q1" s="1"/>
    </row>
    <row r="2" spans="1:17">
      <c r="A2" s="1"/>
      <c r="B2" s="254"/>
      <c r="C2" s="255"/>
      <c r="D2" s="255"/>
      <c r="E2" s="3"/>
      <c r="F2" s="55"/>
      <c r="G2" s="54" t="s">
        <v>633</v>
      </c>
      <c r="H2" s="53"/>
      <c r="I2" s="54" t="s">
        <v>633</v>
      </c>
      <c r="J2" s="1"/>
      <c r="N2" s="54" t="s">
        <v>635</v>
      </c>
      <c r="P2" s="1"/>
      <c r="Q2" s="1"/>
    </row>
    <row r="3" spans="1:17">
      <c r="B3" s="254" t="s">
        <v>95</v>
      </c>
      <c r="C3" s="255"/>
      <c r="D3" s="255"/>
      <c r="E3" s="3"/>
      <c r="F3" s="55"/>
      <c r="G3" s="54" t="s">
        <v>216</v>
      </c>
      <c r="H3" s="54"/>
      <c r="I3" s="54" t="s">
        <v>217</v>
      </c>
      <c r="J3" s="3"/>
      <c r="N3" s="54" t="s">
        <v>637</v>
      </c>
      <c r="P3" s="3"/>
      <c r="Q3" s="3"/>
    </row>
    <row r="4" spans="1:17" ht="23.25">
      <c r="B4" s="1" t="s">
        <v>45</v>
      </c>
      <c r="C4" s="1" t="s">
        <v>216</v>
      </c>
      <c r="D4" s="1" t="s">
        <v>217</v>
      </c>
      <c r="E4" s="1"/>
      <c r="F4" s="56" t="s">
        <v>218</v>
      </c>
      <c r="G4" s="203" t="s">
        <v>219</v>
      </c>
      <c r="H4" s="56" t="s">
        <v>217</v>
      </c>
      <c r="I4" s="203" t="s">
        <v>220</v>
      </c>
      <c r="J4" s="28"/>
      <c r="N4" s="202" t="s">
        <v>636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9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57" t="s">
        <v>634</v>
      </c>
      <c r="L40" s="257"/>
      <c r="M40" s="257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45</v>
      </c>
      <c r="L41" s="205" t="s">
        <v>216</v>
      </c>
      <c r="M41" s="44" t="s">
        <v>217</v>
      </c>
    </row>
    <row r="42" spans="1:16">
      <c r="A42" s="44"/>
      <c r="B42" s="42" t="s">
        <v>45</v>
      </c>
      <c r="C42" s="42" t="s">
        <v>216</v>
      </c>
      <c r="D42" s="42" t="s">
        <v>217</v>
      </c>
      <c r="E42" s="1"/>
      <c r="F42" s="41" t="s">
        <v>221</v>
      </c>
      <c r="G42" s="45">
        <v>0</v>
      </c>
      <c r="H42" s="41" t="s">
        <v>221</v>
      </c>
      <c r="I42" s="45">
        <v>0</v>
      </c>
      <c r="J42" s="4"/>
      <c r="K42" s="206">
        <v>0.86031090364370344</v>
      </c>
      <c r="L42" s="206">
        <v>0</v>
      </c>
      <c r="M42" s="206">
        <v>0</v>
      </c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37</v>
      </c>
      <c r="G43" s="18">
        <f>AVERAGE(G5:G40)+B1</f>
        <v>1.5475000000000001E-2</v>
      </c>
      <c r="H43" s="3" t="s">
        <v>37</v>
      </c>
      <c r="I43" s="18">
        <f>AVERAGE(I5:I40)+B1</f>
        <v>1.5475000000000001E-2</v>
      </c>
      <c r="J43" s="6"/>
      <c r="L43" s="198"/>
      <c r="M43" s="3" t="s">
        <v>37</v>
      </c>
      <c r="N43" s="18">
        <f>AVERAGE(N5:N40)+B1</f>
        <v>1.3313311233886311E-2</v>
      </c>
      <c r="O43" s="1"/>
      <c r="P43" s="6"/>
    </row>
    <row r="44" spans="1:16">
      <c r="A44" s="47" t="s">
        <v>223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222</v>
      </c>
      <c r="G44" s="18">
        <f>AVERAGE(G5:G40)</f>
        <v>1.3475000000000001E-2</v>
      </c>
      <c r="H44" s="3" t="s">
        <v>222</v>
      </c>
      <c r="I44" s="18">
        <f>AVERAGE(I5:I40)</f>
        <v>1.3475000000000001E-2</v>
      </c>
      <c r="J44" s="6"/>
      <c r="K44" s="1"/>
      <c r="L44" s="200"/>
      <c r="M44" s="3" t="s">
        <v>222</v>
      </c>
      <c r="N44" s="18">
        <f>AVERAGE(N5:N40)</f>
        <v>1.1313311233886311E-2</v>
      </c>
      <c r="O44" s="1"/>
      <c r="P44" s="6"/>
    </row>
    <row r="45" spans="1:16">
      <c r="A45" s="44" t="s">
        <v>203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223</v>
      </c>
      <c r="G45" s="18">
        <f>STDEVP(G5:G40)</f>
        <v>4.731299078712127E-2</v>
      </c>
      <c r="H45" s="3" t="s">
        <v>76</v>
      </c>
      <c r="I45" s="18">
        <f>STDEVP(I5:I40)</f>
        <v>4.731299078712127E-2</v>
      </c>
      <c r="K45" s="1"/>
      <c r="L45" s="201"/>
      <c r="M45" s="3" t="s">
        <v>76</v>
      </c>
      <c r="N45" s="18">
        <f>STDEVP(N5:N40)</f>
        <v>4.0703881858154524E-2</v>
      </c>
      <c r="O45" s="1"/>
      <c r="P45" s="6"/>
    </row>
    <row r="46" spans="1:16">
      <c r="E46" s="6"/>
      <c r="F46" s="41" t="s">
        <v>203</v>
      </c>
      <c r="G46" s="153">
        <f>(G44)/G45</f>
        <v>0.28480550005027233</v>
      </c>
      <c r="H46" s="41" t="s">
        <v>203</v>
      </c>
      <c r="I46" s="153">
        <f>(I44)/I45</f>
        <v>0.28480550005027233</v>
      </c>
      <c r="J46" s="26"/>
      <c r="M46" s="41" t="s">
        <v>203</v>
      </c>
      <c r="N46" s="153">
        <f>(N44)/N45</f>
        <v>0.27794182563007386</v>
      </c>
      <c r="O46" s="1"/>
      <c r="P46" s="29"/>
    </row>
    <row r="47" spans="1:16">
      <c r="F47" s="58" t="s">
        <v>224</v>
      </c>
      <c r="G47" s="167">
        <f>INTERCEPT(F5:F40,G5:G40)</f>
        <v>9.1796413233198194E-3</v>
      </c>
      <c r="H47" s="57" t="s">
        <v>224</v>
      </c>
      <c r="I47" s="167">
        <f>INTERCEPT(H5:H40,I5:I40)</f>
        <v>-2.4008774237008947E-3</v>
      </c>
      <c r="J47" s="48"/>
      <c r="N47" s="194" t="s">
        <v>216</v>
      </c>
      <c r="O47" s="194" t="s">
        <v>217</v>
      </c>
      <c r="P47" s="59"/>
    </row>
    <row r="48" spans="1:16">
      <c r="F48" s="58" t="s">
        <v>225</v>
      </c>
      <c r="G48" s="196">
        <f>SLOPE(F5:F40,G5:G40)</f>
        <v>-0.68622455683264005</v>
      </c>
      <c r="H48" s="194" t="s">
        <v>225</v>
      </c>
      <c r="I48" s="197">
        <f>SLOPE(H5:H40,I5:I40)</f>
        <v>1.3174391088576127</v>
      </c>
      <c r="J48" s="26"/>
      <c r="M48" s="57" t="s">
        <v>224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5" t="s">
        <v>631</v>
      </c>
      <c r="G49" s="26">
        <f>(C43-G43)/(G44)</f>
        <v>-1.0049895792207795</v>
      </c>
      <c r="H49" s="195" t="s">
        <v>631</v>
      </c>
      <c r="I49" s="26">
        <f>($D$43-I43)/I44</f>
        <v>0.13926638724715693</v>
      </c>
      <c r="M49" s="194" t="s">
        <v>225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5" t="s">
        <v>632</v>
      </c>
      <c r="G50" s="26">
        <f>G48-1</f>
        <v>-1.6862245568326402</v>
      </c>
      <c r="H50" s="195" t="s">
        <v>632</v>
      </c>
      <c r="I50" s="26">
        <f>I48-1</f>
        <v>0.31743910885761273</v>
      </c>
      <c r="M50" s="195" t="s">
        <v>631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4"/>
      <c r="H51" s="204"/>
      <c r="I51" s="44"/>
      <c r="K51" s="44"/>
      <c r="L51" s="44"/>
      <c r="M51" s="207" t="s">
        <v>632</v>
      </c>
      <c r="N51" s="153">
        <f>N49-1</f>
        <v>-1.7976471690946267</v>
      </c>
      <c r="O51" s="208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5"/>
  <cols>
    <col min="1" max="1" width="10.5703125" bestFit="1" customWidth="1"/>
    <col min="2" max="2" width="9.42578125" customWidth="1"/>
    <col min="3" max="3" width="10" customWidth="1"/>
    <col min="4" max="4" width="4" customWidth="1"/>
    <col min="6" max="6" width="4.42578125" customWidth="1"/>
    <col min="7" max="7" width="8.5703125" customWidth="1"/>
    <col min="10" max="10" width="1.42578125" customWidth="1"/>
    <col min="13" max="13" width="2" customWidth="1"/>
  </cols>
  <sheetData>
    <row r="2" spans="1:16">
      <c r="E2" t="s">
        <v>237</v>
      </c>
      <c r="G2" s="253" t="s">
        <v>41</v>
      </c>
      <c r="H2" s="251"/>
      <c r="I2" s="251"/>
    </row>
    <row r="3" spans="1:16">
      <c r="E3" s="4">
        <v>1.0000000000000001E-5</v>
      </c>
      <c r="H3" s="1" t="s">
        <v>72</v>
      </c>
      <c r="I3" s="1" t="s">
        <v>238</v>
      </c>
      <c r="L3" t="s">
        <v>239</v>
      </c>
    </row>
    <row r="4" spans="1:16">
      <c r="B4" s="253" t="s">
        <v>95</v>
      </c>
      <c r="C4" s="251"/>
      <c r="E4" s="1" t="s">
        <v>240</v>
      </c>
      <c r="G4" s="1" t="s">
        <v>241</v>
      </c>
      <c r="H4" s="1" t="s">
        <v>45</v>
      </c>
      <c r="I4" s="1" t="s">
        <v>45</v>
      </c>
      <c r="K4" s="1" t="s">
        <v>242</v>
      </c>
      <c r="L4" s="1" t="s">
        <v>242</v>
      </c>
      <c r="N4" s="1" t="s">
        <v>243</v>
      </c>
    </row>
    <row r="5" spans="1:16">
      <c r="A5" s="1" t="s">
        <v>244</v>
      </c>
      <c r="B5" s="1" t="s">
        <v>241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103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5"/>
  <cols>
    <col min="1" max="1" width="9.5703125" bestFit="1" customWidth="1"/>
    <col min="4" max="4" width="4" customWidth="1"/>
    <col min="8" max="8" width="11.42578125" bestFit="1" customWidth="1"/>
    <col min="9" max="9" width="13.85546875" bestFit="1" customWidth="1"/>
  </cols>
  <sheetData>
    <row r="1" spans="1:9">
      <c r="A1" t="s">
        <v>244</v>
      </c>
      <c r="B1" s="7" t="s">
        <v>247</v>
      </c>
      <c r="C1" s="7" t="s">
        <v>248</v>
      </c>
    </row>
    <row r="2" spans="1:9">
      <c r="A2" s="164">
        <v>43860</v>
      </c>
      <c r="B2">
        <v>5.0843903694797889E-2</v>
      </c>
      <c r="C2">
        <v>1.9800000000000002E-2</v>
      </c>
      <c r="E2" t="s">
        <v>249</v>
      </c>
      <c r="F2" t="s">
        <v>250</v>
      </c>
      <c r="G2" s="4" t="s">
        <v>81</v>
      </c>
      <c r="H2" t="s">
        <v>251</v>
      </c>
      <c r="I2" t="s">
        <v>252</v>
      </c>
    </row>
    <row r="3" spans="1:9">
      <c r="A3" s="164">
        <v>43890</v>
      </c>
      <c r="B3">
        <v>3.7895950238514511E-2</v>
      </c>
      <c r="C3">
        <v>3.6099999999999903E-2</v>
      </c>
      <c r="D3" s="163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60">
        <f>(G3^2*F3)/E3</f>
        <v>0.48954056310066146</v>
      </c>
      <c r="I3" s="160">
        <f>1-H3</f>
        <v>0.51045943689933848</v>
      </c>
    </row>
    <row r="4" spans="1:9">
      <c r="A4" s="164">
        <v>43919</v>
      </c>
      <c r="B4">
        <v>-3.2152122497598683E-2</v>
      </c>
      <c r="C4">
        <v>2E-3</v>
      </c>
      <c r="D4" s="163"/>
    </row>
    <row r="5" spans="1:9">
      <c r="A5" s="164">
        <v>43950</v>
      </c>
      <c r="B5">
        <v>-7.9307355781586278E-2</v>
      </c>
      <c r="C5">
        <v>1.14E-2</v>
      </c>
      <c r="D5" s="163"/>
    </row>
    <row r="6" spans="1:9">
      <c r="A6" s="164">
        <v>43980</v>
      </c>
      <c r="B6">
        <v>-3.7663882554005039E-2</v>
      </c>
      <c r="C6">
        <v>1.12E-2</v>
      </c>
      <c r="D6" s="163"/>
    </row>
    <row r="7" spans="1:9">
      <c r="A7" s="164">
        <v>44011</v>
      </c>
      <c r="B7">
        <v>8.4383313704003895E-3</v>
      </c>
      <c r="C7">
        <v>8.3999999999999995E-3</v>
      </c>
      <c r="D7" s="163"/>
    </row>
    <row r="8" spans="1:9">
      <c r="A8" s="164">
        <v>44041</v>
      </c>
      <c r="B8">
        <v>-5.7677310033791798E-2</v>
      </c>
      <c r="C8">
        <v>1.9400000000000001E-2</v>
      </c>
      <c r="D8" s="163"/>
    </row>
    <row r="9" spans="1:9">
      <c r="A9" s="164">
        <v>44072</v>
      </c>
      <c r="B9">
        <v>-1.250289387472992E-3</v>
      </c>
      <c r="C9">
        <v>2.5000000000000001E-3</v>
      </c>
      <c r="D9" s="163"/>
    </row>
    <row r="10" spans="1:9">
      <c r="A10" s="164">
        <v>44103</v>
      </c>
      <c r="B10">
        <v>1.5634894260993029E-2</v>
      </c>
      <c r="C10">
        <v>2.5999999999999999E-2</v>
      </c>
      <c r="D10" s="163"/>
    </row>
    <row r="11" spans="1:9">
      <c r="A11" s="164">
        <v>44133</v>
      </c>
      <c r="B11">
        <v>6.2851017703577816E-2</v>
      </c>
      <c r="C11">
        <v>2.3400000000000001E-2</v>
      </c>
      <c r="D11" s="163"/>
    </row>
    <row r="12" spans="1:9">
      <c r="A12" s="164">
        <v>44164</v>
      </c>
      <c r="B12">
        <v>8.1864131934943022E-3</v>
      </c>
      <c r="C12">
        <v>3.2000000000000001E-2</v>
      </c>
      <c r="D12" s="163"/>
    </row>
    <row r="13" spans="1:9">
      <c r="A13" s="164">
        <v>44194</v>
      </c>
      <c r="B13">
        <v>-2.1634586666526758E-3</v>
      </c>
      <c r="C13">
        <v>1.15E-2</v>
      </c>
      <c r="D13" s="163"/>
    </row>
    <row r="14" spans="1:9">
      <c r="A14" s="164">
        <v>44225</v>
      </c>
      <c r="B14">
        <v>6.7950355972360377E-2</v>
      </c>
      <c r="C14">
        <v>5.6899999999999999E-2</v>
      </c>
      <c r="D14" s="163"/>
    </row>
    <row r="15" spans="1:9">
      <c r="A15" s="164">
        <v>44255</v>
      </c>
      <c r="B15">
        <v>-4.0626472410250108E-2</v>
      </c>
      <c r="C15">
        <v>-3.5400000000000001E-2</v>
      </c>
      <c r="D15" s="163"/>
    </row>
    <row r="16" spans="1:9">
      <c r="A16" s="164">
        <v>44283</v>
      </c>
      <c r="B16">
        <v>-1.511755089332196E-2</v>
      </c>
      <c r="C16">
        <v>-2.23E-2</v>
      </c>
      <c r="D16" s="163"/>
    </row>
    <row r="17" spans="1:4">
      <c r="A17" s="164">
        <v>44314</v>
      </c>
      <c r="B17">
        <v>-5.6176209421377958E-2</v>
      </c>
      <c r="C17">
        <v>4.3E-3</v>
      </c>
      <c r="D17" s="163"/>
    </row>
    <row r="18" spans="1:4">
      <c r="A18" s="164">
        <v>44344</v>
      </c>
      <c r="B18">
        <v>-1.5911531162417541E-2</v>
      </c>
      <c r="C18">
        <v>2.7900000000000001E-2</v>
      </c>
      <c r="D18" s="163"/>
    </row>
    <row r="19" spans="1:4">
      <c r="A19" s="164">
        <v>44375</v>
      </c>
      <c r="B19">
        <v>-1.0600635052978501E-2</v>
      </c>
      <c r="C19">
        <v>6.1999999999999998E-3</v>
      </c>
      <c r="D19" s="163"/>
    </row>
    <row r="20" spans="1:4">
      <c r="A20" s="164">
        <v>44405</v>
      </c>
      <c r="B20">
        <v>3.8913394252502682E-2</v>
      </c>
      <c r="C20">
        <v>3.3499999999999898E-2</v>
      </c>
      <c r="D20" s="163"/>
    </row>
    <row r="21" spans="1:4">
      <c r="A21" s="164">
        <v>44436</v>
      </c>
      <c r="B21">
        <v>2.3196412840078791E-2</v>
      </c>
      <c r="C21">
        <v>3.5999999999999997E-2</v>
      </c>
      <c r="D21" s="163"/>
    </row>
    <row r="22" spans="1:4">
      <c r="A22" s="164">
        <v>44467</v>
      </c>
      <c r="B22">
        <v>3.1710989315308302E-2</v>
      </c>
      <c r="C22">
        <v>2.0999999999999999E-3</v>
      </c>
      <c r="D22" s="163"/>
    </row>
    <row r="23" spans="1:4">
      <c r="A23" s="164">
        <v>44497</v>
      </c>
      <c r="B23">
        <v>-0.2357214774062989</v>
      </c>
      <c r="C23">
        <v>-7.4899999999999994E-2</v>
      </c>
      <c r="D23" s="163"/>
    </row>
    <row r="24" spans="1:4">
      <c r="A24" s="164">
        <v>44528</v>
      </c>
      <c r="B24">
        <v>8.989623584892964E-2</v>
      </c>
      <c r="C24">
        <v>1.8699999999999901E-2</v>
      </c>
      <c r="D24" s="163"/>
    </row>
    <row r="25" spans="1:4">
      <c r="A25" s="164">
        <v>44558</v>
      </c>
      <c r="B25">
        <v>-8.6153304283064516E-2</v>
      </c>
      <c r="C25">
        <v>-9.3600000000000003E-2</v>
      </c>
      <c r="D25" s="163"/>
    </row>
    <row r="26" spans="1:4">
      <c r="A26" s="164">
        <v>44589</v>
      </c>
      <c r="B26">
        <v>0.18369298535781869</v>
      </c>
      <c r="C26">
        <v>8.6199999999999999E-2</v>
      </c>
      <c r="D26" s="163"/>
    </row>
    <row r="27" spans="1:4">
      <c r="A27" s="164">
        <v>44620</v>
      </c>
      <c r="B27">
        <v>4.0922642823122482E-2</v>
      </c>
      <c r="C27">
        <v>3.5799999999999998E-2</v>
      </c>
      <c r="D27" s="163"/>
    </row>
    <row r="28" spans="1:4">
      <c r="A28" s="164">
        <v>44648</v>
      </c>
      <c r="B28">
        <v>2.2579257390105401E-2</v>
      </c>
      <c r="C28">
        <v>1.29E-2</v>
      </c>
      <c r="D28" s="163"/>
    </row>
    <row r="29" spans="1:4">
      <c r="A29" s="164">
        <v>44679</v>
      </c>
      <c r="B29">
        <v>-6.2542798365952694E-3</v>
      </c>
      <c r="C29">
        <v>4.1699999999999897E-2</v>
      </c>
      <c r="D29" s="163"/>
    </row>
    <row r="30" spans="1:4">
      <c r="A30" s="164">
        <v>44709</v>
      </c>
      <c r="B30">
        <v>-8.5101151780856879E-2</v>
      </c>
      <c r="C30">
        <v>-6.7299999999999999E-2</v>
      </c>
      <c r="D30" s="163"/>
    </row>
    <row r="31" spans="1:4">
      <c r="A31" s="164">
        <v>44740</v>
      </c>
      <c r="B31">
        <v>8.7034053125332092E-2</v>
      </c>
      <c r="C31">
        <v>7.1099999999999997E-2</v>
      </c>
      <c r="D31" s="163"/>
    </row>
    <row r="32" spans="1:4">
      <c r="A32" s="164">
        <v>44770</v>
      </c>
      <c r="B32">
        <v>7.6017440324677707E-2</v>
      </c>
      <c r="C32">
        <v>1.38E-2</v>
      </c>
      <c r="D32" s="163"/>
    </row>
    <row r="33" spans="1:4">
      <c r="A33" s="164">
        <v>44801</v>
      </c>
      <c r="B33">
        <v>-7.6065421717074755E-2</v>
      </c>
      <c r="C33">
        <v>-2.4199999999999999E-2</v>
      </c>
      <c r="D33" s="163"/>
    </row>
    <row r="34" spans="1:4">
      <c r="A34" s="164">
        <v>44832</v>
      </c>
      <c r="B34">
        <v>7.2895892696218753E-2</v>
      </c>
      <c r="C34">
        <v>1.61E-2</v>
      </c>
      <c r="D34" s="163"/>
    </row>
    <row r="35" spans="1:4">
      <c r="A35" s="164">
        <v>44862</v>
      </c>
      <c r="B35">
        <v>-8.0268660519472818E-2</v>
      </c>
      <c r="C35">
        <v>2.2100000000000002E-2</v>
      </c>
      <c r="D35" s="163"/>
    </row>
    <row r="36" spans="1:4">
      <c r="A36" s="164">
        <v>44893</v>
      </c>
      <c r="B36">
        <v>1.8246479147417342E-2</v>
      </c>
      <c r="C36">
        <v>3.9899999999999998E-2</v>
      </c>
      <c r="D36" s="163"/>
    </row>
    <row r="37" spans="1:4">
      <c r="A37" s="164">
        <v>44923</v>
      </c>
      <c r="B37">
        <v>-1.7876956249486861E-3</v>
      </c>
      <c r="C37">
        <v>2.9100000000000001E-2</v>
      </c>
      <c r="D37" s="163"/>
    </row>
    <row r="38" spans="1:4">
      <c r="A38" s="164">
        <v>44954</v>
      </c>
      <c r="B38">
        <v>7.353837027289048E-2</v>
      </c>
      <c r="C38">
        <v>1.9999999999999901E-4</v>
      </c>
      <c r="D38" s="163"/>
    </row>
    <row r="39" spans="1:4">
      <c r="A39" s="164">
        <v>44985</v>
      </c>
      <c r="B39">
        <v>-8.4428787635322008E-2</v>
      </c>
      <c r="C39">
        <v>-8.0100000000000005E-2</v>
      </c>
      <c r="D39" s="163"/>
    </row>
    <row r="40" spans="1:4">
      <c r="A40" s="164">
        <v>45013</v>
      </c>
      <c r="B40">
        <v>-0.14778281211724181</v>
      </c>
      <c r="C40">
        <v>-0.1326</v>
      </c>
      <c r="D40" s="163"/>
    </row>
    <row r="41" spans="1:4">
      <c r="A41" s="164">
        <v>45044</v>
      </c>
      <c r="B41">
        <v>0.13155101120000551</v>
      </c>
      <c r="C41">
        <v>0.13650000000000001</v>
      </c>
      <c r="D41" s="163"/>
    </row>
    <row r="42" spans="1:4">
      <c r="A42" s="164">
        <v>45074</v>
      </c>
      <c r="B42">
        <v>6.8144793969852737E-3</v>
      </c>
      <c r="C42">
        <v>5.5899999999999998E-2</v>
      </c>
      <c r="D42" s="163"/>
    </row>
    <row r="43" spans="1:4">
      <c r="A43" s="164">
        <v>45105</v>
      </c>
      <c r="B43">
        <v>-3.1714980993078012E-2</v>
      </c>
      <c r="C43">
        <v>2.47E-2</v>
      </c>
      <c r="D43" s="163"/>
    </row>
    <row r="44" spans="1:4">
      <c r="A44" s="164">
        <v>45135</v>
      </c>
      <c r="B44">
        <v>1.7035732531146749E-2</v>
      </c>
      <c r="C44">
        <v>5.7799999999999997E-2</v>
      </c>
      <c r="D44" s="163"/>
    </row>
    <row r="45" spans="1:4">
      <c r="A45" s="164">
        <v>45166</v>
      </c>
      <c r="B45">
        <v>1.7656448853695831E-2</v>
      </c>
      <c r="C45">
        <v>7.6399999999999996E-2</v>
      </c>
      <c r="D45" s="163"/>
    </row>
    <row r="46" spans="1:4">
      <c r="A46" s="164">
        <v>45197</v>
      </c>
      <c r="B46">
        <v>-1.2869741154377159E-2</v>
      </c>
      <c r="C46">
        <v>-3.6199999999999899E-2</v>
      </c>
      <c r="D46" s="163"/>
    </row>
    <row r="47" spans="1:4">
      <c r="A47" s="164">
        <v>45227</v>
      </c>
      <c r="B47">
        <v>-8.1299130349501675E-2</v>
      </c>
      <c r="C47">
        <v>-2.0899999999999998E-2</v>
      </c>
      <c r="D47" s="163"/>
    </row>
    <row r="48" spans="1:4">
      <c r="A48" s="164">
        <v>45258</v>
      </c>
      <c r="B48">
        <v>0.1223153204810587</v>
      </c>
      <c r="C48">
        <v>0.12479999999999999</v>
      </c>
      <c r="D48" s="163"/>
    </row>
    <row r="49" spans="1:4">
      <c r="A49" s="164">
        <v>45288</v>
      </c>
      <c r="B49">
        <v>1.7501782408830529E-2</v>
      </c>
      <c r="C49">
        <v>4.6399999999999997E-2</v>
      </c>
      <c r="D49" s="163"/>
    </row>
    <row r="50" spans="1:4">
      <c r="A50" s="164">
        <v>45319</v>
      </c>
      <c r="B50">
        <v>-5.4897313557708612E-2</v>
      </c>
      <c r="C50">
        <v>-2.9999999999999997E-4</v>
      </c>
      <c r="D50" s="163"/>
    </row>
    <row r="51" spans="1:4">
      <c r="A51" s="164">
        <v>45350</v>
      </c>
      <c r="B51">
        <v>1.1996391966177539E-2</v>
      </c>
      <c r="C51">
        <v>2.7799999999999998E-2</v>
      </c>
      <c r="D51" s="163"/>
    </row>
    <row r="52" spans="1:4">
      <c r="A52" s="164">
        <v>45379</v>
      </c>
      <c r="B52">
        <v>0.1203781510755961</v>
      </c>
      <c r="C52">
        <v>3.0800000000000001E-2</v>
      </c>
      <c r="D52" s="163"/>
    </row>
    <row r="53" spans="1:4">
      <c r="A53" s="164">
        <v>45410</v>
      </c>
      <c r="B53">
        <v>6.4112003736934015E-2</v>
      </c>
      <c r="C53">
        <v>4.9299999999999997E-2</v>
      </c>
      <c r="D53" s="163"/>
    </row>
    <row r="54" spans="1:4">
      <c r="A54" s="164">
        <v>45440</v>
      </c>
      <c r="B54">
        <v>2.406050237626231E-2</v>
      </c>
      <c r="C54">
        <v>2.8999999999999998E-3</v>
      </c>
      <c r="D54" s="163"/>
    </row>
    <row r="55" spans="1:4">
      <c r="A55" s="164">
        <v>45471</v>
      </c>
      <c r="B55">
        <v>1.974072745087279E-2</v>
      </c>
      <c r="C55">
        <v>2.75E-2</v>
      </c>
      <c r="D55" s="163"/>
    </row>
    <row r="56" spans="1:4">
      <c r="A56" s="164">
        <v>45501</v>
      </c>
      <c r="B56">
        <v>-3.9441009904520902E-2</v>
      </c>
      <c r="C56">
        <v>1.2699999999999999E-2</v>
      </c>
      <c r="D56" s="163"/>
    </row>
    <row r="57" spans="1:4">
      <c r="A57" s="164">
        <v>45532</v>
      </c>
      <c r="B57">
        <v>7.7179265708166639E-3</v>
      </c>
      <c r="C57">
        <v>2.8999999999999901E-2</v>
      </c>
      <c r="D57" s="163"/>
    </row>
    <row r="58" spans="1:4">
      <c r="A58" s="164">
        <v>45563</v>
      </c>
      <c r="B58">
        <v>-9.9484856940726708E-3</v>
      </c>
      <c r="C58">
        <v>-4.3700000000000003E-2</v>
      </c>
      <c r="D58" s="163"/>
    </row>
    <row r="59" spans="1:4">
      <c r="A59" s="164">
        <v>45593</v>
      </c>
      <c r="B59">
        <v>-9.7863096962537852E-2</v>
      </c>
      <c r="C59">
        <v>6.6500000000000004E-2</v>
      </c>
      <c r="D59" s="163"/>
    </row>
    <row r="60" spans="1:4">
      <c r="A60" s="164">
        <v>45624</v>
      </c>
      <c r="B60">
        <v>-8.7905842258344281E-3</v>
      </c>
      <c r="C60">
        <v>-1.55E-2</v>
      </c>
      <c r="D60" s="163"/>
    </row>
    <row r="61" spans="1:4">
      <c r="A61" s="164">
        <v>45654</v>
      </c>
      <c r="B61">
        <v>4.2824211999999999E-3</v>
      </c>
      <c r="C61" s="40">
        <v>2.3157238530000001E-3</v>
      </c>
      <c r="D61" s="16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40625" defaultRowHeight="15"/>
  <cols>
    <col min="2" max="2" width="9.85546875" bestFit="1" customWidth="1"/>
    <col min="3" max="3" width="9.5703125" customWidth="1"/>
    <col min="4" max="4" width="9.85546875" bestFit="1" customWidth="1"/>
    <col min="11" max="11" width="12.5703125" bestFit="1" customWidth="1"/>
  </cols>
  <sheetData>
    <row r="1" spans="1:10">
      <c r="B1" s="253" t="s">
        <v>226</v>
      </c>
      <c r="C1" s="251"/>
      <c r="D1" s="251"/>
    </row>
    <row r="2" spans="1:10">
      <c r="B2" s="1" t="s">
        <v>216</v>
      </c>
      <c r="C2" s="1" t="s">
        <v>217</v>
      </c>
      <c r="D2" s="1" t="s">
        <v>639</v>
      </c>
    </row>
    <row r="3" spans="1:10">
      <c r="B3">
        <v>0.15</v>
      </c>
      <c r="C3">
        <v>0.26</v>
      </c>
      <c r="D3">
        <v>0.04</v>
      </c>
    </row>
    <row r="5" spans="1:10">
      <c r="B5" s="253" t="s">
        <v>191</v>
      </c>
      <c r="C5" s="251"/>
      <c r="D5" s="251"/>
    </row>
    <row r="6" spans="1:10">
      <c r="F6" s="253"/>
      <c r="G6" s="251"/>
      <c r="H6" s="251"/>
    </row>
    <row r="7" spans="1:10">
      <c r="B7" s="1" t="s">
        <v>216</v>
      </c>
      <c r="C7" s="1" t="s">
        <v>217</v>
      </c>
      <c r="D7" s="1" t="s">
        <v>639</v>
      </c>
      <c r="F7" s="1"/>
      <c r="G7" s="1"/>
      <c r="H7" s="1"/>
    </row>
    <row r="8" spans="1:10">
      <c r="A8" s="1" t="s">
        <v>216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217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639</v>
      </c>
      <c r="B10">
        <v>-1.1039999999999999E-2</v>
      </c>
      <c r="C10">
        <v>-8.9999999999999993E-3</v>
      </c>
      <c r="D10">
        <v>0.09</v>
      </c>
    </row>
    <row r="13" spans="1:10">
      <c r="B13" s="253" t="s">
        <v>230</v>
      </c>
      <c r="C13" s="251"/>
      <c r="D13" s="251"/>
      <c r="H13" s="253" t="s">
        <v>231</v>
      </c>
      <c r="I13" s="251"/>
      <c r="J13" s="251"/>
    </row>
    <row r="14" spans="1:10">
      <c r="B14" s="250" t="s">
        <v>232</v>
      </c>
      <c r="C14" s="251"/>
      <c r="D14" s="251"/>
      <c r="H14" s="250" t="s">
        <v>232</v>
      </c>
      <c r="I14" s="251"/>
      <c r="J14" s="251"/>
    </row>
    <row r="15" spans="1:10">
      <c r="B15" s="1" t="s">
        <v>216</v>
      </c>
      <c r="C15" s="1" t="s">
        <v>217</v>
      </c>
      <c r="D15" s="1" t="s">
        <v>639</v>
      </c>
      <c r="F15" s="1"/>
      <c r="H15" s="1" t="s">
        <v>216</v>
      </c>
      <c r="I15" s="1" t="s">
        <v>217</v>
      </c>
      <c r="J15" s="1" t="s">
        <v>639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233</v>
      </c>
      <c r="C18" t="s">
        <v>234</v>
      </c>
      <c r="D18" t="s">
        <v>37</v>
      </c>
      <c r="E18" t="s">
        <v>235</v>
      </c>
      <c r="H18" t="s">
        <v>233</v>
      </c>
      <c r="I18" t="s">
        <v>234</v>
      </c>
      <c r="J18" t="s">
        <v>37</v>
      </c>
      <c r="K18" t="s">
        <v>235</v>
      </c>
    </row>
    <row r="19" spans="1:13">
      <c r="A19" s="1" t="s">
        <v>216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216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223</v>
      </c>
    </row>
    <row r="20" spans="1:13">
      <c r="A20" s="1" t="s">
        <v>217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217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639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639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236</v>
      </c>
      <c r="B23">
        <f>SUMPRODUCT(MMULT(B16:D16,B8:D10),B16:D16)</f>
        <v>1.4152000000000001E-2</v>
      </c>
      <c r="G23" t="s">
        <v>236</v>
      </c>
      <c r="H23">
        <f>SUMPRODUCT(MMULT(H16:J16,B8:D10),H16:J16)</f>
        <v>1.8505869967445267E-2</v>
      </c>
    </row>
    <row r="24" spans="1:13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3">
      <c r="A25" t="s">
        <v>203</v>
      </c>
      <c r="B25">
        <f>(B24-0.01)/SQRT(B23)</f>
        <v>1.2693109813750256</v>
      </c>
      <c r="G25" t="s">
        <v>203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5"/>
  <cols>
    <col min="5" max="5" width="3.8554687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5.85546875" customWidth="1"/>
    <col min="12" max="12" width="12.85546875" bestFit="1" customWidth="1"/>
    <col min="15" max="15" width="13.42578125" bestFit="1" customWidth="1"/>
    <col min="16" max="16" width="12.5703125" customWidth="1"/>
    <col min="17" max="17" width="11.140625" customWidth="1"/>
    <col min="18" max="18" width="12.8554687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53" t="s">
        <v>95</v>
      </c>
      <c r="C3" s="251"/>
      <c r="F3" s="253" t="s">
        <v>94</v>
      </c>
      <c r="G3" s="251"/>
    </row>
    <row r="4" spans="1:18">
      <c r="A4" t="s">
        <v>77</v>
      </c>
      <c r="B4" s="49" t="s">
        <v>96</v>
      </c>
      <c r="C4" s="49" t="s">
        <v>97</v>
      </c>
      <c r="D4" s="1" t="s">
        <v>98</v>
      </c>
      <c r="F4" s="49" t="s">
        <v>96</v>
      </c>
      <c r="G4" s="49" t="s">
        <v>97</v>
      </c>
    </row>
    <row r="5" spans="1:18">
      <c r="A5" t="s">
        <v>99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163</v>
      </c>
    </row>
    <row r="6" spans="1:18" ht="15.75" customHeight="1" thickBot="1">
      <c r="A6" t="s">
        <v>102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105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164</v>
      </c>
      <c r="K7" s="23"/>
    </row>
    <row r="8" spans="1:18">
      <c r="A8" t="s">
        <v>106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165</v>
      </c>
      <c r="K8">
        <v>0.699141442456367</v>
      </c>
    </row>
    <row r="9" spans="1:18">
      <c r="A9" t="s">
        <v>107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166</v>
      </c>
      <c r="K9">
        <v>0.48879875655996952</v>
      </c>
    </row>
    <row r="10" spans="1:18">
      <c r="A10" t="s">
        <v>108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167</v>
      </c>
      <c r="K10">
        <v>0.47983031369260049</v>
      </c>
    </row>
    <row r="11" spans="1:18">
      <c r="A11" t="s">
        <v>109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168</v>
      </c>
      <c r="K11">
        <v>5.082403213542204E-2</v>
      </c>
    </row>
    <row r="12" spans="1:18" ht="15.75" customHeight="1" thickBot="1">
      <c r="A12" t="s">
        <v>110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169</v>
      </c>
      <c r="K12" s="21">
        <v>59</v>
      </c>
    </row>
    <row r="13" spans="1:18">
      <c r="A13" t="s">
        <v>111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112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170</v>
      </c>
    </row>
    <row r="15" spans="1:18">
      <c r="A15" t="s">
        <v>113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171</v>
      </c>
      <c r="L15" s="22" t="s">
        <v>172</v>
      </c>
      <c r="M15" s="22" t="s">
        <v>173</v>
      </c>
      <c r="N15" s="22" t="s">
        <v>174</v>
      </c>
      <c r="O15" s="22" t="s">
        <v>175</v>
      </c>
    </row>
    <row r="16" spans="1:18">
      <c r="A16" t="s">
        <v>114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176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115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177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116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20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117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118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178</v>
      </c>
      <c r="L20" s="22" t="s">
        <v>168</v>
      </c>
      <c r="M20" s="22" t="s">
        <v>179</v>
      </c>
      <c r="N20" s="22" t="s">
        <v>180</v>
      </c>
      <c r="O20" s="22" t="s">
        <v>181</v>
      </c>
      <c r="P20" s="22" t="s">
        <v>182</v>
      </c>
      <c r="Q20" s="24"/>
      <c r="R20" s="24"/>
    </row>
    <row r="21" spans="1:18">
      <c r="A21" t="s">
        <v>119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183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120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184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121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122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123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124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125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126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127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128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129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130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131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132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133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134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135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136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137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138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139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140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141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142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143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144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145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146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147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148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149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150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151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152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153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154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155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156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157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158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159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160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161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5"/>
  <cols>
    <col min="1" max="1" width="8.42578125" bestFit="1" customWidth="1"/>
    <col min="2" max="2" width="12.42578125" bestFit="1" customWidth="1"/>
    <col min="3" max="3" width="11.5703125" bestFit="1" customWidth="1"/>
    <col min="5" max="5" width="12.5703125" bestFit="1" customWidth="1"/>
    <col min="6" max="6" width="9.5703125" bestFit="1" customWidth="1"/>
  </cols>
  <sheetData>
    <row r="3" spans="1:5">
      <c r="B3" s="253" t="s">
        <v>537</v>
      </c>
      <c r="C3" s="253"/>
    </row>
    <row r="4" spans="1:5">
      <c r="B4" s="3" t="s">
        <v>533</v>
      </c>
      <c r="C4" s="3" t="s">
        <v>534</v>
      </c>
      <c r="D4" s="1" t="s">
        <v>543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53" t="s">
        <v>538</v>
      </c>
      <c r="C8" s="253"/>
      <c r="D8" s="253"/>
      <c r="E8" s="253"/>
    </row>
    <row r="9" spans="1:5">
      <c r="B9" s="3" t="s">
        <v>544</v>
      </c>
      <c r="C9" s="3" t="s">
        <v>491</v>
      </c>
      <c r="D9" s="3" t="s">
        <v>222</v>
      </c>
      <c r="E9" s="1" t="s">
        <v>541</v>
      </c>
    </row>
    <row r="10" spans="1:5">
      <c r="A10" s="1" t="s">
        <v>535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536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193</v>
      </c>
      <c r="B13">
        <v>0.02</v>
      </c>
    </row>
    <row r="15" spans="1:5">
      <c r="B15" s="253" t="s">
        <v>191</v>
      </c>
      <c r="C15" s="253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53" t="s">
        <v>37</v>
      </c>
      <c r="C19" s="253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254</v>
      </c>
    </row>
    <row r="25" spans="2:6">
      <c r="B25" s="253" t="s">
        <v>19</v>
      </c>
      <c r="C25" s="253"/>
    </row>
    <row r="26" spans="2:6">
      <c r="B26" s="3" t="s">
        <v>8</v>
      </c>
      <c r="C26" s="3" t="s">
        <v>9</v>
      </c>
      <c r="D26" s="1" t="s">
        <v>37</v>
      </c>
      <c r="E26" s="1" t="s">
        <v>261</v>
      </c>
      <c r="F26" s="1" t="s">
        <v>203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539</v>
      </c>
    </row>
    <row r="30" spans="2:6">
      <c r="B30" s="253" t="s">
        <v>19</v>
      </c>
      <c r="C30" s="253"/>
    </row>
    <row r="31" spans="2:6">
      <c r="B31" s="3" t="s">
        <v>8</v>
      </c>
      <c r="C31" s="3" t="s">
        <v>9</v>
      </c>
      <c r="D31" s="1" t="s">
        <v>540</v>
      </c>
      <c r="E31" s="1" t="s">
        <v>261</v>
      </c>
      <c r="F31" s="1" t="s">
        <v>542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5"/>
  <cols>
    <col min="1" max="1" width="10.42578125" customWidth="1"/>
    <col min="4" max="4" width="3.5703125" customWidth="1"/>
    <col min="5" max="5" width="8.42578125" customWidth="1"/>
    <col min="6" max="6" width="9.5703125" bestFit="1" customWidth="1"/>
    <col min="11" max="11" width="2" customWidth="1"/>
    <col min="12" max="12" width="21.42578125" bestFit="1" customWidth="1"/>
    <col min="13" max="13" width="4.42578125" customWidth="1"/>
    <col min="14" max="14" width="19.85546875" bestFit="1" customWidth="1"/>
    <col min="15" max="15" width="3.42578125" customWidth="1"/>
    <col min="17" max="17" width="12" bestFit="1" customWidth="1"/>
    <col min="19" max="19" width="11.42578125" bestFit="1" customWidth="1"/>
    <col min="20" max="20" width="12.85546875" bestFit="1" customWidth="1"/>
    <col min="21" max="21" width="14.5703125" bestFit="1" customWidth="1"/>
    <col min="22" max="22" width="11.42578125" bestFit="1" customWidth="1"/>
    <col min="23" max="23" width="10.5703125" bestFit="1" customWidth="1"/>
    <col min="24" max="24" width="12.85546875" bestFit="1" customWidth="1"/>
    <col min="25" max="25" width="12.140625" bestFit="1" customWidth="1"/>
  </cols>
  <sheetData>
    <row r="1" spans="1:27">
      <c r="L1" s="3"/>
      <c r="N1" s="258" t="s">
        <v>94</v>
      </c>
      <c r="O1" s="251"/>
      <c r="P1" s="251"/>
      <c r="Q1" s="251"/>
    </row>
    <row r="2" spans="1:27" ht="15" customHeight="1">
      <c r="B2" s="4" t="s">
        <v>8</v>
      </c>
      <c r="C2" s="4" t="s">
        <v>9</v>
      </c>
      <c r="D2" s="4"/>
      <c r="L2" s="3" t="s">
        <v>255</v>
      </c>
      <c r="N2" s="4" t="s">
        <v>255</v>
      </c>
      <c r="O2" s="4"/>
      <c r="P2" s="4" t="s">
        <v>8</v>
      </c>
      <c r="Q2" s="4" t="s">
        <v>9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191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9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50" t="s">
        <v>256</v>
      </c>
      <c r="U6" s="251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98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257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571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258</v>
      </c>
      <c r="F11" s="1" t="s">
        <v>545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259</v>
      </c>
      <c r="F12" t="s">
        <v>260</v>
      </c>
      <c r="G12" t="s">
        <v>37</v>
      </c>
      <c r="H12" t="s">
        <v>54</v>
      </c>
      <c r="I12" t="s">
        <v>261</v>
      </c>
      <c r="J12" t="s">
        <v>203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5"/>
  <cols>
    <col min="1" max="1" width="12" customWidth="1"/>
    <col min="2" max="2" width="11.140625" style="3" bestFit="1" customWidth="1"/>
    <col min="3" max="3" width="17.5703125" customWidth="1"/>
    <col min="4" max="5" width="13.5703125" bestFit="1" customWidth="1"/>
    <col min="6" max="6" width="10.42578125" customWidth="1"/>
    <col min="8" max="8" width="12.42578125" bestFit="1" customWidth="1"/>
  </cols>
  <sheetData>
    <row r="2" spans="1:8">
      <c r="D2" s="253" t="s">
        <v>478</v>
      </c>
      <c r="E2" s="253"/>
      <c r="F2" s="253"/>
    </row>
    <row r="3" spans="1:8">
      <c r="D3" s="3">
        <v>1</v>
      </c>
      <c r="E3" s="3">
        <v>2</v>
      </c>
      <c r="H3" s="1" t="s">
        <v>246</v>
      </c>
    </row>
    <row r="4" spans="1:8">
      <c r="A4" s="1" t="s">
        <v>551</v>
      </c>
      <c r="B4" s="3" t="s">
        <v>548</v>
      </c>
      <c r="C4" s="1" t="s">
        <v>549</v>
      </c>
      <c r="D4" s="1" t="s">
        <v>547</v>
      </c>
      <c r="E4" s="1" t="s">
        <v>215</v>
      </c>
      <c r="F4" s="1" t="s">
        <v>550</v>
      </c>
      <c r="H4" s="1"/>
    </row>
    <row r="5" spans="1:8">
      <c r="A5" s="171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71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71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71" t="s">
        <v>467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70"/>
      <c r="D12" s="1" t="s">
        <v>478</v>
      </c>
      <c r="E12" s="1" t="s">
        <v>546</v>
      </c>
      <c r="F12" s="1" t="s">
        <v>555</v>
      </c>
    </row>
    <row r="13" spans="1:8">
      <c r="D13" s="1" t="s">
        <v>248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467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552</v>
      </c>
      <c r="G21" s="1" t="s">
        <v>553</v>
      </c>
      <c r="H21" s="1" t="s">
        <v>550</v>
      </c>
      <c r="I21" s="1" t="s">
        <v>262</v>
      </c>
    </row>
    <row r="22" spans="3:9">
      <c r="C22" s="3" t="s">
        <v>554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556</v>
      </c>
      <c r="D23">
        <f>H22+I22</f>
        <v>4.9313333333333341E-2</v>
      </c>
    </row>
    <row r="24" spans="3:9">
      <c r="C24" s="1" t="s">
        <v>557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5"/>
  <sheetData>
    <row r="1" spans="1:2">
      <c r="A1" t="s">
        <v>568</v>
      </c>
      <c r="B1" t="s">
        <v>569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5"/>
  <cols>
    <col min="2" max="2" width="11.42578125" customWidth="1"/>
    <col min="5" max="5" width="12.42578125" bestFit="1" customWidth="1"/>
    <col min="8" max="8" width="11.8554687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244</v>
      </c>
      <c r="B2" s="1" t="s">
        <v>570</v>
      </c>
      <c r="C2" s="1" t="s">
        <v>558</v>
      </c>
      <c r="D2" s="1" t="s">
        <v>559</v>
      </c>
      <c r="E2" s="1" t="s">
        <v>560</v>
      </c>
      <c r="F2" s="1"/>
      <c r="O2" s="1" t="s">
        <v>566</v>
      </c>
    </row>
    <row r="3" spans="1:15">
      <c r="A3" s="164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191</v>
      </c>
      <c r="O3">
        <f>SUMPRODUCT(B3:D3,$H$15:$J$15)+0.003</f>
        <v>2.6149486668811433E-2</v>
      </c>
    </row>
    <row r="4" spans="1:15">
      <c r="A4" s="164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4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4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4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4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2.0906493574165347E-3</v>
      </c>
    </row>
    <row r="9" spans="1:15">
      <c r="A9" s="164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570</v>
      </c>
      <c r="I9" t="s">
        <v>564</v>
      </c>
      <c r="J9" t="s">
        <v>565</v>
      </c>
      <c r="K9" t="s">
        <v>193</v>
      </c>
      <c r="O9">
        <f t="shared" si="0"/>
        <v>7.6995936473643972E-2</v>
      </c>
    </row>
    <row r="10" spans="1:15">
      <c r="A10" s="164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4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4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254</v>
      </c>
      <c r="O12">
        <f t="shared" si="0"/>
        <v>-5.6471421243713307E-2</v>
      </c>
    </row>
    <row r="13" spans="1:15">
      <c r="A13" s="164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4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561</v>
      </c>
      <c r="I14" t="s">
        <v>562</v>
      </c>
      <c r="J14" t="s">
        <v>563</v>
      </c>
      <c r="K14" t="s">
        <v>222</v>
      </c>
      <c r="L14" t="s">
        <v>261</v>
      </c>
      <c r="M14" t="s">
        <v>203</v>
      </c>
      <c r="O14">
        <f t="shared" si="0"/>
        <v>6.2467289793668758E-3</v>
      </c>
    </row>
    <row r="15" spans="1:15">
      <c r="A15" s="164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4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4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4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4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4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4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4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4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4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4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4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4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4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4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4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4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4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4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4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4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4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4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4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4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4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4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4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4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4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4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4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4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4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4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4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4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4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4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4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4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4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4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4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4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4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4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4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5"/>
  <cols>
    <col min="2" max="2" width="10.85546875" bestFit="1" customWidth="1"/>
  </cols>
  <sheetData>
    <row r="1" spans="1:14">
      <c r="I1" t="s">
        <v>191</v>
      </c>
    </row>
    <row r="2" spans="1:14">
      <c r="B2" t="s">
        <v>581</v>
      </c>
      <c r="C2" t="s">
        <v>572</v>
      </c>
      <c r="D2" t="s">
        <v>573</v>
      </c>
      <c r="E2" t="s">
        <v>574</v>
      </c>
      <c r="F2" t="s">
        <v>575</v>
      </c>
      <c r="G2" t="s">
        <v>582</v>
      </c>
      <c r="J2" t="s">
        <v>576</v>
      </c>
      <c r="K2" t="s">
        <v>572</v>
      </c>
      <c r="L2" t="s">
        <v>573</v>
      </c>
      <c r="M2" t="s">
        <v>574</v>
      </c>
      <c r="N2" t="s">
        <v>575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576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572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573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574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575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577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581</v>
      </c>
      <c r="K10" t="s">
        <v>572</v>
      </c>
      <c r="L10" t="s">
        <v>573</v>
      </c>
      <c r="M10" t="s">
        <v>574</v>
      </c>
      <c r="N10" t="s">
        <v>575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578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576</v>
      </c>
      <c r="K14" t="s">
        <v>572</v>
      </c>
      <c r="L14" t="s">
        <v>573</v>
      </c>
      <c r="M14" t="s">
        <v>574</v>
      </c>
      <c r="N14" t="s">
        <v>575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579</v>
      </c>
      <c r="K17" t="s">
        <v>263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222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54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580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203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576</v>
      </c>
      <c r="K23" t="s">
        <v>263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222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76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203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5"/>
  <sheetData>
    <row r="1" spans="1:2">
      <c r="A1" t="s">
        <v>568</v>
      </c>
      <c r="B1" t="s">
        <v>567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5"/>
  <cols>
    <col min="1" max="1" width="17" bestFit="1" customWidth="1"/>
    <col min="2" max="2" width="6.5703125" customWidth="1"/>
    <col min="3" max="3" width="18.85546875" bestFit="1" customWidth="1"/>
    <col min="4" max="4" width="11.42578125" customWidth="1"/>
    <col min="5" max="5" width="12.140625" bestFit="1" customWidth="1"/>
    <col min="6" max="6" width="3.42578125" customWidth="1"/>
    <col min="8" max="8" width="9.140625" customWidth="1"/>
    <col min="9" max="9" width="12.42578125" bestFit="1" customWidth="1"/>
  </cols>
  <sheetData>
    <row r="2" spans="1:8" ht="15.75" thickBot="1">
      <c r="A2" s="21"/>
      <c r="B2" s="21"/>
      <c r="C2" s="21"/>
      <c r="D2" s="21"/>
      <c r="E2" s="21"/>
      <c r="F2" s="21"/>
      <c r="G2" s="21"/>
      <c r="H2" s="21"/>
    </row>
    <row r="3" spans="1:8" ht="15.75" thickBot="1">
      <c r="A3" s="181" t="s">
        <v>244</v>
      </c>
      <c r="B3" s="181" t="s">
        <v>593</v>
      </c>
      <c r="C3" s="181" t="s">
        <v>583</v>
      </c>
      <c r="D3" s="181" t="s">
        <v>584</v>
      </c>
      <c r="E3" s="181" t="s">
        <v>585</v>
      </c>
      <c r="F3" s="181"/>
      <c r="G3" s="182" t="s">
        <v>586</v>
      </c>
      <c r="H3" s="182" t="s">
        <v>587</v>
      </c>
    </row>
    <row r="4" spans="1:8">
      <c r="A4" s="173">
        <v>42825</v>
      </c>
      <c r="B4" s="186" t="s">
        <v>591</v>
      </c>
      <c r="C4" s="174">
        <v>-400</v>
      </c>
      <c r="D4" s="175">
        <f>-C4</f>
        <v>400</v>
      </c>
      <c r="E4" s="14">
        <v>1</v>
      </c>
      <c r="F4" s="173"/>
      <c r="G4">
        <f>C4/E4</f>
        <v>-400</v>
      </c>
    </row>
    <row r="5" spans="1:8">
      <c r="A5" s="173">
        <v>43465</v>
      </c>
      <c r="B5" s="186" t="s">
        <v>591</v>
      </c>
      <c r="C5" s="175">
        <v>-200</v>
      </c>
      <c r="D5" s="174">
        <f t="shared" ref="D5:D12" si="0">D4-C5</f>
        <v>600</v>
      </c>
      <c r="E5" s="14">
        <v>1.0995279490227576</v>
      </c>
      <c r="F5" s="173"/>
      <c r="G5">
        <f t="shared" ref="G5:G15" si="1">C5/E5</f>
        <v>-181.8962402708878</v>
      </c>
    </row>
    <row r="6" spans="1:8">
      <c r="A6" s="173">
        <v>43862</v>
      </c>
      <c r="B6" s="186" t="s">
        <v>591</v>
      </c>
      <c r="C6" s="175">
        <v>-300</v>
      </c>
      <c r="D6" s="174">
        <f t="shared" si="0"/>
        <v>900</v>
      </c>
      <c r="E6" s="14">
        <v>1.3276419532541912</v>
      </c>
      <c r="F6" s="173"/>
      <c r="G6">
        <f t="shared" si="1"/>
        <v>-225.9645375507065</v>
      </c>
    </row>
    <row r="7" spans="1:8">
      <c r="A7" s="173">
        <v>44012</v>
      </c>
      <c r="B7" s="186" t="s">
        <v>591</v>
      </c>
      <c r="C7" s="175">
        <v>-400</v>
      </c>
      <c r="D7" s="175">
        <f t="shared" si="0"/>
        <v>1300</v>
      </c>
      <c r="E7" s="14">
        <v>1.4068994625314917</v>
      </c>
      <c r="F7" s="173"/>
      <c r="G7">
        <f t="shared" si="1"/>
        <v>-284.31313725876595</v>
      </c>
    </row>
    <row r="8" spans="1:8">
      <c r="A8" s="173">
        <v>44165</v>
      </c>
      <c r="B8" s="186" t="s">
        <v>591</v>
      </c>
      <c r="C8" s="175">
        <v>-500</v>
      </c>
      <c r="D8" s="174">
        <f t="shared" si="0"/>
        <v>1800</v>
      </c>
      <c r="E8" s="14">
        <v>1.65613685062501</v>
      </c>
      <c r="F8" s="173"/>
      <c r="G8">
        <f t="shared" si="1"/>
        <v>-301.90741774226257</v>
      </c>
    </row>
    <row r="9" spans="1:8">
      <c r="A9" s="173">
        <v>44227</v>
      </c>
      <c r="B9" s="186" t="s">
        <v>591</v>
      </c>
      <c r="C9" s="175">
        <v>-100</v>
      </c>
      <c r="D9" s="174">
        <f t="shared" si="0"/>
        <v>1900</v>
      </c>
      <c r="E9" s="14">
        <v>1.707646204692111</v>
      </c>
      <c r="F9" s="173"/>
      <c r="G9">
        <f t="shared" si="1"/>
        <v>-58.560139521423892</v>
      </c>
    </row>
    <row r="10" spans="1:8">
      <c r="A10" s="173">
        <v>44651</v>
      </c>
      <c r="B10" s="186" t="s">
        <v>591</v>
      </c>
      <c r="C10" s="175">
        <v>-600</v>
      </c>
      <c r="D10" s="174">
        <f t="shared" si="0"/>
        <v>2500</v>
      </c>
      <c r="E10" s="14">
        <v>2.1161960835838807</v>
      </c>
      <c r="F10" s="173"/>
      <c r="G10">
        <f t="shared" si="1"/>
        <v>-283.52760155565119</v>
      </c>
      <c r="H10" s="172"/>
    </row>
    <row r="11" spans="1:8">
      <c r="A11" s="173">
        <v>44742</v>
      </c>
      <c r="B11" s="186" t="s">
        <v>591</v>
      </c>
      <c r="C11" s="175">
        <v>-100</v>
      </c>
      <c r="D11" s="174">
        <f t="shared" si="0"/>
        <v>2600</v>
      </c>
      <c r="E11" s="14">
        <v>1.7738107116633894</v>
      </c>
      <c r="F11" s="173"/>
      <c r="G11">
        <f t="shared" si="1"/>
        <v>-56.375801173409926</v>
      </c>
    </row>
    <row r="12" spans="1:8">
      <c r="A12" s="173">
        <v>45046</v>
      </c>
      <c r="B12" s="186" t="s">
        <v>591</v>
      </c>
      <c r="C12" s="175">
        <v>-200</v>
      </c>
      <c r="D12" s="174">
        <f t="shared" si="0"/>
        <v>2800</v>
      </c>
      <c r="E12" s="14">
        <v>1.9818286355377743</v>
      </c>
      <c r="F12" s="173"/>
      <c r="G12">
        <f t="shared" si="1"/>
        <v>-100.91689887492693</v>
      </c>
    </row>
    <row r="13" spans="1:8">
      <c r="A13" s="176">
        <v>45138</v>
      </c>
      <c r="B13" s="187" t="s">
        <v>592</v>
      </c>
      <c r="C13" s="177">
        <v>700</v>
      </c>
      <c r="D13" s="175"/>
      <c r="E13" s="14">
        <v>2.193122493527162</v>
      </c>
      <c r="F13" s="173"/>
      <c r="H13" s="2">
        <f>C13/E13</f>
        <v>319.1796181316812</v>
      </c>
    </row>
    <row r="14" spans="1:8">
      <c r="A14" s="173">
        <v>45230</v>
      </c>
      <c r="B14" s="186" t="s">
        <v>591</v>
      </c>
      <c r="C14" s="175">
        <v>-100</v>
      </c>
      <c r="D14" s="174">
        <f>D12-C14</f>
        <v>2900</v>
      </c>
      <c r="E14" s="14">
        <v>2.0133165968786741</v>
      </c>
      <c r="F14" s="173"/>
      <c r="G14">
        <f t="shared" si="1"/>
        <v>-49.669287063462363</v>
      </c>
      <c r="H14" s="2"/>
    </row>
    <row r="15" spans="1:8">
      <c r="A15" s="173">
        <v>45382</v>
      </c>
      <c r="B15" s="186" t="s">
        <v>591</v>
      </c>
      <c r="C15" s="175">
        <v>-100</v>
      </c>
      <c r="D15" s="174">
        <f>D14-C15</f>
        <v>3000</v>
      </c>
      <c r="E15" s="14">
        <v>2.5352256902236054</v>
      </c>
      <c r="F15" s="173"/>
      <c r="G15">
        <f t="shared" si="1"/>
        <v>-39.444220049371644</v>
      </c>
      <c r="H15" s="2"/>
    </row>
    <row r="16" spans="1:8">
      <c r="A16" s="176">
        <v>45565</v>
      </c>
      <c r="B16" s="187" t="s">
        <v>592</v>
      </c>
      <c r="C16" s="177">
        <v>900</v>
      </c>
      <c r="D16" s="175"/>
      <c r="E16" s="14">
        <v>2.8096869964660449</v>
      </c>
      <c r="F16" s="173"/>
      <c r="H16" s="2">
        <f>C16/E16</f>
        <v>320.32037772605912</v>
      </c>
    </row>
    <row r="17" spans="1:8" ht="15.75" thickBot="1">
      <c r="A17" s="185">
        <v>45657</v>
      </c>
      <c r="B17" s="184" t="s">
        <v>590</v>
      </c>
      <c r="C17" s="178">
        <v>3000</v>
      </c>
      <c r="D17" s="21"/>
      <c r="E17" s="179">
        <v>2.8843099546828985</v>
      </c>
      <c r="F17" s="21"/>
      <c r="G17" s="21"/>
      <c r="H17" s="180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589</v>
      </c>
      <c r="H21" s="183">
        <f>XIRR(C4:C17,A4:A17,0.1)</f>
        <v>0.11086307168006895</v>
      </c>
    </row>
    <row r="22" spans="1:8">
      <c r="G22" s="1" t="s">
        <v>595</v>
      </c>
      <c r="H22" s="183">
        <f>XNPV(H21,C4:C17,A4:A17)</f>
        <v>-2.1313886918505887E-5</v>
      </c>
    </row>
    <row r="23" spans="1:8">
      <c r="G23" s="1" t="s">
        <v>594</v>
      </c>
      <c r="H23" s="183">
        <f>SUM(C13,C16,C17)/-SUM(C4:C12,C14:C15)</f>
        <v>1.5333333333333334</v>
      </c>
    </row>
    <row r="24" spans="1:8">
      <c r="G24" s="1" t="s">
        <v>588</v>
      </c>
      <c r="H24" s="183">
        <f>H19/(-G19)</f>
        <v>0.84718605201785901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5"/>
  <cols>
    <col min="1" max="1" width="13" customWidth="1"/>
    <col min="2" max="2" width="9.85546875" bestFit="1" customWidth="1"/>
    <col min="3" max="4" width="10.85546875" bestFit="1" customWidth="1"/>
  </cols>
  <sheetData>
    <row r="2" spans="1:6">
      <c r="A2" t="s">
        <v>501</v>
      </c>
      <c r="B2" t="s">
        <v>502</v>
      </c>
      <c r="C2" t="s">
        <v>503</v>
      </c>
      <c r="D2" t="s">
        <v>504</v>
      </c>
      <c r="F2" t="s">
        <v>505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5"/>
  <cols>
    <col min="4" max="4" width="3.85546875" customWidth="1"/>
    <col min="5" max="5" width="12" bestFit="1" customWidth="1"/>
  </cols>
  <sheetData>
    <row r="2" spans="1:5">
      <c r="A2" s="4" t="s">
        <v>722</v>
      </c>
    </row>
    <row r="3" spans="1:5">
      <c r="A3" s="61">
        <v>0</v>
      </c>
      <c r="B3">
        <v>-1074.69</v>
      </c>
      <c r="C3" t="s">
        <v>725</v>
      </c>
      <c r="E3" t="s">
        <v>723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724</v>
      </c>
      <c r="B7" s="198">
        <f>IRR(B3:B5)</f>
        <v>5.930120788041604E-2</v>
      </c>
      <c r="C7" s="198"/>
      <c r="E7">
        <f>SUM(E4:E5)</f>
        <v>1074.6900000000537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5"/>
  <cols>
    <col min="1" max="1" width="17.7109375" bestFit="1" customWidth="1"/>
    <col min="3" max="3" width="10.28515625" bestFit="1" customWidth="1"/>
    <col min="4" max="4" width="14.140625" bestFit="1" customWidth="1"/>
    <col min="5" max="5" width="3.5703125" customWidth="1"/>
    <col min="6" max="6" width="12" bestFit="1" customWidth="1"/>
    <col min="7" max="7" width="3.140625" customWidth="1"/>
    <col min="8" max="8" width="10.5703125" bestFit="1" customWidth="1"/>
    <col min="9" max="9" width="11.5703125" bestFit="1" customWidth="1"/>
    <col min="10" max="10" width="24.85546875" bestFit="1" customWidth="1"/>
    <col min="11" max="11" width="25.42578125" bestFit="1" customWidth="1"/>
    <col min="12" max="12" width="24.85546875" bestFit="1" customWidth="1"/>
    <col min="13" max="13" width="2.28515625" customWidth="1"/>
  </cols>
  <sheetData>
    <row r="1" spans="1:14">
      <c r="C1" s="1" t="s">
        <v>263</v>
      </c>
      <c r="H1" s="1" t="s">
        <v>775</v>
      </c>
      <c r="N1" s="3" t="s">
        <v>772</v>
      </c>
    </row>
    <row r="2" spans="1:14">
      <c r="A2" s="1" t="s">
        <v>773</v>
      </c>
      <c r="B2" s="1" t="s">
        <v>765</v>
      </c>
      <c r="C2" s="1" t="s">
        <v>766</v>
      </c>
      <c r="D2" s="1" t="s">
        <v>767</v>
      </c>
      <c r="H2" s="1" t="s">
        <v>776</v>
      </c>
      <c r="I2" s="1" t="s">
        <v>768</v>
      </c>
      <c r="K2" s="1" t="s">
        <v>728</v>
      </c>
      <c r="N2" s="3" t="s">
        <v>245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9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8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777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5">
        <f>(1+N4)^(1/4)-1</f>
        <v>2.9405459884575214E-2</v>
      </c>
    </row>
    <row r="8" spans="1:14">
      <c r="G8" s="219"/>
      <c r="H8" s="219"/>
      <c r="I8" s="2"/>
    </row>
    <row r="9" spans="1:14">
      <c r="B9" s="198"/>
      <c r="C9" s="198"/>
      <c r="D9" s="198" t="s">
        <v>729</v>
      </c>
      <c r="F9" s="1" t="s">
        <v>774</v>
      </c>
      <c r="I9" s="183" t="s">
        <v>729</v>
      </c>
      <c r="K9" s="1" t="s">
        <v>728</v>
      </c>
    </row>
    <row r="10" spans="1:14">
      <c r="B10" s="198"/>
      <c r="C10" s="198"/>
      <c r="D10" s="2">
        <f>SUM(D4:D7)</f>
        <v>1076.6608936632026</v>
      </c>
      <c r="F10" s="224">
        <f>IRR(F3:F7)</f>
        <v>2.9405459884628282E-2</v>
      </c>
      <c r="I10" s="2">
        <f>SUM(I4:I7)</f>
        <v>1076.6608936629805</v>
      </c>
      <c r="J10" t="s">
        <v>769</v>
      </c>
      <c r="K10" s="2">
        <f>SUM(K4:K7)</f>
        <v>1208.9958454968212</v>
      </c>
      <c r="L10" t="s">
        <v>769</v>
      </c>
    </row>
    <row r="11" spans="1:14">
      <c r="B11" s="198"/>
      <c r="I11" s="2">
        <f>-PV(F10,4,50,1000)</f>
        <v>1076.6608936629802</v>
      </c>
      <c r="J11" t="s">
        <v>770</v>
      </c>
      <c r="K11" s="2">
        <f>FV(F10,4,-50)+1000</f>
        <v>1208.9958454968209</v>
      </c>
      <c r="L11" t="s">
        <v>771</v>
      </c>
    </row>
    <row r="12" spans="1:14">
      <c r="F12" s="1" t="s">
        <v>724</v>
      </c>
      <c r="I12" s="198"/>
    </row>
    <row r="13" spans="1:14">
      <c r="F13" s="226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5"/>
  <cols>
    <col min="1" max="1" width="17" bestFit="1" customWidth="1"/>
    <col min="2" max="2" width="21.140625" bestFit="1" customWidth="1"/>
    <col min="3" max="3" width="21.42578125" bestFit="1" customWidth="1"/>
    <col min="4" max="4" width="17.5703125" bestFit="1" customWidth="1"/>
    <col min="5" max="5" width="4.140625" customWidth="1"/>
    <col min="7" max="8" width="11.5703125" customWidth="1"/>
    <col min="9" max="9" width="4.5703125" customWidth="1"/>
  </cols>
  <sheetData>
    <row r="2" spans="1:11">
      <c r="B2" s="1" t="s">
        <v>735</v>
      </c>
      <c r="C2" s="1" t="s">
        <v>736</v>
      </c>
      <c r="D2" s="1" t="s">
        <v>737</v>
      </c>
      <c r="F2" s="1"/>
      <c r="G2" s="1"/>
      <c r="H2" s="3"/>
      <c r="J2" s="1"/>
      <c r="K2" s="1"/>
    </row>
    <row r="3" spans="1:11">
      <c r="B3" s="1" t="s">
        <v>732</v>
      </c>
      <c r="C3" s="3" t="s">
        <v>734</v>
      </c>
      <c r="D3" s="1" t="s">
        <v>731</v>
      </c>
      <c r="F3" s="3"/>
      <c r="J3" s="1"/>
      <c r="K3" s="1"/>
    </row>
    <row r="5" spans="1:11">
      <c r="A5" t="s">
        <v>733</v>
      </c>
      <c r="B5" s="220">
        <v>0.05</v>
      </c>
      <c r="C5" s="220">
        <v>0.08</v>
      </c>
      <c r="D5" s="220">
        <v>0.06</v>
      </c>
      <c r="F5" s="220"/>
      <c r="J5" s="220"/>
    </row>
    <row r="6" spans="1:11">
      <c r="A6" t="s">
        <v>730</v>
      </c>
      <c r="B6">
        <f>B5*1000/2</f>
        <v>25</v>
      </c>
      <c r="C6">
        <f>C5*1000/2</f>
        <v>40</v>
      </c>
      <c r="D6">
        <f>D5*1000/2</f>
        <v>30</v>
      </c>
      <c r="F6" s="220"/>
      <c r="J6" s="220"/>
    </row>
    <row r="7" spans="1:11">
      <c r="A7" t="s">
        <v>727</v>
      </c>
      <c r="B7" s="190">
        <v>0.06</v>
      </c>
      <c r="C7" s="190">
        <v>0.06</v>
      </c>
      <c r="D7" s="190">
        <v>0.06</v>
      </c>
      <c r="F7" s="220"/>
      <c r="J7" s="220"/>
    </row>
    <row r="8" spans="1:11">
      <c r="A8" t="s">
        <v>726</v>
      </c>
      <c r="B8" s="191">
        <f>B7/2</f>
        <v>0.03</v>
      </c>
      <c r="C8" s="191">
        <f>C7/2</f>
        <v>0.03</v>
      </c>
      <c r="D8" s="191">
        <f>D7/2</f>
        <v>0.03</v>
      </c>
    </row>
    <row r="9" spans="1:11">
      <c r="A9" t="s">
        <v>738</v>
      </c>
      <c r="B9">
        <v>4</v>
      </c>
      <c r="C9">
        <v>4</v>
      </c>
      <c r="D9">
        <v>4</v>
      </c>
    </row>
    <row r="10" spans="1:11">
      <c r="A10" s="198" t="s">
        <v>729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8"/>
      <c r="G11" s="183"/>
      <c r="J11" s="198"/>
      <c r="K11" s="183"/>
    </row>
    <row r="12" spans="1:11">
      <c r="B12" s="19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5"/>
  <cols>
    <col min="4" max="4" width="15.5703125" bestFit="1" customWidth="1"/>
  </cols>
  <sheetData>
    <row r="1" spans="1:4">
      <c r="A1" s="1" t="s">
        <v>739</v>
      </c>
      <c r="B1" s="1" t="s">
        <v>355</v>
      </c>
      <c r="C1" s="1" t="s">
        <v>740</v>
      </c>
      <c r="D1" s="1" t="s">
        <v>743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726</v>
      </c>
      <c r="C23" t="s">
        <v>729</v>
      </c>
      <c r="D23" t="s">
        <v>741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742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5"/>
  <cols>
    <col min="4" max="4" width="16.7109375" bestFit="1" customWidth="1"/>
    <col min="5" max="5" width="1.85546875" customWidth="1"/>
    <col min="6" max="6" width="15.140625" bestFit="1" customWidth="1"/>
    <col min="7" max="7" width="10.140625" bestFit="1" customWidth="1"/>
    <col min="9" max="9" width="16.7109375" bestFit="1" customWidth="1"/>
    <col min="11" max="11" width="10.85546875" bestFit="1" customWidth="1"/>
  </cols>
  <sheetData>
    <row r="1" spans="1:18">
      <c r="A1" s="1" t="s">
        <v>739</v>
      </c>
      <c r="B1" s="1" t="s">
        <v>355</v>
      </c>
      <c r="C1" s="1" t="s">
        <v>740</v>
      </c>
      <c r="D1" s="1" t="s">
        <v>478</v>
      </c>
      <c r="F1" s="1" t="s">
        <v>744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726</v>
      </c>
      <c r="C7" t="s">
        <v>729</v>
      </c>
      <c r="D7" t="s">
        <v>741</v>
      </c>
      <c r="F7" t="s">
        <v>745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742</v>
      </c>
    </row>
    <row r="11" spans="1:18">
      <c r="D11">
        <f>D8/(1+B8)</f>
        <v>3.71709840281037</v>
      </c>
    </row>
    <row r="13" spans="1:18">
      <c r="G13" s="46"/>
      <c r="J13" t="s">
        <v>746</v>
      </c>
      <c r="K13" t="s">
        <v>747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9"/>
      <c r="I14" t="s">
        <v>748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727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733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749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742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745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21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21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9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22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750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751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5"/>
  <cols>
    <col min="3" max="3" width="15.85546875" bestFit="1" customWidth="1"/>
    <col min="6" max="6" width="11" customWidth="1"/>
    <col min="7" max="7" width="18.5703125" bestFit="1" customWidth="1"/>
  </cols>
  <sheetData>
    <row r="1" spans="1:7">
      <c r="A1" s="4" t="s">
        <v>752</v>
      </c>
      <c r="B1" s="4" t="s">
        <v>754</v>
      </c>
      <c r="C1" s="4" t="s">
        <v>760</v>
      </c>
      <c r="D1" s="4" t="s">
        <v>757</v>
      </c>
      <c r="E1" s="4" t="s">
        <v>762</v>
      </c>
    </row>
    <row r="2" spans="1:7">
      <c r="A2" s="4" t="s">
        <v>753</v>
      </c>
      <c r="B2" s="4" t="s">
        <v>755</v>
      </c>
      <c r="C2" s="4" t="s">
        <v>756</v>
      </c>
      <c r="D2" s="4" t="s">
        <v>758</v>
      </c>
      <c r="E2" s="4" t="s">
        <v>757</v>
      </c>
    </row>
    <row r="3" spans="1:7">
      <c r="A3" t="s">
        <v>759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726</v>
      </c>
      <c r="D9" t="s">
        <v>761</v>
      </c>
      <c r="E9" t="s">
        <v>757</v>
      </c>
      <c r="F9" t="s">
        <v>763</v>
      </c>
      <c r="G9" t="s">
        <v>764</v>
      </c>
    </row>
    <row r="10" spans="1:7">
      <c r="B10" s="198">
        <f>IRR(B3:B7)</f>
        <v>2.8032880842573382E-2</v>
      </c>
      <c r="D10" s="219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3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5"/>
  <cols>
    <col min="2" max="3" width="12.42578125" bestFit="1" customWidth="1"/>
    <col min="4" max="4" width="10.42578125" bestFit="1" customWidth="1"/>
    <col min="5" max="5" width="2.85546875" customWidth="1"/>
    <col min="6" max="6" width="15.85546875" bestFit="1" customWidth="1"/>
  </cols>
  <sheetData>
    <row r="1" spans="1:7">
      <c r="B1" s="253" t="s">
        <v>94</v>
      </c>
      <c r="C1" s="253"/>
    </row>
    <row r="2" spans="1:7">
      <c r="B2" s="3" t="s">
        <v>527</v>
      </c>
      <c r="C2" s="3" t="s">
        <v>206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778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779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780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C32" sqref="C32"/>
    </sheetView>
  </sheetViews>
  <sheetFormatPr defaultRowHeight="15"/>
  <cols>
    <col min="2" max="2" width="11.140625" customWidth="1"/>
    <col min="8" max="8" width="1.5703125" customWidth="1"/>
  </cols>
  <sheetData>
    <row r="1" spans="2:9">
      <c r="C1" s="253" t="s">
        <v>191</v>
      </c>
      <c r="D1" s="253"/>
      <c r="E1" s="253"/>
      <c r="F1" s="253"/>
      <c r="G1" s="253"/>
    </row>
    <row r="2" spans="2:9">
      <c r="C2" s="3" t="s">
        <v>8</v>
      </c>
      <c r="D2" s="3" t="s">
        <v>9</v>
      </c>
      <c r="E2" s="3" t="s">
        <v>10</v>
      </c>
      <c r="F2" s="3" t="s">
        <v>467</v>
      </c>
      <c r="G2" s="3" t="s">
        <v>468</v>
      </c>
    </row>
    <row r="3" spans="2:9">
      <c r="B3" s="166" t="s">
        <v>8</v>
      </c>
      <c r="C3" s="231">
        <v>2.5000000000000001E-3</v>
      </c>
      <c r="D3" s="231">
        <v>1.1999999999999999E-3</v>
      </c>
      <c r="E3" s="231">
        <v>8.0000000000000004E-4</v>
      </c>
      <c r="F3" s="231">
        <v>1E-3</v>
      </c>
      <c r="G3" s="231">
        <v>6.9999999999999999E-4</v>
      </c>
    </row>
    <row r="4" spans="2:9">
      <c r="B4" s="229" t="s">
        <v>9</v>
      </c>
      <c r="C4" s="231">
        <v>1.1999999999999999E-3</v>
      </c>
      <c r="D4" s="231">
        <v>3.0000000000000001E-3</v>
      </c>
      <c r="E4" s="231">
        <v>1.1000000000000001E-3</v>
      </c>
      <c r="F4" s="231">
        <v>1.2999999999999999E-3</v>
      </c>
      <c r="G4" s="231">
        <v>1E-3</v>
      </c>
    </row>
    <row r="5" spans="2:9">
      <c r="B5" s="229" t="s">
        <v>10</v>
      </c>
      <c r="C5" s="231">
        <v>8.0000000000000004E-4</v>
      </c>
      <c r="D5" s="231">
        <v>1.1000000000000001E-3</v>
      </c>
      <c r="E5" s="231">
        <v>2.2000000000000001E-3</v>
      </c>
      <c r="F5" s="231">
        <v>8.9999999999999998E-4</v>
      </c>
      <c r="G5" s="231">
        <v>5.9999999999999995E-4</v>
      </c>
    </row>
    <row r="6" spans="2:9">
      <c r="B6" s="229" t="s">
        <v>467</v>
      </c>
      <c r="C6" s="231">
        <v>1E-3</v>
      </c>
      <c r="D6" s="231">
        <v>1.2999999999999999E-3</v>
      </c>
      <c r="E6" s="231">
        <v>8.9999999999999998E-4</v>
      </c>
      <c r="F6" s="231">
        <v>2.8E-3</v>
      </c>
      <c r="G6" s="231">
        <v>1.1000000000000001E-3</v>
      </c>
    </row>
    <row r="7" spans="2:9">
      <c r="B7" s="229" t="s">
        <v>468</v>
      </c>
      <c r="C7" s="231">
        <v>6.9999999999999999E-4</v>
      </c>
      <c r="D7" s="231">
        <v>1E-3</v>
      </c>
      <c r="E7" s="231">
        <v>5.9999999999999995E-4</v>
      </c>
      <c r="F7" s="231">
        <v>1.1000000000000001E-3</v>
      </c>
      <c r="G7" s="231">
        <v>2E-3</v>
      </c>
    </row>
    <row r="8" spans="2:9">
      <c r="B8" s="229"/>
      <c r="C8" s="211"/>
      <c r="D8" s="211"/>
      <c r="E8" s="211"/>
      <c r="F8" s="211"/>
      <c r="G8" s="211"/>
    </row>
    <row r="9" spans="2:9">
      <c r="C9" s="253" t="s">
        <v>226</v>
      </c>
      <c r="D9" s="253"/>
      <c r="E9" s="253"/>
      <c r="F9" s="253"/>
      <c r="G9" s="253"/>
    </row>
    <row r="10" spans="2:9">
      <c r="C10" s="3" t="s">
        <v>8</v>
      </c>
      <c r="D10" s="3" t="s">
        <v>9</v>
      </c>
      <c r="E10" s="3" t="s">
        <v>10</v>
      </c>
      <c r="F10" s="3" t="s">
        <v>467</v>
      </c>
      <c r="G10" s="3" t="s">
        <v>468</v>
      </c>
    </row>
    <row r="11" spans="2:9">
      <c r="B11" s="229" t="s">
        <v>37</v>
      </c>
      <c r="C11" s="231">
        <v>0.25</v>
      </c>
      <c r="D11" s="231">
        <v>0.24</v>
      </c>
      <c r="E11" s="231">
        <v>0.17</v>
      </c>
      <c r="F11" s="231">
        <v>0.2</v>
      </c>
      <c r="G11" s="231">
        <v>0.18</v>
      </c>
    </row>
    <row r="13" spans="2:9">
      <c r="C13" s="253" t="s">
        <v>478</v>
      </c>
      <c r="D13" s="253"/>
      <c r="E13" s="253"/>
      <c r="F13" s="253"/>
      <c r="G13" s="253"/>
      <c r="I13" s="4" t="s">
        <v>20</v>
      </c>
    </row>
    <row r="14" spans="2:9">
      <c r="C14" s="3"/>
      <c r="D14" s="3"/>
      <c r="E14" s="3"/>
      <c r="F14" s="3"/>
      <c r="G14" s="3"/>
      <c r="I14" s="4"/>
    </row>
    <row r="15" spans="2:9">
      <c r="B15" s="228" t="s">
        <v>527</v>
      </c>
      <c r="C15" s="232">
        <v>0.15</v>
      </c>
      <c r="D15" s="232">
        <v>0.2</v>
      </c>
      <c r="E15" s="232">
        <v>0.35</v>
      </c>
      <c r="F15" s="232">
        <v>0.3</v>
      </c>
      <c r="G15" s="232">
        <v>0</v>
      </c>
      <c r="I15" s="4">
        <f>SUM(C15:G15)</f>
        <v>1</v>
      </c>
    </row>
    <row r="16" spans="2:9">
      <c r="B16" s="228" t="s">
        <v>206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8" t="s">
        <v>262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8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782</v>
      </c>
      <c r="D20" s="1" t="s">
        <v>103</v>
      </c>
      <c r="E20" s="1" t="s">
        <v>37</v>
      </c>
      <c r="F20" s="1" t="s">
        <v>100</v>
      </c>
      <c r="G20" s="1"/>
      <c r="H20" s="1"/>
    </row>
    <row r="21" spans="2:9">
      <c r="B21" s="1" t="s">
        <v>8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9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10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467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468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783</v>
      </c>
      <c r="C27" s="4">
        <f>SUMPRODUCT(C16:G16,C11:G11)</f>
        <v>0.19620000000000001</v>
      </c>
    </row>
    <row r="28" spans="2:9">
      <c r="B28" s="1" t="s">
        <v>784</v>
      </c>
      <c r="C28" s="29">
        <f>SUMPRODUCT(MMULT(C16:G16,C3:G7),C16:G16)</f>
        <v>1.3486400000000001E-3</v>
      </c>
    </row>
    <row r="30" spans="2:9">
      <c r="C30" s="1" t="s">
        <v>785</v>
      </c>
      <c r="D30" s="1" t="s">
        <v>786</v>
      </c>
    </row>
    <row r="31" spans="2:9">
      <c r="B31" s="1" t="s">
        <v>801</v>
      </c>
      <c r="C31" s="233" cm="1">
        <f t="array" ref="C31">MMULT(C15:G15,D21:D25)</f>
        <v>0.97349922885277018</v>
      </c>
      <c r="D31" s="233" cm="1">
        <f t="array" ref="D31">MMULT(C17:G17,D21:D25)</f>
        <v>-2.6500771147229873E-2</v>
      </c>
    </row>
    <row r="32" spans="2:9">
      <c r="B32" s="1" t="s">
        <v>787</v>
      </c>
      <c r="C32" s="234" cm="1">
        <f t="array" ref="C32">MMULT(C15:G15,F21:F25)</f>
        <v>1.3469435876141893E-2</v>
      </c>
      <c r="D32" s="234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H16" sqref="H16"/>
    </sheetView>
  </sheetViews>
  <sheetFormatPr defaultRowHeight="15"/>
  <cols>
    <col min="1" max="1" width="18.85546875" bestFit="1" customWidth="1"/>
    <col min="2" max="2" width="10.85546875" customWidth="1"/>
    <col min="3" max="4" width="12" bestFit="1" customWidth="1"/>
    <col min="7" max="7" width="2.5703125" customWidth="1"/>
    <col min="8" max="9" width="11.42578125" bestFit="1" customWidth="1"/>
    <col min="10" max="10" width="11.5703125" bestFit="1" customWidth="1"/>
  </cols>
  <sheetData>
    <row r="1" spans="1:14">
      <c r="A1" s="31" t="s">
        <v>191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8" t="s">
        <v>530</v>
      </c>
      <c r="C2" s="168" t="s">
        <v>531</v>
      </c>
      <c r="D2" s="168" t="s">
        <v>532</v>
      </c>
      <c r="E2" s="20"/>
      <c r="J2" s="1"/>
      <c r="M2" s="1"/>
    </row>
    <row r="3" spans="1:14">
      <c r="A3" s="168" t="s">
        <v>530</v>
      </c>
      <c r="B3" s="169">
        <v>0.04</v>
      </c>
      <c r="C3" s="169">
        <v>-0.02</v>
      </c>
      <c r="D3" s="169">
        <v>2.5000000000000001E-2</v>
      </c>
      <c r="E3" s="20"/>
      <c r="H3" s="1"/>
      <c r="I3" s="1"/>
      <c r="J3" s="1"/>
      <c r="M3" s="1"/>
      <c r="N3" s="1"/>
    </row>
    <row r="4" spans="1:14">
      <c r="A4" s="168" t="s">
        <v>531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8" t="s">
        <v>532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8" t="s">
        <v>530</v>
      </c>
      <c r="C7" s="168" t="s">
        <v>531</v>
      </c>
      <c r="D7" s="168" t="s">
        <v>532</v>
      </c>
      <c r="E7" s="31"/>
      <c r="G7" s="168"/>
    </row>
    <row r="8" spans="1:14">
      <c r="A8" s="188" t="s">
        <v>37</v>
      </c>
      <c r="B8" s="169">
        <v>0.12</v>
      </c>
      <c r="C8" s="169">
        <v>0.06</v>
      </c>
      <c r="D8" s="169">
        <v>0.08</v>
      </c>
      <c r="E8" s="51"/>
      <c r="G8" s="168"/>
    </row>
    <row r="9" spans="1:14">
      <c r="A9" s="1" t="s">
        <v>789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53" t="s">
        <v>478</v>
      </c>
      <c r="C11" s="253"/>
      <c r="D11" s="253"/>
      <c r="G11" s="1"/>
    </row>
    <row r="12" spans="1:14">
      <c r="B12" s="168" t="s">
        <v>530</v>
      </c>
      <c r="C12" s="168" t="s">
        <v>531</v>
      </c>
      <c r="D12" s="168" t="s">
        <v>532</v>
      </c>
      <c r="F12" s="168" t="s">
        <v>20</v>
      </c>
    </row>
    <row r="13" spans="1:14">
      <c r="A13" s="1" t="s">
        <v>206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527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100</v>
      </c>
      <c r="I14" s="1" t="s">
        <v>788</v>
      </c>
      <c r="J14" s="1" t="s">
        <v>477</v>
      </c>
    </row>
    <row r="15" spans="1:14">
      <c r="A15" s="1" t="s">
        <v>262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596</v>
      </c>
      <c r="B17">
        <v>10</v>
      </c>
      <c r="H17" s="1" t="s">
        <v>100</v>
      </c>
      <c r="I17" s="1" t="s">
        <v>788</v>
      </c>
      <c r="J17" s="1" t="s">
        <v>477</v>
      </c>
    </row>
    <row r="18" spans="1:10">
      <c r="A18" s="1" t="s">
        <v>597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790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G7" sqref="G7"/>
    </sheetView>
  </sheetViews>
  <sheetFormatPr defaultRowHeight="15"/>
  <cols>
    <col min="1" max="1" width="11.28515625" customWidth="1"/>
    <col min="2" max="2" width="11.85546875" bestFit="1" customWidth="1"/>
    <col min="3" max="3" width="12.7109375" bestFit="1" customWidth="1"/>
    <col min="6" max="6" width="13.42578125" bestFit="1" customWidth="1"/>
    <col min="13" max="13" width="12" bestFit="1" customWidth="1"/>
    <col min="19" max="19" width="10.28515625" bestFit="1" customWidth="1"/>
  </cols>
  <sheetData>
    <row r="1" spans="1:11">
      <c r="B1" s="253" t="s">
        <v>191</v>
      </c>
      <c r="C1" s="253"/>
      <c r="D1" s="253"/>
      <c r="E1" s="253"/>
      <c r="F1" s="253"/>
      <c r="G1" s="253"/>
      <c r="H1" s="253"/>
      <c r="I1" s="253"/>
      <c r="J1" s="253"/>
      <c r="K1" s="253"/>
    </row>
    <row r="2" spans="1:11">
      <c r="B2" s="3" t="s">
        <v>8</v>
      </c>
      <c r="C2" s="3" t="s">
        <v>9</v>
      </c>
      <c r="D2" s="3" t="s">
        <v>10</v>
      </c>
      <c r="E2" s="3" t="s">
        <v>467</v>
      </c>
      <c r="F2" s="3" t="s">
        <v>468</v>
      </c>
      <c r="G2" s="3" t="s">
        <v>174</v>
      </c>
      <c r="H2" s="3" t="s">
        <v>791</v>
      </c>
      <c r="I2" s="3" t="s">
        <v>792</v>
      </c>
      <c r="J2" s="3" t="s">
        <v>793</v>
      </c>
      <c r="K2" s="3" t="s">
        <v>794</v>
      </c>
    </row>
    <row r="3" spans="1:11">
      <c r="A3" s="3" t="s">
        <v>8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9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10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467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468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174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791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792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793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794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53" t="s">
        <v>226</v>
      </c>
      <c r="C14" s="253"/>
      <c r="D14" s="253"/>
      <c r="E14" s="253"/>
      <c r="F14" s="253"/>
      <c r="G14" s="253"/>
      <c r="H14" s="253"/>
      <c r="I14" s="253"/>
      <c r="J14" s="253"/>
      <c r="K14" s="253"/>
    </row>
    <row r="15" spans="1:11">
      <c r="B15" s="3" t="s">
        <v>8</v>
      </c>
      <c r="C15" s="3" t="s">
        <v>9</v>
      </c>
      <c r="D15" s="3" t="s">
        <v>10</v>
      </c>
      <c r="E15" s="3" t="s">
        <v>467</v>
      </c>
      <c r="F15" s="3" t="s">
        <v>468</v>
      </c>
      <c r="G15" s="3" t="s">
        <v>174</v>
      </c>
      <c r="H15" s="3" t="s">
        <v>791</v>
      </c>
      <c r="I15" s="3" t="s">
        <v>792</v>
      </c>
      <c r="J15" s="3" t="s">
        <v>793</v>
      </c>
      <c r="K15" s="3" t="s">
        <v>794</v>
      </c>
    </row>
    <row r="16" spans="1:11">
      <c r="A16" s="3" t="s">
        <v>37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53" t="s">
        <v>478</v>
      </c>
      <c r="C18" s="253"/>
      <c r="D18" s="253"/>
      <c r="E18" s="253"/>
      <c r="F18" s="253"/>
      <c r="G18" s="253"/>
      <c r="H18" s="253"/>
      <c r="I18" s="253"/>
      <c r="J18" s="253"/>
      <c r="K18" s="253"/>
      <c r="M18" t="s">
        <v>20</v>
      </c>
    </row>
    <row r="19" spans="1:13">
      <c r="B19" s="3" t="s">
        <v>8</v>
      </c>
      <c r="C19" s="3" t="s">
        <v>9</v>
      </c>
      <c r="D19" s="3" t="s">
        <v>10</v>
      </c>
      <c r="E19" s="3" t="s">
        <v>467</v>
      </c>
      <c r="F19" s="3" t="s">
        <v>468</v>
      </c>
      <c r="G19" s="3" t="s">
        <v>174</v>
      </c>
      <c r="H19" s="3" t="s">
        <v>791</v>
      </c>
      <c r="I19" s="3" t="s">
        <v>792</v>
      </c>
      <c r="J19" s="3" t="s">
        <v>793</v>
      </c>
      <c r="K19" s="3" t="s">
        <v>794</v>
      </c>
    </row>
    <row r="20" spans="1:13">
      <c r="A20" s="1" t="s">
        <v>527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206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262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798</v>
      </c>
      <c r="C24" s="3" t="s">
        <v>795</v>
      </c>
      <c r="D24" s="3" t="s">
        <v>37</v>
      </c>
      <c r="E24" s="3" t="s">
        <v>100</v>
      </c>
      <c r="F24" s="3" t="s">
        <v>546</v>
      </c>
    </row>
    <row r="25" spans="1:13">
      <c r="A25" s="3" t="s">
        <v>8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30">
        <f>D25-0.02-C25*($B$37-0.02)</f>
        <v>-6.1959749607669715E-2</v>
      </c>
      <c r="F25" s="29">
        <f>B22</f>
        <v>-0.17682939085832869</v>
      </c>
      <c r="H25" s="253" t="s">
        <v>800</v>
      </c>
      <c r="I25" s="253"/>
      <c r="J25" s="253"/>
    </row>
    <row r="26" spans="1:13">
      <c r="A26" s="3" t="s">
        <v>9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30">
        <f t="shared" ref="E26:E34" si="3">D26-0.02-C26*($B$37-0.02)</f>
        <v>6.7089282061010613E-2</v>
      </c>
      <c r="F26" s="29">
        <f>C22</f>
        <v>0.19939575892928552</v>
      </c>
      <c r="H26" s="3" t="s">
        <v>100</v>
      </c>
      <c r="I26" s="3" t="s">
        <v>788</v>
      </c>
      <c r="J26" s="3" t="s">
        <v>477</v>
      </c>
    </row>
    <row r="27" spans="1:13">
      <c r="A27" s="3" t="s">
        <v>10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30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467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30">
        <f t="shared" si="3"/>
        <v>-2.7271787744540754E-2</v>
      </c>
      <c r="F28" s="29">
        <f>E22</f>
        <v>-2.9407715530956391E-2</v>
      </c>
    </row>
    <row r="29" spans="1:13">
      <c r="A29" s="3" t="s">
        <v>468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30">
        <f t="shared" si="3"/>
        <v>0.12284355393394225</v>
      </c>
      <c r="F29" s="29">
        <f>F22</f>
        <v>0.13980268313705244</v>
      </c>
    </row>
    <row r="30" spans="1:13">
      <c r="A30" s="3" t="s">
        <v>174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30">
        <f t="shared" si="3"/>
        <v>-1.672213147596649E-2</v>
      </c>
      <c r="F30" s="29">
        <f>G22</f>
        <v>-1.126816740355765E-2</v>
      </c>
    </row>
    <row r="31" spans="1:13">
      <c r="A31" s="3" t="s">
        <v>791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30">
        <f t="shared" si="3"/>
        <v>-0.12637325969574137</v>
      </c>
      <c r="F31" s="29">
        <f>H22</f>
        <v>-8.8395481647113486E-2</v>
      </c>
    </row>
    <row r="32" spans="1:13">
      <c r="A32" s="3" t="s">
        <v>792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30">
        <f t="shared" si="3"/>
        <v>-4.9524484109403064E-2</v>
      </c>
      <c r="F32" s="29">
        <f>I22</f>
        <v>-3.4374436916329146E-2</v>
      </c>
    </row>
    <row r="33" spans="1:19">
      <c r="A33" s="3" t="s">
        <v>793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30">
        <f t="shared" si="3"/>
        <v>0.15678489911731786</v>
      </c>
      <c r="F33" s="29">
        <f>J22</f>
        <v>7.0833019962257812E-2</v>
      </c>
    </row>
    <row r="34" spans="1:19">
      <c r="A34" s="3" t="s">
        <v>794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30">
        <f t="shared" si="3"/>
        <v>6.9621604763054068E-2</v>
      </c>
      <c r="F34" s="29">
        <f>K22</f>
        <v>2.1568289877785599E-2</v>
      </c>
      <c r="S34" s="163"/>
    </row>
    <row r="36" spans="1:19">
      <c r="A36" s="1" t="s">
        <v>796</v>
      </c>
      <c r="B36" s="29">
        <f>SUMPRODUCT(MMULT(B21:K21,B3:K12),B21:K21)</f>
        <v>2.3108292817734875E-2</v>
      </c>
      <c r="S36" s="163"/>
    </row>
    <row r="37" spans="1:19">
      <c r="A37" s="1" t="s">
        <v>797</v>
      </c>
      <c r="B37" s="29">
        <f>SUMPRODUCT(B21:K21,B16:K16)</f>
        <v>0.18743861637882939</v>
      </c>
    </row>
    <row r="39" spans="1:19">
      <c r="C39" s="3" t="s">
        <v>799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topLeftCell="A7" workbookViewId="0">
      <selection activeCell="A19" sqref="A19"/>
    </sheetView>
  </sheetViews>
  <sheetFormatPr defaultRowHeight="15"/>
  <cols>
    <col min="1" max="1" width="11.140625" bestFit="1" customWidth="1"/>
    <col min="2" max="2" width="10.7109375" bestFit="1" customWidth="1"/>
    <col min="3" max="3" width="11.7109375" bestFit="1" customWidth="1"/>
    <col min="4" max="4" width="5.85546875" bestFit="1" customWidth="1"/>
    <col min="12" max="12" width="11.140625" bestFit="1" customWidth="1"/>
    <col min="13" max="13" width="2.85546875" customWidth="1"/>
  </cols>
  <sheetData>
    <row r="1" spans="1:12">
      <c r="B1" s="253" t="s">
        <v>191</v>
      </c>
      <c r="C1" s="253"/>
      <c r="D1" s="253"/>
      <c r="E1" s="253"/>
      <c r="F1" s="253"/>
      <c r="G1" s="253"/>
      <c r="H1" s="253"/>
      <c r="I1" s="253"/>
      <c r="J1" s="253"/>
      <c r="K1" s="253"/>
      <c r="L1" s="253"/>
    </row>
    <row r="2" spans="1:12">
      <c r="B2" s="3" t="s">
        <v>8</v>
      </c>
      <c r="C2" s="3" t="s">
        <v>9</v>
      </c>
      <c r="D2" s="3" t="s">
        <v>10</v>
      </c>
      <c r="E2" s="3" t="s">
        <v>467</v>
      </c>
      <c r="F2" s="3" t="s">
        <v>468</v>
      </c>
      <c r="G2" s="3" t="s">
        <v>174</v>
      </c>
      <c r="H2" s="3" t="s">
        <v>791</v>
      </c>
      <c r="I2" s="3" t="s">
        <v>792</v>
      </c>
      <c r="J2" s="3" t="s">
        <v>793</v>
      </c>
      <c r="K2" s="3" t="s">
        <v>794</v>
      </c>
      <c r="L2" s="3" t="s">
        <v>802</v>
      </c>
    </row>
    <row r="3" spans="1:12">
      <c r="A3" s="3" t="s">
        <v>8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9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10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467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468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174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791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792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793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794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802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53" t="s">
        <v>226</v>
      </c>
      <c r="C15" s="253"/>
      <c r="D15" s="253"/>
      <c r="E15" s="253"/>
      <c r="F15" s="253"/>
      <c r="G15" s="253"/>
      <c r="H15" s="253"/>
      <c r="I15" s="253"/>
      <c r="J15" s="253"/>
      <c r="K15" s="253"/>
      <c r="L15" s="253"/>
    </row>
    <row r="16" spans="1:12">
      <c r="B16" s="3" t="s">
        <v>8</v>
      </c>
      <c r="C16" s="3" t="s">
        <v>9</v>
      </c>
      <c r="D16" s="3" t="s">
        <v>10</v>
      </c>
      <c r="E16" s="3" t="s">
        <v>467</v>
      </c>
      <c r="F16" s="3" t="s">
        <v>468</v>
      </c>
      <c r="G16" s="3" t="s">
        <v>174</v>
      </c>
      <c r="H16" s="3" t="s">
        <v>791</v>
      </c>
      <c r="I16" s="3" t="s">
        <v>792</v>
      </c>
      <c r="J16" s="3" t="s">
        <v>793</v>
      </c>
      <c r="K16" s="3" t="s">
        <v>794</v>
      </c>
      <c r="L16" s="3" t="s">
        <v>802</v>
      </c>
    </row>
    <row r="17" spans="1:14">
      <c r="A17" s="1" t="s">
        <v>37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53" t="s">
        <v>478</v>
      </c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N19" t="s">
        <v>20</v>
      </c>
    </row>
    <row r="20" spans="1:14">
      <c r="A20" s="1" t="s">
        <v>527</v>
      </c>
      <c r="B20" s="5">
        <f>B21+B22</f>
        <v>-1.2708499946400646E-3</v>
      </c>
      <c r="C20" s="5">
        <f t="shared" ref="C20:L20" si="0">C21+C22</f>
        <v>-1.4471606584575303E-3</v>
      </c>
      <c r="D20" s="5">
        <f t="shared" si="0"/>
        <v>2.342174714314562E-2</v>
      </c>
      <c r="E20" s="5">
        <f t="shared" si="0"/>
        <v>4.2264381220370635E-2</v>
      </c>
      <c r="F20" s="5">
        <f t="shared" si="0"/>
        <v>-5.8426549862058738E-2</v>
      </c>
      <c r="G20" s="5">
        <f t="shared" si="0"/>
        <v>4.2680217234287242E-2</v>
      </c>
      <c r="H20" s="5">
        <f t="shared" si="0"/>
        <v>5.6371475200149256E-2</v>
      </c>
      <c r="I20" s="5">
        <f t="shared" si="0"/>
        <v>4.802776572416622E-2</v>
      </c>
      <c r="J20" s="5">
        <f t="shared" si="0"/>
        <v>6.8708578250298552E-2</v>
      </c>
      <c r="K20" s="5">
        <f t="shared" si="0"/>
        <v>5.3567897693241155E-2</v>
      </c>
      <c r="L20" s="5">
        <f t="shared" si="0"/>
        <v>0.72610249804949767</v>
      </c>
      <c r="N20" s="14">
        <f>SUM(B20:L20)</f>
        <v>1</v>
      </c>
    </row>
    <row r="21" spans="1:14">
      <c r="A21" s="1" t="s">
        <v>206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262</v>
      </c>
      <c r="B22" s="5">
        <v>-1.2708499946400646E-3</v>
      </c>
      <c r="C22" s="5">
        <v>-1.4471606584575303E-3</v>
      </c>
      <c r="D22" s="5">
        <v>2.342174714314562E-2</v>
      </c>
      <c r="E22" s="5">
        <v>4.2264381220370635E-2</v>
      </c>
      <c r="F22" s="5">
        <v>-5.8426549862058738E-2</v>
      </c>
      <c r="G22" s="5">
        <v>4.2680217234287242E-2</v>
      </c>
      <c r="H22" s="5">
        <v>5.6371475200149256E-2</v>
      </c>
      <c r="I22" s="5">
        <v>4.802776572416622E-2</v>
      </c>
      <c r="J22" s="5">
        <v>6.8708578250298552E-2</v>
      </c>
      <c r="K22" s="5">
        <v>5.3567897693241155E-2</v>
      </c>
      <c r="L22" s="5">
        <f>0-SUM(B22:K22)</f>
        <v>-0.27389750195050233</v>
      </c>
      <c r="N22" s="14">
        <f>SUM(B22:L22)</f>
        <v>0</v>
      </c>
    </row>
    <row r="24" spans="1:14">
      <c r="B24" s="3" t="s">
        <v>798</v>
      </c>
      <c r="C24" s="3" t="s">
        <v>795</v>
      </c>
      <c r="D24" s="3" t="s">
        <v>37</v>
      </c>
      <c r="E24" s="3" t="s">
        <v>100</v>
      </c>
    </row>
    <row r="25" spans="1:14">
      <c r="A25" s="3" t="s">
        <v>8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53" t="s">
        <v>800</v>
      </c>
      <c r="H25" s="253"/>
      <c r="I25" s="253"/>
    </row>
    <row r="26" spans="1:14">
      <c r="A26" s="3" t="s">
        <v>9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100</v>
      </c>
      <c r="H26" s="3" t="s">
        <v>788</v>
      </c>
      <c r="I26" s="3" t="s">
        <v>477</v>
      </c>
    </row>
    <row r="27" spans="1:14">
      <c r="A27" s="3" t="s">
        <v>10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3.5346620467231409E-2</v>
      </c>
      <c r="H27">
        <f>SQRT(SUMPRODUCT(MMULT(B22:L22,B3:L13),B22:L22))</f>
        <v>5.0000997357325383E-2</v>
      </c>
      <c r="I27">
        <f>G27/H27</f>
        <v>0.70691830834156277</v>
      </c>
    </row>
    <row r="28" spans="1:14">
      <c r="A28" s="3" t="s">
        <v>467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468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174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791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792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5">
      <c r="A33" s="3" t="s">
        <v>793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5">
      <c r="A34" s="3" t="s">
        <v>794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5">
      <c r="A35" s="3" t="s">
        <v>802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5">
      <c r="A37" s="1"/>
    </row>
    <row r="38" spans="1:5">
      <c r="C38" s="3" t="s">
        <v>799</v>
      </c>
    </row>
    <row r="39" spans="1:5">
      <c r="C39" cm="1">
        <f t="array" ref="C39">MMULT(B22:L22,C25:C35)</f>
        <v>1.8942514223851958E-11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3"/>
  <sheetViews>
    <sheetView workbookViewId="0">
      <selection activeCell="L17" sqref="L17"/>
    </sheetView>
  </sheetViews>
  <sheetFormatPr defaultRowHeight="15"/>
  <cols>
    <col min="1" max="1" width="8.42578125" customWidth="1"/>
    <col min="2" max="2" width="10.28515625" customWidth="1"/>
    <col min="3" max="3" width="10.42578125" bestFit="1" customWidth="1"/>
    <col min="5" max="5" width="10" customWidth="1"/>
    <col min="6" max="6" width="7" customWidth="1"/>
    <col min="7" max="7" width="12.5703125" customWidth="1"/>
    <col min="8" max="8" width="11.85546875" customWidth="1"/>
    <col min="9" max="9" width="3.85546875" customWidth="1"/>
    <col min="10" max="10" width="13.42578125" bestFit="1" customWidth="1"/>
    <col min="11" max="11" width="9.42578125" customWidth="1"/>
    <col min="12" max="12" width="10.42578125" bestFit="1" customWidth="1"/>
    <col min="13" max="13" width="2.85546875" customWidth="1"/>
    <col min="14" max="14" width="11.7109375" customWidth="1"/>
    <col min="15" max="15" width="9" customWidth="1"/>
    <col min="16" max="16" width="2.85546875" customWidth="1"/>
    <col min="17" max="17" width="11.85546875" customWidth="1"/>
    <col min="18" max="18" width="12.85546875" customWidth="1"/>
    <col min="19" max="19" width="2.7109375" customWidth="1"/>
    <col min="20" max="20" width="11.85546875" customWidth="1"/>
    <col min="21" max="21" width="12.85546875" customWidth="1"/>
    <col min="24" max="24" width="8.28515625" customWidth="1"/>
    <col min="26" max="26" width="12" customWidth="1"/>
  </cols>
  <sheetData>
    <row r="1" spans="1:21">
      <c r="A1" s="236"/>
      <c r="B1" s="236"/>
      <c r="C1" s="237"/>
      <c r="D1" s="259" t="s">
        <v>804</v>
      </c>
      <c r="E1" s="259"/>
      <c r="F1" s="3"/>
      <c r="G1" s="253" t="s">
        <v>812</v>
      </c>
      <c r="H1" s="253"/>
      <c r="I1" s="3"/>
      <c r="J1" s="260" t="s">
        <v>812</v>
      </c>
      <c r="K1" s="260"/>
      <c r="M1" s="3"/>
      <c r="N1" s="3"/>
      <c r="O1" s="3"/>
    </row>
    <row r="2" spans="1:21">
      <c r="A2" s="239" t="s">
        <v>551</v>
      </c>
      <c r="B2" s="239" t="s">
        <v>803</v>
      </c>
      <c r="C2" s="240" t="s">
        <v>246</v>
      </c>
      <c r="D2" s="240" t="s">
        <v>45</v>
      </c>
      <c r="E2" s="240" t="s">
        <v>206</v>
      </c>
      <c r="F2" s="1"/>
      <c r="G2" s="1" t="s">
        <v>45</v>
      </c>
      <c r="H2" s="1" t="s">
        <v>206</v>
      </c>
      <c r="I2" s="1"/>
      <c r="J2" s="253" t="s">
        <v>805</v>
      </c>
      <c r="K2" s="253"/>
      <c r="M2" s="1"/>
      <c r="N2" s="1"/>
      <c r="O2" s="1"/>
    </row>
    <row r="3" spans="1:21">
      <c r="A3" s="241" t="s">
        <v>8</v>
      </c>
      <c r="B3" s="241">
        <v>1</v>
      </c>
      <c r="C3" s="245">
        <v>1.3631031661925469E-2</v>
      </c>
      <c r="D3" s="242">
        <v>0.23</v>
      </c>
      <c r="E3" s="242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41" t="s">
        <v>9</v>
      </c>
      <c r="B4" s="241">
        <v>1</v>
      </c>
      <c r="C4" s="245">
        <v>-1.30175915692063E-2</v>
      </c>
      <c r="D4" s="242">
        <v>0.21</v>
      </c>
      <c r="E4" s="242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41" t="s">
        <v>10</v>
      </c>
      <c r="B5" s="241">
        <v>1</v>
      </c>
      <c r="C5" s="245">
        <v>1.1811999923555E-3</v>
      </c>
      <c r="D5" s="242">
        <v>0.09</v>
      </c>
      <c r="E5" s="242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41" t="s">
        <v>467</v>
      </c>
      <c r="B6" s="241">
        <v>2</v>
      </c>
      <c r="C6" s="245">
        <v>4.6045465053296292E-2</v>
      </c>
      <c r="D6" s="242">
        <v>0.35</v>
      </c>
      <c r="E6" s="242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41" t="s">
        <v>468</v>
      </c>
      <c r="B7" s="241">
        <v>2</v>
      </c>
      <c r="C7" s="245">
        <v>9.7110800474578002E-3</v>
      </c>
      <c r="D7" s="242">
        <f>1-SUM(D3:D6)</f>
        <v>0.12</v>
      </c>
      <c r="E7" s="242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95</v>
      </c>
      <c r="G9" s="253" t="s">
        <v>814</v>
      </c>
      <c r="H9" s="253"/>
      <c r="I9" s="3"/>
      <c r="J9" s="253" t="s">
        <v>813</v>
      </c>
      <c r="K9" s="253"/>
    </row>
    <row r="10" spans="1:21">
      <c r="B10" s="3" t="s">
        <v>45</v>
      </c>
      <c r="C10" s="3" t="s">
        <v>206</v>
      </c>
      <c r="D10" s="1" t="s">
        <v>807</v>
      </c>
      <c r="G10" s="1" t="s">
        <v>45</v>
      </c>
      <c r="H10" s="1" t="s">
        <v>206</v>
      </c>
      <c r="I10" s="1"/>
      <c r="J10" s="3" t="s">
        <v>45</v>
      </c>
      <c r="K10" s="227" t="s">
        <v>206</v>
      </c>
    </row>
    <row r="11" spans="1:21">
      <c r="A11" s="1" t="s">
        <v>579</v>
      </c>
      <c r="B11" s="199">
        <f>SUMPRODUCT(C3:C7,D3:D7)</f>
        <v>1.7788993426370168E-2</v>
      </c>
      <c r="C11" s="199">
        <f>SUMPRODUCT(E3:E7,C3:C7)</f>
        <v>1.2053360601817102E-2</v>
      </c>
      <c r="D11" s="243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9">
        <f>SUMPRODUCT(G3:G5,C3:C5)</f>
        <v>9.580208528708117E-4</v>
      </c>
      <c r="K11" s="199">
        <f>SUMPRODUCT(H3:H5,C3:C5)</f>
        <v>2.1089923862077807E-3</v>
      </c>
    </row>
    <row r="12" spans="1:21">
      <c r="A12" s="235" t="s">
        <v>824</v>
      </c>
      <c r="B12" s="199">
        <f>B11*12</f>
        <v>0.21346792111644203</v>
      </c>
      <c r="C12" s="199">
        <f>C11*12</f>
        <v>0.14464032722180523</v>
      </c>
      <c r="D12" s="244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9">
        <f>SUMPRODUCT(G6:G7,C6:C7)</f>
        <v>3.6768600796486459E-2</v>
      </c>
      <c r="K12" s="199">
        <f>SUMPRODUCT(H6:H7,C6:C7)</f>
        <v>2.6969912925231085E-2</v>
      </c>
    </row>
    <row r="13" spans="1:21">
      <c r="A13" s="235"/>
      <c r="B13" s="150"/>
      <c r="T13" s="253"/>
      <c r="U13" s="253"/>
    </row>
    <row r="14" spans="1:21">
      <c r="A14" s="235" t="s">
        <v>806</v>
      </c>
      <c r="B14" s="150"/>
      <c r="I14" s="4"/>
      <c r="P14" s="4"/>
    </row>
    <row r="15" spans="1:21">
      <c r="B15" s="1">
        <v>1</v>
      </c>
      <c r="C15" s="1">
        <v>2</v>
      </c>
      <c r="D15" s="1" t="s">
        <v>20</v>
      </c>
      <c r="I15" s="4"/>
      <c r="P15" s="4"/>
    </row>
    <row r="16" spans="1:21">
      <c r="A16" s="1" t="s">
        <v>579</v>
      </c>
      <c r="B16" s="199">
        <f>(G11-H11)*(K11-$C$11)</f>
        <v>6.9610577509265198E-4</v>
      </c>
      <c r="C16" s="199">
        <f>(G12-H12)*(K12-$C$11)</f>
        <v>1.044158662638979E-3</v>
      </c>
      <c r="D16" s="199">
        <f>SUM(B16:C16)</f>
        <v>1.7402644377316309E-3</v>
      </c>
    </row>
    <row r="17" spans="1:24">
      <c r="A17" s="1" t="s">
        <v>824</v>
      </c>
      <c r="B17" s="199">
        <f>B16*12</f>
        <v>8.3532693011118229E-3</v>
      </c>
      <c r="C17" s="199">
        <f>C16*12</f>
        <v>1.2529903951667747E-2</v>
      </c>
      <c r="D17" s="199">
        <f>D16*12</f>
        <v>2.0883173252779573E-2</v>
      </c>
    </row>
    <row r="18" spans="1:24">
      <c r="A18" s="150"/>
      <c r="X18" s="150"/>
    </row>
    <row r="19" spans="1:24">
      <c r="A19" s="150"/>
      <c r="B19" s="150"/>
      <c r="U19" s="150"/>
      <c r="V19" s="199"/>
      <c r="W19" s="199"/>
      <c r="X19" s="199"/>
    </row>
    <row r="20" spans="1:24">
      <c r="A20" s="235" t="s">
        <v>808</v>
      </c>
      <c r="B20" s="150"/>
      <c r="V20" s="199"/>
      <c r="W20" s="199"/>
      <c r="X20" s="199"/>
    </row>
    <row r="21" spans="1:24">
      <c r="A21" s="235"/>
      <c r="B21" s="1">
        <v>1</v>
      </c>
      <c r="C21" s="1">
        <v>2</v>
      </c>
      <c r="D21" s="1" t="s">
        <v>20</v>
      </c>
      <c r="V21" s="199"/>
      <c r="W21" s="199"/>
      <c r="X21" s="199"/>
    </row>
    <row r="22" spans="1:24">
      <c r="A22" s="1" t="s">
        <v>579</v>
      </c>
      <c r="B22" s="199">
        <f>H11*(J11-K11)</f>
        <v>-6.9058292000218134E-4</v>
      </c>
      <c r="C22" s="199">
        <f>H12*(J12-K12)</f>
        <v>3.9194751485021493E-3</v>
      </c>
      <c r="D22" s="199">
        <f>SUM(B22:C22)</f>
        <v>3.2288922284999678E-3</v>
      </c>
    </row>
    <row r="23" spans="1:24">
      <c r="A23" s="1" t="s">
        <v>824</v>
      </c>
      <c r="B23" s="199">
        <f>B22*12</f>
        <v>-8.2869950400261752E-3</v>
      </c>
      <c r="C23" s="199">
        <f>C22*12</f>
        <v>4.7033701782025789E-2</v>
      </c>
      <c r="D23" s="199">
        <f>D22*12</f>
        <v>3.8746706741999613E-2</v>
      </c>
    </row>
    <row r="24" spans="1:24">
      <c r="A24" s="150"/>
      <c r="B24" s="150"/>
    </row>
    <row r="25" spans="1:24">
      <c r="A25" s="235" t="s">
        <v>809</v>
      </c>
      <c r="B25" s="150"/>
    </row>
    <row r="26" spans="1:24">
      <c r="A26" s="235"/>
      <c r="B26" s="1">
        <v>1</v>
      </c>
      <c r="C26" s="1">
        <v>2</v>
      </c>
      <c r="D26" s="1" t="s">
        <v>20</v>
      </c>
    </row>
    <row r="27" spans="1:24">
      <c r="A27" s="1" t="s">
        <v>579</v>
      </c>
      <c r="B27" s="199">
        <f>(G11-H11)*(J11-K11)</f>
        <v>8.0568007333587776E-5</v>
      </c>
      <c r="C27" s="199">
        <f>(G12-H12)*(J12-K12)</f>
        <v>6.8590815098787622E-4</v>
      </c>
      <c r="D27" s="198">
        <f>SUM(B27:C27)</f>
        <v>7.66476158321464E-4</v>
      </c>
    </row>
    <row r="28" spans="1:24">
      <c r="A28" s="1" t="s">
        <v>824</v>
      </c>
      <c r="B28" s="199">
        <f>B27*12</f>
        <v>9.6681608800305331E-4</v>
      </c>
      <c r="C28" s="199">
        <f>C27*12</f>
        <v>8.2308978118545151E-3</v>
      </c>
      <c r="D28" s="199">
        <f>D27*12</f>
        <v>9.1977138998575684E-3</v>
      </c>
    </row>
    <row r="29" spans="1:24">
      <c r="A29" s="150"/>
      <c r="B29" s="199"/>
    </row>
    <row r="30" spans="1:24">
      <c r="B30" s="150"/>
    </row>
    <row r="31" spans="1:24">
      <c r="A31" s="1" t="s">
        <v>810</v>
      </c>
      <c r="B31" s="150"/>
    </row>
    <row r="32" spans="1:24">
      <c r="A32" s="1"/>
      <c r="B32" s="150"/>
    </row>
    <row r="33" spans="1:7">
      <c r="A33" s="1" t="s">
        <v>579</v>
      </c>
      <c r="B33" s="244">
        <f>D16+D22+D27</f>
        <v>5.7356328245530622E-3</v>
      </c>
    </row>
    <row r="34" spans="1:7">
      <c r="A34" s="1" t="s">
        <v>824</v>
      </c>
      <c r="B34" s="244">
        <f>B33*12</f>
        <v>6.8827593894636746E-2</v>
      </c>
    </row>
    <row r="35" spans="1:7">
      <c r="B35" s="150"/>
    </row>
    <row r="36" spans="1:7">
      <c r="A36" s="1" t="s">
        <v>811</v>
      </c>
      <c r="B36" s="150"/>
    </row>
    <row r="37" spans="1:7">
      <c r="A37" s="1"/>
      <c r="B37" s="235" t="s">
        <v>8</v>
      </c>
      <c r="C37" s="1" t="s">
        <v>9</v>
      </c>
      <c r="D37" s="1" t="s">
        <v>10</v>
      </c>
      <c r="E37" s="1" t="s">
        <v>467</v>
      </c>
      <c r="F37" s="1" t="s">
        <v>468</v>
      </c>
      <c r="G37" s="1" t="s">
        <v>20</v>
      </c>
    </row>
    <row r="38" spans="1:7">
      <c r="A38" s="1" t="s">
        <v>579</v>
      </c>
      <c r="B38" s="199">
        <f>(D3-E3)*(C3-$C$11)</f>
        <v>-3.1553421202167329E-5</v>
      </c>
      <c r="C38" s="199">
        <f>(D4-E4)*(C4-$C$11)</f>
        <v>-7.5212856513070213E-4</v>
      </c>
      <c r="D38" s="199">
        <f>(D5-E5)*(C5-$C$11)</f>
        <v>8.6977284875692834E-4</v>
      </c>
      <c r="E38" s="199">
        <f>(D6-E6)*(C6-$C$11)</f>
        <v>5.4387367122366694E-3</v>
      </c>
      <c r="F38" s="199">
        <f>(D7-E7)*(C7-$C$11)</f>
        <v>2.108052498923371E-4</v>
      </c>
      <c r="G38" s="243">
        <f>SUM(B38:F38)</f>
        <v>5.7356328245530656E-3</v>
      </c>
    </row>
    <row r="39" spans="1:7">
      <c r="A39" s="1" t="s">
        <v>824</v>
      </c>
      <c r="B39" s="199">
        <f>B38*12</f>
        <v>-3.7864105442600795E-4</v>
      </c>
      <c r="C39" s="199">
        <f>C38*12</f>
        <v>-9.0255427815684255E-3</v>
      </c>
      <c r="D39" s="199">
        <f>D38*12</f>
        <v>1.043727418508314E-2</v>
      </c>
      <c r="E39" s="199">
        <f>E38*12</f>
        <v>6.5264840546840036E-2</v>
      </c>
      <c r="F39" s="199">
        <f>F38*12</f>
        <v>2.5296629987080453E-3</v>
      </c>
      <c r="G39" s="243">
        <f>SUM(B39:F39)</f>
        <v>6.8827593894636788E-2</v>
      </c>
    </row>
    <row r="41" spans="1:7">
      <c r="B41" s="244"/>
    </row>
    <row r="42" spans="1:7">
      <c r="A42" s="1"/>
    </row>
    <row r="43" spans="1:7">
      <c r="A43" s="1"/>
      <c r="B43" s="150"/>
    </row>
  </sheetData>
  <mergeCells count="7">
    <mergeCell ref="T13:U13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tabSelected="1" topLeftCell="O46" workbookViewId="0">
      <selection activeCell="AA71" sqref="AA71"/>
    </sheetView>
  </sheetViews>
  <sheetFormatPr defaultRowHeight="15"/>
  <cols>
    <col min="7" max="7" width="7.140625" customWidth="1"/>
    <col min="13" max="13" width="3.140625" customWidth="1"/>
    <col min="19" max="19" width="8.5703125" bestFit="1" customWidth="1"/>
    <col min="20" max="20" width="12.7109375" bestFit="1" customWidth="1"/>
    <col min="21" max="21" width="12.7109375" customWidth="1"/>
    <col min="22" max="22" width="12.7109375" bestFit="1" customWidth="1"/>
    <col min="23" max="23" width="2.140625" customWidth="1"/>
    <col min="24" max="24" width="11.85546875" customWidth="1"/>
    <col min="25" max="25" width="9.85546875" customWidth="1"/>
    <col min="26" max="26" width="8.42578125" bestFit="1" customWidth="1"/>
    <col min="27" max="31" width="9.5703125" bestFit="1" customWidth="1"/>
    <col min="32" max="32" width="1.42578125" customWidth="1"/>
    <col min="38" max="38" width="1.42578125" customWidth="1"/>
    <col min="41" max="41" width="1.42578125" customWidth="1"/>
    <col min="44" max="44" width="1.7109375" customWidth="1"/>
    <col min="47" max="47" width="1.5703125" customWidth="1"/>
    <col min="50" max="50" width="1.42578125" customWidth="1"/>
    <col min="51" max="51" width="13.140625" customWidth="1"/>
    <col min="52" max="52" width="12.7109375" bestFit="1" customWidth="1"/>
    <col min="53" max="53" width="1.7109375" customWidth="1"/>
    <col min="54" max="54" width="19.5703125" bestFit="1" customWidth="1"/>
    <col min="55" max="55" width="20.85546875" bestFit="1" customWidth="1"/>
  </cols>
  <sheetData>
    <row r="1" spans="1:55">
      <c r="A1" s="238"/>
      <c r="B1" s="259" t="s">
        <v>830</v>
      </c>
      <c r="C1" s="259"/>
      <c r="D1" s="259"/>
      <c r="E1" s="259"/>
      <c r="F1" s="259"/>
      <c r="G1" s="237"/>
      <c r="H1" s="259" t="s">
        <v>819</v>
      </c>
      <c r="I1" s="259"/>
      <c r="J1" s="259"/>
      <c r="K1" s="259"/>
      <c r="L1" s="259"/>
      <c r="M1" s="238"/>
      <c r="N1" s="259" t="s">
        <v>821</v>
      </c>
      <c r="O1" s="259"/>
      <c r="P1" s="259"/>
      <c r="Q1" s="259"/>
      <c r="R1" s="259"/>
      <c r="T1" s="253" t="s">
        <v>246</v>
      </c>
      <c r="U1" s="253"/>
      <c r="V1" s="253"/>
      <c r="X1" s="253" t="s">
        <v>94</v>
      </c>
      <c r="Y1" s="253"/>
      <c r="AA1" s="253" t="s">
        <v>825</v>
      </c>
      <c r="AB1" s="253"/>
      <c r="AC1" s="253"/>
      <c r="AD1" s="253"/>
      <c r="AE1" s="253"/>
      <c r="AG1" s="253"/>
      <c r="AH1" s="253"/>
      <c r="AI1" s="253"/>
      <c r="AJ1" s="253"/>
      <c r="AK1" s="253"/>
      <c r="AM1" s="253"/>
      <c r="AN1" s="253"/>
      <c r="AP1" s="253"/>
      <c r="AQ1" s="253"/>
      <c r="AS1" s="1"/>
      <c r="AV1" s="1"/>
      <c r="AY1" s="253"/>
      <c r="AZ1" s="253"/>
      <c r="BB1" s="1"/>
      <c r="BC1" s="1"/>
    </row>
    <row r="2" spans="1:55">
      <c r="A2" s="279" t="s">
        <v>244</v>
      </c>
      <c r="B2" s="241" t="s">
        <v>8</v>
      </c>
      <c r="C2" s="241" t="s">
        <v>9</v>
      </c>
      <c r="D2" s="241" t="s">
        <v>10</v>
      </c>
      <c r="E2" s="241" t="s">
        <v>467</v>
      </c>
      <c r="F2" s="241" t="s">
        <v>468</v>
      </c>
      <c r="G2" s="237"/>
      <c r="H2" s="241" t="s">
        <v>8</v>
      </c>
      <c r="I2" s="241" t="s">
        <v>9</v>
      </c>
      <c r="J2" s="241" t="s">
        <v>10</v>
      </c>
      <c r="K2" s="241" t="s">
        <v>467</v>
      </c>
      <c r="L2" s="241" t="s">
        <v>468</v>
      </c>
      <c r="M2" s="241"/>
      <c r="N2" s="241" t="s">
        <v>8</v>
      </c>
      <c r="O2" s="241" t="s">
        <v>9</v>
      </c>
      <c r="P2" s="241" t="s">
        <v>10</v>
      </c>
      <c r="Q2" s="241" t="s">
        <v>467</v>
      </c>
      <c r="R2" s="241" t="s">
        <v>468</v>
      </c>
      <c r="T2" s="1" t="s">
        <v>206</v>
      </c>
      <c r="U2" s="1" t="s">
        <v>45</v>
      </c>
      <c r="V2" s="1" t="s">
        <v>816</v>
      </c>
      <c r="X2" s="1" t="s">
        <v>206</v>
      </c>
      <c r="Y2" s="1" t="s">
        <v>45</v>
      </c>
      <c r="AA2" s="249" t="s">
        <v>8</v>
      </c>
      <c r="AB2" s="249" t="s">
        <v>9</v>
      </c>
      <c r="AC2" s="249" t="s">
        <v>10</v>
      </c>
      <c r="AD2" s="249" t="s">
        <v>467</v>
      </c>
      <c r="AE2" s="249" t="s">
        <v>468</v>
      </c>
      <c r="AG2" s="249" t="s">
        <v>805</v>
      </c>
      <c r="BB2" s="1"/>
      <c r="BC2" s="1"/>
    </row>
    <row r="3" spans="1:55">
      <c r="A3" s="236">
        <v>44227</v>
      </c>
      <c r="B3" s="280">
        <v>-2.5249999999999999E-3</v>
      </c>
      <c r="C3" s="280">
        <v>6.471563881394104E-3</v>
      </c>
      <c r="D3" s="280">
        <v>-3.8583333333333334E-3</v>
      </c>
      <c r="E3" s="280">
        <v>-8.7735389038784591E-3</v>
      </c>
      <c r="F3" s="237">
        <v>2.3797183607428452E-3</v>
      </c>
      <c r="G3" s="281"/>
      <c r="H3" s="280">
        <v>0.22097187842590618</v>
      </c>
      <c r="I3" s="280">
        <v>0.15034550496306842</v>
      </c>
      <c r="J3" s="280">
        <v>0.36630222879224561</v>
      </c>
      <c r="K3" s="280">
        <v>7.3121549290883922E-2</v>
      </c>
      <c r="L3" s="280">
        <v>0.18925883852789588</v>
      </c>
      <c r="M3" s="280"/>
      <c r="N3" s="280">
        <v>0.21892707629244659</v>
      </c>
      <c r="O3" s="280">
        <v>0.35485153512260514</v>
      </c>
      <c r="P3" s="280">
        <f t="shared" ref="P3:P61" si="0">1-N3-O3-Q3-R3</f>
        <v>0.31529549642456789</v>
      </c>
      <c r="Q3" s="280">
        <v>0.30888241565721075</v>
      </c>
      <c r="R3" s="280">
        <v>-0.19795652349683035</v>
      </c>
      <c r="S3" s="14"/>
      <c r="T3" s="14">
        <f>SUMPRODUCT(H3:L3,B3:F3)</f>
        <v>-1.1894515772376132E-3</v>
      </c>
      <c r="U3" s="14">
        <f>SUMPRODUCT(N3:R3,B3:F3)</f>
        <v>-2.6539342774732412E-3</v>
      </c>
      <c r="V3" s="276">
        <f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>(N3-H3)*(B3-$T3)</f>
        <v>2.7309322642031174E-6</v>
      </c>
      <c r="AB3" s="14">
        <f>(O3-I3)*(C3-$T3)</f>
        <v>1.566723858435615E-3</v>
      </c>
      <c r="AC3" s="14">
        <f>(P3-J3)*(D3-$T3)</f>
        <v>1.3613093745415213E-4</v>
      </c>
      <c r="AD3" s="14">
        <f>(Q3-K3)*(E3-$T3)</f>
        <v>-1.7880309987267254E-3</v>
      </c>
      <c r="AE3" s="14">
        <f>(R3-L3)*(F3-$T3)</f>
        <v>-1.382037429662873E-3</v>
      </c>
      <c r="AF3" s="14"/>
      <c r="AG3" s="276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6">
        <v>44255</v>
      </c>
      <c r="B4" s="280">
        <v>-8.0000000000000004E-4</v>
      </c>
      <c r="C4" s="280">
        <v>1.819773646866088E-2</v>
      </c>
      <c r="D4" s="280">
        <v>2.5841666666666666E-2</v>
      </c>
      <c r="E4" s="280">
        <v>6.5288062706550867E-3</v>
      </c>
      <c r="F4" s="237">
        <v>3.0568633695744214E-3</v>
      </c>
      <c r="G4" s="281"/>
      <c r="H4" s="280">
        <v>0.21240500696561546</v>
      </c>
      <c r="I4" s="280">
        <v>0.14991969847052533</v>
      </c>
      <c r="J4" s="280">
        <v>0.38974372703432986</v>
      </c>
      <c r="K4" s="280">
        <v>7.924176231430051E-2</v>
      </c>
      <c r="L4" s="280">
        <v>0.16868980521522892</v>
      </c>
      <c r="M4" s="280"/>
      <c r="N4" s="280">
        <v>0.20811338912089603</v>
      </c>
      <c r="O4" s="280">
        <v>0.26253256675020964</v>
      </c>
      <c r="P4" s="280">
        <f t="shared" si="0"/>
        <v>0.27268012162847388</v>
      </c>
      <c r="Q4" s="280">
        <v>0.24814840163740468</v>
      </c>
      <c r="R4" s="280">
        <v>8.5255208630157231E-3</v>
      </c>
      <c r="S4" s="14"/>
      <c r="T4" s="14">
        <f>SUMPRODUCT(H4:L4,B4:F4)</f>
        <v>1.3662918439179146E-2</v>
      </c>
      <c r="U4" s="14">
        <f>SUMPRODUCT(N4:R4,B4:F4)</f>
        <v>1.3303690755709885E-2</v>
      </c>
      <c r="V4" s="276">
        <f>SUMPRODUCT(N4:R4,B4:F4)-T4</f>
        <v>-3.5922768346926051E-4</v>
      </c>
      <c r="W4" s="14"/>
      <c r="X4" s="14">
        <f t="shared" ref="X4:X62" si="1">T4-0.0025</f>
        <v>1.1162918439179145E-2</v>
      </c>
      <c r="Y4" s="14">
        <f t="shared" ref="Y4:Y62" si="2">U4-0.0025</f>
        <v>1.0803690755709885E-2</v>
      </c>
      <c r="Z4" s="14"/>
      <c r="AA4" s="14">
        <f>(N4-H4)*(B4-$T4)</f>
        <v>6.2069318860302926E-5</v>
      </c>
      <c r="AB4" s="14">
        <f>(O4-I4)*(C4-$T4)</f>
        <v>5.1067886542636412E-4</v>
      </c>
      <c r="AC4" s="14">
        <f>(P4-J4)*(D4-$T4)</f>
        <v>-1.4256881768398668E-3</v>
      </c>
      <c r="AD4" s="14">
        <f>(Q4-K4)*(E4-$T4)</f>
        <v>-1.2049989109394618E-3</v>
      </c>
      <c r="AE4" s="14">
        <f>(R4-L4)*(F4-$T4)</f>
        <v>1.6987112200234035E-3</v>
      </c>
      <c r="AF4" s="14"/>
      <c r="AG4" s="276">
        <f t="shared" ref="AG4:AG62" si="3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6">
        <v>44286</v>
      </c>
      <c r="B5" s="280">
        <v>2.225E-3</v>
      </c>
      <c r="C5" s="280">
        <v>1.8306919284992909E-2</v>
      </c>
      <c r="D5" s="280">
        <v>1.8191666666666665E-2</v>
      </c>
      <c r="E5" s="280">
        <v>2.4721719033191508E-3</v>
      </c>
      <c r="F5" s="237">
        <v>2.4506622112136396E-3</v>
      </c>
      <c r="G5" s="281"/>
      <c r="H5" s="280">
        <v>0.20824763079398931</v>
      </c>
      <c r="I5" s="280">
        <v>0.1461354884834605</v>
      </c>
      <c r="J5" s="280">
        <v>0.40630447118100188</v>
      </c>
      <c r="K5" s="280">
        <v>8.1956873935074809E-2</v>
      </c>
      <c r="L5" s="280">
        <v>0.15735553560647336</v>
      </c>
      <c r="M5" s="280"/>
      <c r="N5" s="280">
        <v>0.20391845081808666</v>
      </c>
      <c r="O5" s="280">
        <v>0.41153719114755455</v>
      </c>
      <c r="P5" s="280">
        <f t="shared" si="0"/>
        <v>0.26856884701171146</v>
      </c>
      <c r="Q5" s="280">
        <v>0.15060843435285873</v>
      </c>
      <c r="R5" s="280">
        <v>-3.4632923330211396E-2</v>
      </c>
      <c r="S5" s="14"/>
      <c r="T5" s="14">
        <f>SUMPRODUCT(H5:L5,B5:F5)</f>
        <v>1.1118233821619635E-2</v>
      </c>
      <c r="U5" s="14">
        <f>SUMPRODUCT(N5:R5,B5:F5)</f>
        <v>1.3160867979410087E-2</v>
      </c>
      <c r="V5" s="276">
        <f>SUMPRODUCT(N5:R5,B5:F5)-T5</f>
        <v>2.0426341577904523E-3</v>
      </c>
      <c r="W5" s="14"/>
      <c r="X5" s="14">
        <f t="shared" si="1"/>
        <v>8.6182338216196346E-3</v>
      </c>
      <c r="Y5" s="14">
        <f t="shared" si="2"/>
        <v>1.0660867979410087E-2</v>
      </c>
      <c r="Z5" s="14"/>
      <c r="AA5" s="14">
        <f>(N5-H5)*(B5-$T5)</f>
        <v>3.8500409781575948E-5</v>
      </c>
      <c r="AB5" s="14">
        <f>(O5-I5)*(C5-$T5)</f>
        <v>1.9078893618958885E-3</v>
      </c>
      <c r="AC5" s="14">
        <f>(P5-J5)*(D5-$T5)</f>
        <v>-9.7426368793211238E-4</v>
      </c>
      <c r="AD5" s="14">
        <f>(Q5-K5)*(E5-$T5)</f>
        <v>-5.9356564216010645E-4</v>
      </c>
      <c r="AE5" s="14">
        <f>(R5-L5)*(F5-$T5)</f>
        <v>1.6640737162052061E-3</v>
      </c>
      <c r="AF5" s="14"/>
      <c r="AG5" s="276">
        <f t="shared" si="3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6">
        <v>44316</v>
      </c>
      <c r="B6" s="280">
        <v>-3.4499999999999999E-3</v>
      </c>
      <c r="C6" s="280">
        <v>5.7206784725130997E-3</v>
      </c>
      <c r="D6" s="280">
        <v>1.2041666666666666E-2</v>
      </c>
      <c r="E6" s="280">
        <v>-1.0625309721640467E-2</v>
      </c>
      <c r="F6" s="237">
        <v>1.3252950199326733E-3</v>
      </c>
      <c r="G6" s="281"/>
      <c r="H6" s="280">
        <v>0.20297317983485053</v>
      </c>
      <c r="I6" s="280">
        <v>0.14391698735023037</v>
      </c>
      <c r="J6" s="280">
        <v>0.42089671292781722</v>
      </c>
      <c r="K6" s="280">
        <v>8.3088643302059076E-2</v>
      </c>
      <c r="L6" s="280">
        <v>0.1491244765850428</v>
      </c>
      <c r="M6" s="280"/>
      <c r="N6" s="280">
        <v>0.20649628152827726</v>
      </c>
      <c r="O6" s="280">
        <v>0.37601249381331381</v>
      </c>
      <c r="P6" s="280">
        <f t="shared" si="0"/>
        <v>0.24977269697384341</v>
      </c>
      <c r="Q6" s="280">
        <v>7.3895301639883115E-2</v>
      </c>
      <c r="R6" s="280">
        <v>9.3823226044682406E-2</v>
      </c>
      <c r="S6" s="14"/>
      <c r="T6" s="14">
        <f>SUMPRODUCT(H6:L6,B6:F6)</f>
        <v>4.5061346158385722E-3</v>
      </c>
      <c r="U6" s="14">
        <f>SUMPRODUCT(N6:R6,B6:F6)</f>
        <v>3.7854969542078275E-3</v>
      </c>
      <c r="V6" s="276">
        <f>SUMPRODUCT(N6:R6,B6:F6)-T6</f>
        <v>-7.2063766163074465E-4</v>
      </c>
      <c r="W6" s="14"/>
      <c r="X6" s="14">
        <f t="shared" si="1"/>
        <v>2.0061346158385721E-3</v>
      </c>
      <c r="Y6" s="14">
        <f t="shared" si="2"/>
        <v>1.2854969542078275E-3</v>
      </c>
      <c r="Z6" s="14"/>
      <c r="AA6" s="14">
        <f>(N6-H6)*(B6-$T6)</f>
        <v>-2.8030271338191923E-5</v>
      </c>
      <c r="AB6" s="14">
        <f>(O6-I6)*(C6-$T6)</f>
        <v>2.8189017153650107E-4</v>
      </c>
      <c r="AC6" s="14">
        <f>(P6-J6)*(D6-$T6)</f>
        <v>-1.2895105068875877E-3</v>
      </c>
      <c r="AD6" s="14">
        <f>(Q6-K6)*(E6-$T6)</f>
        <v>1.3910853763664257E-4</v>
      </c>
      <c r="AE6" s="14">
        <f>(R6-L6)*(F6-$T6)</f>
        <v>1.7590440742189082E-4</v>
      </c>
      <c r="AF6" s="14"/>
      <c r="AG6" s="276">
        <f t="shared" si="3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6">
        <v>44347</v>
      </c>
      <c r="B7" s="280">
        <v>-8.175E-3</v>
      </c>
      <c r="C7" s="280">
        <v>-2.7308080622184209E-3</v>
      </c>
      <c r="D7" s="280">
        <v>9.9166666666666674E-4</v>
      </c>
      <c r="E7" s="280">
        <v>-1.7553282791103509E-2</v>
      </c>
      <c r="F7" s="237">
        <v>1.4602133096165198E-3</v>
      </c>
      <c r="G7" s="281"/>
      <c r="H7" s="280">
        <v>0.1975624460712789</v>
      </c>
      <c r="I7" s="280">
        <v>0.14618694600528101</v>
      </c>
      <c r="J7" s="280">
        <v>0.42520599509176865</v>
      </c>
      <c r="K7" s="280">
        <v>8.3674575106909538E-2</v>
      </c>
      <c r="L7" s="280">
        <v>0.14737003772476204</v>
      </c>
      <c r="M7" s="280"/>
      <c r="N7" s="280">
        <v>0.21456078042774615</v>
      </c>
      <c r="O7" s="280">
        <v>0.38989283445752221</v>
      </c>
      <c r="P7" s="280">
        <f t="shared" si="0"/>
        <v>0.32637671253755296</v>
      </c>
      <c r="Q7" s="280">
        <v>0.11645827928403676</v>
      </c>
      <c r="R7" s="280">
        <v>-4.7288606706858083E-2</v>
      </c>
      <c r="S7" s="14"/>
      <c r="T7" s="14">
        <f>SUMPRODUCT(H7:L7,B7:F7)</f>
        <v>-2.8461906643283052E-3</v>
      </c>
      <c r="U7" s="14">
        <f>SUMPRODUCT(N7:R7,B7:F7)</f>
        <v>-4.6083765316794634E-3</v>
      </c>
      <c r="V7" s="276">
        <f>SUMPRODUCT(N7:R7,B7:F7)-T7</f>
        <v>-1.7621858673511582E-3</v>
      </c>
      <c r="W7" s="14"/>
      <c r="X7" s="14">
        <f t="shared" si="1"/>
        <v>-5.3461906643283048E-3</v>
      </c>
      <c r="Y7" s="14">
        <f t="shared" si="2"/>
        <v>-7.1083765316794639E-3</v>
      </c>
      <c r="Z7" s="14"/>
      <c r="AA7" s="14">
        <f>(N7-H7)*(B7-$T7)</f>
        <v>-9.0580882809611577E-5</v>
      </c>
      <c r="AB7" s="14">
        <f>(O7-I7)*(C7-$T7)</f>
        <v>2.81194195591208E-5</v>
      </c>
      <c r="AC7" s="14">
        <f>(P7-J7)*(D7-$T7)</f>
        <v>-3.7929268656767016E-4</v>
      </c>
      <c r="AD7" s="14">
        <f>(Q7-K7)*(E7-$T7)</f>
        <v>-4.8215295758995515E-4</v>
      </c>
      <c r="AE7" s="14">
        <f>(R7-L7)*(F7-$T7)</f>
        <v>-8.3827875994304157E-4</v>
      </c>
      <c r="AF7" s="14"/>
      <c r="AG7" s="276">
        <f t="shared" si="3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6">
        <v>44377</v>
      </c>
      <c r="B8" s="280">
        <v>9.7499999999999996E-4</v>
      </c>
      <c r="C8" s="280">
        <v>9.2902365215122712E-3</v>
      </c>
      <c r="D8" s="280">
        <v>1.2516666666666667E-2</v>
      </c>
      <c r="E8" s="280">
        <v>-1.1736193623642126E-2</v>
      </c>
      <c r="F8" s="237">
        <v>1.7066002717358061E-3</v>
      </c>
      <c r="G8" s="281"/>
      <c r="H8" s="280">
        <v>0.19597571040033596</v>
      </c>
      <c r="I8" s="280">
        <v>0.13881113820914745</v>
      </c>
      <c r="J8" s="280">
        <v>0.44118795803876776</v>
      </c>
      <c r="K8" s="280">
        <v>8.2440312721772449E-2</v>
      </c>
      <c r="L8" s="280">
        <v>0.14158488062997632</v>
      </c>
      <c r="M8" s="280"/>
      <c r="N8" s="280">
        <v>0.18053923542956124</v>
      </c>
      <c r="O8" s="280">
        <v>0.41506593209896803</v>
      </c>
      <c r="P8" s="280">
        <f t="shared" si="0"/>
        <v>0.390439613115864</v>
      </c>
      <c r="Q8" s="280">
        <v>2.9704002717515776E-2</v>
      </c>
      <c r="R8" s="280">
        <v>-1.5748783361908991E-2</v>
      </c>
      <c r="S8" s="14"/>
      <c r="T8" s="14">
        <f>SUMPRODUCT(H8:L8,B8:F8)</f>
        <v>6.2769605548026845E-3</v>
      </c>
      <c r="U8" s="14">
        <f>SUMPRODUCT(N8:R8,B8:F8)</f>
        <v>8.5436001213438518E-3</v>
      </c>
      <c r="V8" s="276">
        <f>SUMPRODUCT(N8:R8,B8:F8)-T8</f>
        <v>2.2666395665411673E-3</v>
      </c>
      <c r="W8" s="14"/>
      <c r="X8" s="14">
        <f t="shared" si="1"/>
        <v>3.7769605548026845E-3</v>
      </c>
      <c r="Y8" s="14">
        <f t="shared" si="2"/>
        <v>6.0436001213438513E-3</v>
      </c>
      <c r="Z8" s="14"/>
      <c r="AA8" s="14">
        <f>(N8-H8)*(B8-$T8)</f>
        <v>8.1843581400246464E-5</v>
      </c>
      <c r="AB8" s="14">
        <f>(O8-I8)*(C8-$T8)</f>
        <v>8.3243193111650661E-4</v>
      </c>
      <c r="AC8" s="14">
        <f>(P8-J8)*(D8-$T8)</f>
        <v>-3.1665475798242409E-4</v>
      </c>
      <c r="AD8" s="14">
        <f>(Q8-K8)*(E8-$T8)</f>
        <v>9.4994728290893698E-4</v>
      </c>
      <c r="AE8" s="14">
        <f>(R8-L8)*(F8-$T8)</f>
        <v>7.1907152909790205E-4</v>
      </c>
      <c r="AF8" s="14"/>
      <c r="AG8" s="276">
        <f t="shared" si="3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6">
        <v>44408</v>
      </c>
      <c r="B9" s="280">
        <v>2.3249999999999998E-3</v>
      </c>
      <c r="C9" s="280">
        <v>2.0023784370391512E-2</v>
      </c>
      <c r="D9" s="280">
        <v>-1.1433333333333334E-2</v>
      </c>
      <c r="E9" s="280">
        <v>8.8559020741163577E-3</v>
      </c>
      <c r="F9" s="237">
        <v>3.9829323299750106E-3</v>
      </c>
      <c r="G9" s="281"/>
      <c r="H9" s="280">
        <v>0.19822781366444089</v>
      </c>
      <c r="I9" s="280">
        <v>0.14521497864317884</v>
      </c>
      <c r="J9" s="280">
        <v>0.42192520906878106</v>
      </c>
      <c r="K9" s="280">
        <v>8.3346386262563923E-2</v>
      </c>
      <c r="L9" s="280">
        <v>0.15128561236103516</v>
      </c>
      <c r="M9" s="280"/>
      <c r="N9" s="280">
        <v>0.21430291994913844</v>
      </c>
      <c r="O9" s="280">
        <v>0.27402276432998279</v>
      </c>
      <c r="P9" s="280">
        <f t="shared" si="0"/>
        <v>0.2825573374955862</v>
      </c>
      <c r="Q9" s="280">
        <v>0.15870961967550001</v>
      </c>
      <c r="R9" s="280">
        <v>7.040735854979252E-2</v>
      </c>
      <c r="S9" s="14"/>
      <c r="T9" s="14">
        <f>SUMPRODUCT(H9:L9,B9:F9)</f>
        <v>-1.1471067904230651E-4</v>
      </c>
      <c r="U9" s="14">
        <f>SUMPRODUCT(N9:R9,B9:F9)</f>
        <v>4.4405994037403206E-3</v>
      </c>
      <c r="V9" s="276">
        <f>SUMPRODUCT(N9:R9,B9:F9)-T9</f>
        <v>4.555310082782627E-3</v>
      </c>
      <c r="W9" s="14"/>
      <c r="X9" s="14">
        <f t="shared" si="1"/>
        <v>-2.6147106790423064E-3</v>
      </c>
      <c r="Y9" s="14">
        <f t="shared" si="2"/>
        <v>1.9405994037403206E-3</v>
      </c>
      <c r="Z9" s="14"/>
      <c r="AA9" s="14">
        <f>(N9-H9)*(B9-$T9)</f>
        <v>3.9218608469516705E-5</v>
      </c>
      <c r="AB9" s="14">
        <f>(O9-I9)*(C9-$T9)</f>
        <v>2.5939949543822335E-3</v>
      </c>
      <c r="AC9" s="14">
        <f>(P9-J9)*(D9-$T9)</f>
        <v>1.5774523484686856E-3</v>
      </c>
      <c r="AD9" s="14">
        <f>(Q9-K9)*(E9-$T9)</f>
        <v>6.7605438277335776E-4</v>
      </c>
      <c r="AE9" s="14">
        <f>(R9-L9)*(F9-$T9)</f>
        <v>-3.3141021131116656E-4</v>
      </c>
      <c r="AF9" s="14"/>
      <c r="AG9" s="276">
        <f t="shared" si="3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6">
        <v>44439</v>
      </c>
      <c r="B10" s="280">
        <v>1.3950000000000001E-2</v>
      </c>
      <c r="C10" s="280">
        <v>3.4135831394535493E-2</v>
      </c>
      <c r="D10" s="280">
        <v>-1.1133333333333334E-2</v>
      </c>
      <c r="E10" s="280">
        <v>1.9154996122404309E-2</v>
      </c>
      <c r="F10" s="237">
        <v>4.4005879671470032E-3</v>
      </c>
      <c r="G10" s="281"/>
      <c r="H10" s="280">
        <v>0.2090983547806366</v>
      </c>
      <c r="I10" s="280">
        <v>0.14609349432986424</v>
      </c>
      <c r="J10" s="280">
        <v>0.4027683925871901</v>
      </c>
      <c r="K10" s="280">
        <v>7.7258364401470436E-2</v>
      </c>
      <c r="L10" s="280">
        <v>0.16478139390083871</v>
      </c>
      <c r="M10" s="280"/>
      <c r="N10" s="280">
        <v>0.23492797364078916</v>
      </c>
      <c r="O10" s="280">
        <v>0.41217036038581945</v>
      </c>
      <c r="P10" s="280">
        <f t="shared" si="0"/>
        <v>0.1943477724281768</v>
      </c>
      <c r="Q10" s="280">
        <v>0.15481251370755866</v>
      </c>
      <c r="R10" s="280">
        <v>3.7413798376558782E-3</v>
      </c>
      <c r="S10" s="14"/>
      <c r="T10" s="14">
        <f>SUMPRODUCT(H10:L10,B10:F10)</f>
        <v>5.6248088584118106E-3</v>
      </c>
      <c r="U10" s="14">
        <f>SUMPRODUCT(N10:R10,B10:F10)</f>
        <v>1.8165181998072634E-2</v>
      </c>
      <c r="V10" s="276">
        <f>SUMPRODUCT(N10:R10,B10:F10)-T10</f>
        <v>1.2540373139660823E-2</v>
      </c>
      <c r="W10" s="14"/>
      <c r="X10" s="14">
        <f t="shared" si="1"/>
        <v>3.1248088584118106E-3</v>
      </c>
      <c r="Y10" s="14">
        <f t="shared" si="2"/>
        <v>1.5665181998072635E-2</v>
      </c>
      <c r="Z10" s="14"/>
      <c r="AA10" s="14">
        <f>(N10-H10)*(B10-$T10)</f>
        <v>2.1503651412514132E-4</v>
      </c>
      <c r="AB10" s="14">
        <f>(O10-I10)*(C10-$T10)</f>
        <v>7.5861235244625022E-3</v>
      </c>
      <c r="AC10" s="14">
        <f>(P10-J10)*(D10-$T10)</f>
        <v>3.4927423883164494E-3</v>
      </c>
      <c r="AD10" s="14">
        <f>(Q10-K10)*(E10-$T10)</f>
        <v>1.0493221632110075E-3</v>
      </c>
      <c r="AE10" s="14">
        <f>(R10-L10)*(F10-$T10)</f>
        <v>1.9714854954572681E-4</v>
      </c>
      <c r="AF10" s="14"/>
      <c r="AG10" s="276">
        <f t="shared" si="3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6">
        <v>44469</v>
      </c>
      <c r="B11" s="280">
        <v>5.2500000000000003E-3</v>
      </c>
      <c r="C11" s="280">
        <v>2.3968673347312869E-2</v>
      </c>
      <c r="D11" s="280">
        <v>1.4416666666666666E-2</v>
      </c>
      <c r="E11" s="280">
        <v>1.1420680027959075E-2</v>
      </c>
      <c r="F11" s="237">
        <v>4.273107869715677E-3</v>
      </c>
      <c r="G11" s="281"/>
      <c r="H11" s="280">
        <v>0.20716539829861208</v>
      </c>
      <c r="I11" s="280">
        <v>0.14594325473918096</v>
      </c>
      <c r="J11" s="280">
        <v>0.41337581165141984</v>
      </c>
      <c r="K11" s="280">
        <v>7.8028571234559072E-2</v>
      </c>
      <c r="L11" s="280">
        <v>0.15548696407622806</v>
      </c>
      <c r="M11" s="280"/>
      <c r="N11" s="280">
        <v>0.20427888155602919</v>
      </c>
      <c r="O11" s="280">
        <v>0.40848100406212717</v>
      </c>
      <c r="P11" s="280">
        <f t="shared" si="0"/>
        <v>0.28415755988949781</v>
      </c>
      <c r="Q11" s="280">
        <v>0.13741749654897434</v>
      </c>
      <c r="R11" s="280">
        <v>-3.433494205662857E-2</v>
      </c>
      <c r="S11" s="14"/>
      <c r="T11" s="14">
        <f>SUMPRODUCT(H11:L11,B11:F11)</f>
        <v>1.2100737740737156E-2</v>
      </c>
      <c r="U11" s="14">
        <f>SUMPRODUCT(N11:R11,B11:F11)</f>
        <v>1.6382501052077513E-2</v>
      </c>
      <c r="V11" s="276">
        <f>SUMPRODUCT(N11:R11,B11:F11)-T11</f>
        <v>4.2817633113403572E-3</v>
      </c>
      <c r="W11" s="14"/>
      <c r="X11" s="14">
        <f t="shared" si="1"/>
        <v>9.6007377407371555E-3</v>
      </c>
      <c r="Y11" s="14">
        <f t="shared" si="2"/>
        <v>1.3882501052077513E-2</v>
      </c>
      <c r="Z11" s="14"/>
      <c r="AA11" s="14">
        <f>(N11-H11)*(B11-$T11)</f>
        <v>1.9774769187682278E-5</v>
      </c>
      <c r="AB11" s="14">
        <f>(O11-I11)*(C11-$T11)</f>
        <v>3.1157811032600422E-3</v>
      </c>
      <c r="AC11" s="14">
        <f>(P11-J11)*(D11-$T11)</f>
        <v>-2.9926028701347714E-4</v>
      </c>
      <c r="AD11" s="14">
        <f>(Q11-K11)*(E11-$T11)</f>
        <v>-4.0387896713669516E-5</v>
      </c>
      <c r="AE11" s="14">
        <f>(R11-L11)*(F11-$T11)</f>
        <v>1.485855622619784E-3</v>
      </c>
      <c r="AF11" s="14"/>
      <c r="AG11" s="276">
        <f t="shared" si="3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6">
        <v>44500</v>
      </c>
      <c r="B12" s="280">
        <v>2.5250000000000002E-2</v>
      </c>
      <c r="C12" s="280">
        <v>5.3624346855853218E-2</v>
      </c>
      <c r="D12" s="280">
        <v>1.8166666666666665E-3</v>
      </c>
      <c r="E12" s="280">
        <v>3.7157027045039773E-2</v>
      </c>
      <c r="F12" s="237">
        <v>6.7471746203504159E-3</v>
      </c>
      <c r="G12" s="281"/>
      <c r="H12" s="280">
        <v>0.22098063474116256</v>
      </c>
      <c r="I12" s="280">
        <v>0.14157398740686397</v>
      </c>
      <c r="J12" s="280">
        <v>0.40340307207656911</v>
      </c>
      <c r="K12" s="280">
        <v>7.1786708198400759E-2</v>
      </c>
      <c r="L12" s="280">
        <v>0.16225559757700372</v>
      </c>
      <c r="M12" s="280"/>
      <c r="N12" s="280">
        <v>0.1926023230125696</v>
      </c>
      <c r="O12" s="280">
        <v>0.39161480204273169</v>
      </c>
      <c r="P12" s="280">
        <f t="shared" si="0"/>
        <v>0.26330362570263577</v>
      </c>
      <c r="Q12" s="280">
        <v>0.11295794304553451</v>
      </c>
      <c r="R12" s="280">
        <v>3.9521306196528383E-2</v>
      </c>
      <c r="S12" s="14"/>
      <c r="T12" s="14">
        <f>SUMPRODUCT(H12:L12,B12:F12)</f>
        <v>1.7666570055942361E-2</v>
      </c>
      <c r="U12" s="14">
        <f>SUMPRODUCT(N12:R12,B12:F12)</f>
        <v>3.080547005354688E-2</v>
      </c>
      <c r="V12" s="276">
        <f>SUMPRODUCT(N12:R12,B12:F12)-T12</f>
        <v>1.3138899997604519E-2</v>
      </c>
      <c r="W12" s="14"/>
      <c r="X12" s="14">
        <f t="shared" si="1"/>
        <v>1.5166570055942361E-2</v>
      </c>
      <c r="Y12" s="14">
        <f t="shared" si="2"/>
        <v>2.8305470053546881E-2</v>
      </c>
      <c r="Z12" s="14"/>
      <c r="AA12" s="14">
        <f>(N12-H12)*(B12-$T12)</f>
        <v>-2.1520493892441395E-4</v>
      </c>
      <c r="AB12" s="14">
        <f>(O12-I12)*(C12-$T12)</f>
        <v>8.990911803544414E-3</v>
      </c>
      <c r="AC12" s="14">
        <f>(P12-J12)*(D12-$T12)</f>
        <v>2.2205626899178543E-3</v>
      </c>
      <c r="AD12" s="14">
        <f>(Q12-K12)*(E12-$T12)</f>
        <v>8.0244618197608899E-4</v>
      </c>
      <c r="AE12" s="14">
        <f>(R12-L12)*(F12-$T12)</f>
        <v>1.3401842610905744E-3</v>
      </c>
      <c r="AF12" s="14"/>
      <c r="AG12" s="276">
        <f t="shared" si="3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6">
        <v>44530</v>
      </c>
      <c r="B13" s="280">
        <v>3.875E-3</v>
      </c>
      <c r="C13" s="280">
        <v>2.3605412736136352E-2</v>
      </c>
      <c r="D13" s="280">
        <v>9.7166666666666669E-3</v>
      </c>
      <c r="E13" s="280">
        <v>1.3244158805606032E-2</v>
      </c>
      <c r="F13" s="237">
        <v>3.7374044158271866E-3</v>
      </c>
      <c r="G13" s="281"/>
      <c r="H13" s="280">
        <v>0.21859191524492591</v>
      </c>
      <c r="I13" s="280">
        <v>0.14405209467160709</v>
      </c>
      <c r="J13" s="280">
        <v>0.40822440400436782</v>
      </c>
      <c r="K13" s="280">
        <v>7.3213416151146252E-2</v>
      </c>
      <c r="L13" s="280">
        <v>0.1559181699279529</v>
      </c>
      <c r="M13" s="280"/>
      <c r="N13" s="280">
        <v>0.21966181414189298</v>
      </c>
      <c r="O13" s="280">
        <v>0.21732295063669987</v>
      </c>
      <c r="P13" s="280">
        <f t="shared" si="0"/>
        <v>0.32517108012289986</v>
      </c>
      <c r="Q13" s="280">
        <v>0.13168511605882349</v>
      </c>
      <c r="R13" s="280">
        <v>0.10615903903968371</v>
      </c>
      <c r="S13" s="14"/>
      <c r="T13" s="14">
        <f>SUMPRODUCT(H13:L13,B13:F13)</f>
        <v>9.7664126477145976E-3</v>
      </c>
      <c r="U13" s="14">
        <f>SUMPRODUCT(N13:R13,B13:F13)</f>
        <v>1.1281584322512904E-2</v>
      </c>
      <c r="V13" s="276">
        <f>SUMPRODUCT(N13:R13,B13:F13)-T13</f>
        <v>1.5151716747983067E-3</v>
      </c>
      <c r="W13" s="14"/>
      <c r="X13" s="14">
        <f t="shared" si="1"/>
        <v>7.2664126477145971E-3</v>
      </c>
      <c r="Y13" s="14">
        <f t="shared" si="2"/>
        <v>8.7815843225129038E-3</v>
      </c>
      <c r="Z13" s="14"/>
      <c r="AA13" s="14">
        <f>(N13-H13)*(B13-$T13)</f>
        <v>-6.3032158933676919E-6</v>
      </c>
      <c r="AB13" s="14">
        <f>(O13-I13)*(C13-$T13)</f>
        <v>1.0139953821796566E-3</v>
      </c>
      <c r="AC13" s="14">
        <f>(P13-J13)*(D13-$T13)</f>
        <v>4.1315690757751589E-6</v>
      </c>
      <c r="AD13" s="14">
        <f>(Q13-K13)*(E13-$T13)</f>
        <v>2.0334972969930548E-4</v>
      </c>
      <c r="AE13" s="14">
        <f>(R13-L13)*(F13-$T13)</f>
        <v>2.999982097369381E-4</v>
      </c>
      <c r="AF13" s="14"/>
      <c r="AG13" s="276">
        <f t="shared" si="3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6">
        <v>44561</v>
      </c>
      <c r="B14" s="280">
        <v>9.4750000000000008E-3</v>
      </c>
      <c r="C14" s="280">
        <v>3.1687457995366271E-2</v>
      </c>
      <c r="D14" s="280">
        <v>1.1216666666666666E-2</v>
      </c>
      <c r="E14" s="280">
        <v>1.8383249324065883E-2</v>
      </c>
      <c r="F14" s="237">
        <v>4.9865615317475015E-3</v>
      </c>
      <c r="G14" s="281"/>
      <c r="H14" s="280">
        <v>0.21955003043753279</v>
      </c>
      <c r="I14" s="280">
        <v>0.14260178266776033</v>
      </c>
      <c r="J14" s="280">
        <v>0.41276582498373371</v>
      </c>
      <c r="K14" s="280">
        <v>7.3867310484741058E-2</v>
      </c>
      <c r="L14" s="280">
        <v>0.15121505142623193</v>
      </c>
      <c r="M14" s="280"/>
      <c r="N14" s="280">
        <v>0.23444779583078529</v>
      </c>
      <c r="O14" s="280">
        <v>0.23517775507162564</v>
      </c>
      <c r="P14" s="280">
        <f t="shared" si="0"/>
        <v>0.37375596437873221</v>
      </c>
      <c r="Q14" s="280">
        <v>0.11362678218104778</v>
      </c>
      <c r="R14" s="280">
        <v>4.299170253780904E-2</v>
      </c>
      <c r="S14" s="14"/>
      <c r="T14" s="14">
        <f>SUMPRODUCT(H14:L14,B14:F14)</f>
        <v>1.3340745550981289E-2</v>
      </c>
      <c r="U14" s="14">
        <f>SUMPRODUCT(N14:R14,B14:F14)</f>
        <v>1.6169084404673042E-2</v>
      </c>
      <c r="V14" s="276">
        <f>SUMPRODUCT(N14:R14,B14:F14)-T14</f>
        <v>2.8283388536917524E-3</v>
      </c>
      <c r="W14" s="14"/>
      <c r="X14" s="14">
        <f t="shared" si="1"/>
        <v>1.0840745550981289E-2</v>
      </c>
      <c r="Y14" s="14">
        <f t="shared" si="2"/>
        <v>1.3669084404673041E-2</v>
      </c>
      <c r="Z14" s="14"/>
      <c r="AA14" s="14">
        <f>(N14-H14)*(B14-$T14)</f>
        <v>-5.7590970288528833E-5</v>
      </c>
      <c r="AB14" s="14">
        <f>(O14-I14)*(C14-$T14)</f>
        <v>1.6984647449530363E-3</v>
      </c>
      <c r="AC14" s="14">
        <f>(P14-J14)*(D14-$T14)</f>
        <v>8.2860021191140547E-5</v>
      </c>
      <c r="AD14" s="14">
        <f>(Q14-K14)*(E14-$T14)</f>
        <v>2.0048728604447674E-4</v>
      </c>
      <c r="AE14" s="14">
        <f>(R14-L14)*(F14-$T14)</f>
        <v>9.0411777179162526E-4</v>
      </c>
      <c r="AF14" s="14"/>
      <c r="AG14" s="276">
        <f t="shared" si="3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6">
        <v>44592</v>
      </c>
      <c r="B15" s="280">
        <v>5.8250000000000003E-3</v>
      </c>
      <c r="C15" s="280">
        <v>2.6075907604342502E-2</v>
      </c>
      <c r="D15" s="280">
        <v>8.9916666666666669E-3</v>
      </c>
      <c r="E15" s="280">
        <v>1.4610148542018336E-2</v>
      </c>
      <c r="F15" s="237">
        <v>4.4481495445313343E-3</v>
      </c>
      <c r="G15" s="281"/>
      <c r="H15" s="280">
        <v>0.21867470864678992</v>
      </c>
      <c r="I15" s="280">
        <v>0.14397180754957106</v>
      </c>
      <c r="J15" s="280">
        <v>0.4162091227657701</v>
      </c>
      <c r="K15" s="280">
        <v>7.4564996473675871E-2</v>
      </c>
      <c r="L15" s="280">
        <v>0.1465793645641931</v>
      </c>
      <c r="M15" s="280"/>
      <c r="N15" s="280">
        <v>0.24867386049248538</v>
      </c>
      <c r="O15" s="280">
        <v>0.40967350704104488</v>
      </c>
      <c r="P15" s="280">
        <f t="shared" si="0"/>
        <v>0.37402630799469333</v>
      </c>
      <c r="Q15" s="280">
        <v>0.10082898788114386</v>
      </c>
      <c r="R15" s="280">
        <v>-0.13320266340936748</v>
      </c>
      <c r="S15" s="14"/>
      <c r="T15" s="14">
        <f>SUMPRODUCT(H15:L15,B15:F15)</f>
        <v>1.0511802032935282E-2</v>
      </c>
      <c r="U15" s="14">
        <f>SUMPRODUCT(N15:R15,B15:F15)</f>
        <v>1.6374874764680396E-2</v>
      </c>
      <c r="V15" s="276">
        <f>SUMPRODUCT(N15:R15,B15:F15)-T15</f>
        <v>5.8630727317451146E-3</v>
      </c>
      <c r="W15" s="14"/>
      <c r="X15" s="14">
        <f t="shared" si="1"/>
        <v>8.0118020329352814E-3</v>
      </c>
      <c r="Y15" s="14">
        <f t="shared" si="2"/>
        <v>1.3874874764680396E-2</v>
      </c>
      <c r="Z15" s="14"/>
      <c r="AA15" s="14">
        <f>(N15-H15)*(B15-$T15)</f>
        <v>-1.4060008585673969E-4</v>
      </c>
      <c r="AB15" s="14">
        <f>(O15-I15)*(C15-$T15)</f>
        <v>4.135409301387615E-3</v>
      </c>
      <c r="AC15" s="14">
        <f>(P15-J15)*(D15-$T15)</f>
        <v>6.4123588582271933E-5</v>
      </c>
      <c r="AD15" s="14">
        <f>(Q15-K15)*(E15-$T15)</f>
        <v>1.0763893749938378E-4</v>
      </c>
      <c r="AE15" s="14">
        <f>(R15-L15)*(F15-$T15)</f>
        <v>1.6965009901325834E-3</v>
      </c>
      <c r="AF15" s="14"/>
      <c r="AG15" s="276">
        <f t="shared" si="3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6">
        <v>44620</v>
      </c>
      <c r="B16" s="280">
        <v>2.8E-3</v>
      </c>
      <c r="C16" s="280">
        <v>1.8546510594036954E-2</v>
      </c>
      <c r="D16" s="280">
        <v>1.1641666666666666E-2</v>
      </c>
      <c r="E16" s="280">
        <v>4.126354521407239E-3</v>
      </c>
      <c r="F16" s="237">
        <v>2.5247902067362157E-3</v>
      </c>
      <c r="G16" s="281"/>
      <c r="H16" s="280">
        <v>0.21600122639159061</v>
      </c>
      <c r="I16" s="280">
        <v>0.14260072542086918</v>
      </c>
      <c r="J16" s="280">
        <v>0.42549953800436341</v>
      </c>
      <c r="K16" s="280">
        <v>7.5707396866060192E-2</v>
      </c>
      <c r="L16" s="280">
        <v>0.14019111331711648</v>
      </c>
      <c r="M16" s="280"/>
      <c r="N16" s="280">
        <v>0.24088169658097294</v>
      </c>
      <c r="O16" s="280">
        <v>0.38686840875039552</v>
      </c>
      <c r="P16" s="280">
        <f t="shared" si="0"/>
        <v>0.36286809910597512</v>
      </c>
      <c r="Q16" s="280">
        <v>0.16936335405917408</v>
      </c>
      <c r="R16" s="280">
        <v>-0.15998155849651763</v>
      </c>
      <c r="S16" s="14"/>
      <c r="T16" s="14">
        <f>SUMPRODUCT(H16:L16,B16:F16)</f>
        <v>8.8694217962361661E-3</v>
      </c>
      <c r="U16" s="14">
        <f>SUMPRODUCT(N16:R16,B16:F16)</f>
        <v>1.2368850615205243E-2</v>
      </c>
      <c r="V16" s="276">
        <f>SUMPRODUCT(N16:R16,B16:F16)-T16</f>
        <v>3.4994288189690772E-3</v>
      </c>
      <c r="W16" s="14"/>
      <c r="X16" s="14">
        <f t="shared" si="1"/>
        <v>6.3694217962361657E-3</v>
      </c>
      <c r="Y16" s="14">
        <f t="shared" si="2"/>
        <v>9.8688506152052428E-3</v>
      </c>
      <c r="Z16" s="14"/>
      <c r="AA16" s="14">
        <f>(N16-H16)*(B16-$T16)</f>
        <v>-1.5101006806804128E-4</v>
      </c>
      <c r="AB16" s="14">
        <f>(O16-I16)*(C16-$T16)</f>
        <v>2.3638000620129097E-3</v>
      </c>
      <c r="AC16" s="14">
        <f>(P16-J16)*(D16-$T16)</f>
        <v>-1.7362968521373825E-4</v>
      </c>
      <c r="AD16" s="14">
        <f>(Q16-K16)*(E16-$T16)</f>
        <v>-4.4421650565543733E-4</v>
      </c>
      <c r="AE16" s="14">
        <f>(R16-L16)*(F16-$T16)</f>
        <v>1.9044850158933843E-3</v>
      </c>
      <c r="AF16" s="14"/>
      <c r="AG16" s="276">
        <f t="shared" si="3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6">
        <v>44651</v>
      </c>
      <c r="B17" s="280">
        <v>2.845E-2</v>
      </c>
      <c r="C17" s="280">
        <v>5.9065629507793344E-2</v>
      </c>
      <c r="D17" s="280">
        <v>1.3166666666666667E-3</v>
      </c>
      <c r="E17" s="280">
        <v>4.2639592348920029E-2</v>
      </c>
      <c r="F17" s="237">
        <v>7.6908217390999198E-3</v>
      </c>
      <c r="G17" s="281"/>
      <c r="H17" s="280">
        <v>0.23245891742086547</v>
      </c>
      <c r="I17" s="280">
        <v>0.13779500256746446</v>
      </c>
      <c r="J17" s="280">
        <v>0.4132978589355879</v>
      </c>
      <c r="K17" s="280">
        <v>6.9083935881786962E-2</v>
      </c>
      <c r="L17" s="280">
        <v>0.14736428519429509</v>
      </c>
      <c r="M17" s="280"/>
      <c r="N17" s="280">
        <v>0.20461629807161677</v>
      </c>
      <c r="O17" s="280">
        <v>0.35106355943123246</v>
      </c>
      <c r="P17" s="280">
        <f t="shared" si="0"/>
        <v>0.26923917748852905</v>
      </c>
      <c r="Q17" s="280">
        <v>0.15794867498596105</v>
      </c>
      <c r="R17" s="280">
        <v>1.7132290022660701E-2</v>
      </c>
      <c r="S17" s="14"/>
      <c r="T17" s="14">
        <f>SUMPRODUCT(H17:L17,B17:F17)</f>
        <v>1.9375643596561631E-2</v>
      </c>
      <c r="U17" s="14">
        <f>SUMPRODUCT(N17:R17,B17:F17)</f>
        <v>3.3778250567550044E-2</v>
      </c>
      <c r="V17" s="276">
        <f>SUMPRODUCT(N17:R17,B17:F17)-T17</f>
        <v>1.4402606970988413E-2</v>
      </c>
      <c r="W17" s="14"/>
      <c r="X17" s="14">
        <f t="shared" si="1"/>
        <v>1.6875643596561633E-2</v>
      </c>
      <c r="Y17" s="14">
        <f t="shared" si="2"/>
        <v>3.1278250567550042E-2</v>
      </c>
      <c r="Z17" s="14"/>
      <c r="AA17" s="14">
        <f>(N17-H17)*(B17-$T17)</f>
        <v>-2.5265385118035193E-4</v>
      </c>
      <c r="AB17" s="14">
        <f>(O17-I17)*(C17-$T17)</f>
        <v>8.4646260172316704E-3</v>
      </c>
      <c r="AC17" s="14">
        <f>(P17-J17)*(D17-$T17)</f>
        <v>2.6015524048035236E-3</v>
      </c>
      <c r="AD17" s="14">
        <f>(Q17-K17)*(E17-$T17)</f>
        <v>2.0673447364112051E-3</v>
      </c>
      <c r="AE17" s="14">
        <f>(R17-L17)*(F17-$T17)</f>
        <v>1.5217376637223616E-3</v>
      </c>
      <c r="AF17" s="14"/>
      <c r="AG17" s="276">
        <f t="shared" si="3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6">
        <v>44681</v>
      </c>
      <c r="B18" s="280">
        <v>-7.4250000000000002E-3</v>
      </c>
      <c r="C18" s="280">
        <v>-6.2158360476605602E-3</v>
      </c>
      <c r="D18" s="280">
        <v>-1.9833333333333335E-3</v>
      </c>
      <c r="E18" s="280">
        <v>-2.5098338761987787E-2</v>
      </c>
      <c r="F18" s="237">
        <v>1.5531360383145513E-3</v>
      </c>
      <c r="G18" s="281"/>
      <c r="H18" s="280">
        <v>0.2296048206588959</v>
      </c>
      <c r="I18" s="280">
        <v>0.13678581887072994</v>
      </c>
      <c r="J18" s="280">
        <v>0.41738109376191868</v>
      </c>
      <c r="K18" s="280">
        <v>6.7223062483905527E-2</v>
      </c>
      <c r="L18" s="280">
        <v>0.14900520422454983</v>
      </c>
      <c r="M18" s="280"/>
      <c r="N18" s="280">
        <v>0.23907615412612285</v>
      </c>
      <c r="O18" s="280">
        <v>0.35464416348436256</v>
      </c>
      <c r="P18" s="280">
        <f t="shared" si="0"/>
        <v>0.28328779123692099</v>
      </c>
      <c r="Q18" s="280">
        <v>0.12600092104556709</v>
      </c>
      <c r="R18" s="280">
        <v>-3.0090298929734693E-3</v>
      </c>
      <c r="S18" s="14"/>
      <c r="T18" s="14">
        <f>SUMPRODUCT(H18:L18,B18:F18)</f>
        <v>-4.8386216953606566E-3</v>
      </c>
      <c r="U18" s="14">
        <f>SUMPRODUCT(N18:R18,B18:F18)</f>
        <v>-7.7084917726428104E-3</v>
      </c>
      <c r="V18" s="276">
        <f>SUMPRODUCT(N18:R18,B18:F18)-T18</f>
        <v>-2.8698700772821538E-3</v>
      </c>
      <c r="W18" s="14"/>
      <c r="X18" s="14">
        <f t="shared" si="1"/>
        <v>-7.3386216953606562E-3</v>
      </c>
      <c r="Y18" s="14">
        <f t="shared" si="2"/>
        <v>-1.0208491772642811E-2</v>
      </c>
      <c r="Z18" s="14"/>
      <c r="AA18" s="14">
        <f>(N18-H18)*(B18-$T18)</f>
        <v>-2.4496451395640315E-5</v>
      </c>
      <c r="AB18" s="14">
        <f>(O18-I18)*(C18-$T18)</f>
        <v>-3.0003763897019323E-4</v>
      </c>
      <c r="AC18" s="14">
        <f>(P18-J18)*(D18-$T18)</f>
        <v>-3.8287504612543493E-4</v>
      </c>
      <c r="AD18" s="14">
        <f>(Q18-K18)*(E18-$T18)</f>
        <v>-1.1908227842414906E-3</v>
      </c>
      <c r="AE18" s="14">
        <f>(R18-L18)*(F18-$T18)</f>
        <v>-9.7163815654939317E-4</v>
      </c>
      <c r="AF18" s="14"/>
      <c r="AG18" s="276">
        <f t="shared" si="3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6">
        <v>44712</v>
      </c>
      <c r="B19" s="280">
        <v>1.5975E-2</v>
      </c>
      <c r="C19" s="280">
        <v>4.1501101374272542E-2</v>
      </c>
      <c r="D19" s="280">
        <v>6.8166666666666662E-3</v>
      </c>
      <c r="E19" s="280">
        <v>2.9085536081878423E-2</v>
      </c>
      <c r="F19" s="237">
        <v>4.8086282162078716E-3</v>
      </c>
      <c r="G19" s="281"/>
      <c r="H19" s="280">
        <v>0.23600797609362939</v>
      </c>
      <c r="I19" s="280">
        <v>0.1363538601772733</v>
      </c>
      <c r="J19" s="280">
        <v>0.41424839894814947</v>
      </c>
      <c r="K19" s="280">
        <v>6.5181419784010847E-2</v>
      </c>
      <c r="L19" s="280">
        <v>0.14820834499693714</v>
      </c>
      <c r="M19" s="280"/>
      <c r="N19" s="280">
        <v>0.26103414733423574</v>
      </c>
      <c r="O19" s="280">
        <v>0.34015171228727453</v>
      </c>
      <c r="P19" s="280">
        <f t="shared" si="0"/>
        <v>0.28199354901331553</v>
      </c>
      <c r="Q19" s="280">
        <v>0.1640056943067871</v>
      </c>
      <c r="R19" s="280">
        <v>-4.7185102941612822E-2</v>
      </c>
      <c r="S19" s="14"/>
      <c r="T19" s="14">
        <f>SUMPRODUCT(H19:L19,B19:F19)</f>
        <v>1.4861371411541672E-2</v>
      </c>
      <c r="U19" s="14">
        <f>SUMPRODUCT(N19:R19,B19:F19)</f>
        <v>2.4752245145708951E-2</v>
      </c>
      <c r="V19" s="276">
        <f>SUMPRODUCT(N19:R19,B19:F19)-T19</f>
        <v>9.8908737341672787E-3</v>
      </c>
      <c r="W19" s="14"/>
      <c r="X19" s="14">
        <f t="shared" si="1"/>
        <v>1.2361371411541672E-2</v>
      </c>
      <c r="Y19" s="14">
        <f t="shared" si="2"/>
        <v>2.2252245145708952E-2</v>
      </c>
      <c r="Z19" s="14"/>
      <c r="AA19" s="14">
        <f>(N19-H19)*(B19-$T19)</f>
        <v>2.7869859753192844E-5</v>
      </c>
      <c r="AB19" s="14">
        <f>(O19-I19)*(C19-$T19)</f>
        <v>5.4291197471949939E-3</v>
      </c>
      <c r="AC19" s="14">
        <f>(P19-J19)*(D19-$T19)</f>
        <v>1.0639512188034903E-3</v>
      </c>
      <c r="AD19" s="14">
        <f>(Q19-K19)*(E19-$T19)</f>
        <v>1.4056927542385343E-3</v>
      </c>
      <c r="AE19" s="14">
        <f>(R19-L19)*(F19-$T19)</f>
        <v>1.9642401541770673E-3</v>
      </c>
      <c r="AF19" s="14"/>
      <c r="AG19" s="276">
        <f t="shared" si="3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6">
        <v>44742</v>
      </c>
      <c r="B20" s="280">
        <v>5.0000000000000001E-4</v>
      </c>
      <c r="C20" s="280">
        <v>1.2951226667778974E-2</v>
      </c>
      <c r="D20" s="280">
        <v>9.0916666666666663E-3</v>
      </c>
      <c r="E20" s="280">
        <v>-4.9642133311087189E-3</v>
      </c>
      <c r="F20" s="237">
        <v>2.4903744963362989E-3</v>
      </c>
      <c r="G20" s="281"/>
      <c r="H20" s="280">
        <v>0.23316917867449913</v>
      </c>
      <c r="I20" s="280">
        <v>0.13247747589520489</v>
      </c>
      <c r="J20" s="280">
        <v>0.42330267742504146</v>
      </c>
      <c r="K20" s="280">
        <v>6.6364018785202428E-2</v>
      </c>
      <c r="L20" s="280">
        <v>0.14468664922005209</v>
      </c>
      <c r="M20" s="280"/>
      <c r="N20" s="280">
        <v>0.2344683839231507</v>
      </c>
      <c r="O20" s="280">
        <v>0.32905910145556166</v>
      </c>
      <c r="P20" s="280">
        <f t="shared" si="0"/>
        <v>0.26121806109988616</v>
      </c>
      <c r="Q20" s="280">
        <v>0.17288762070583741</v>
      </c>
      <c r="R20" s="280">
        <v>2.3668328155640461E-3</v>
      </c>
      <c r="S20" s="14"/>
      <c r="T20" s="14">
        <f>SUMPRODUCT(H20:L20,B20:F20)</f>
        <v>5.7117360447057983E-3</v>
      </c>
      <c r="U20" s="14">
        <f>SUMPRODUCT(N20:R20,B20:F20)</f>
        <v>5.9015040094307506E-3</v>
      </c>
      <c r="V20" s="276">
        <f>SUMPRODUCT(N20:R20,B20:F20)-T20</f>
        <v>1.8976796472495224E-4</v>
      </c>
      <c r="W20" s="14"/>
      <c r="X20" s="14">
        <f t="shared" si="1"/>
        <v>3.2117360447057983E-3</v>
      </c>
      <c r="Y20" s="14">
        <f t="shared" si="2"/>
        <v>3.4015040094307505E-3</v>
      </c>
      <c r="Z20" s="14"/>
      <c r="AA20" s="14">
        <f>(N20-H20)*(B20-$T20)</f>
        <v>-6.7711148238683421E-6</v>
      </c>
      <c r="AB20" s="14">
        <f>(O20-I20)*(C20-$T20)</f>
        <v>1.423150834912685E-3</v>
      </c>
      <c r="AC20" s="14">
        <f>(P20-J20)*(D20-$T20)</f>
        <v>-5.4783475806617079E-4</v>
      </c>
      <c r="AD20" s="14">
        <f>(Q20-K20)*(E20-$T20)</f>
        <v>-1.1372405814341171E-3</v>
      </c>
      <c r="AE20" s="14">
        <f>(R20-L20)*(F20-$T20)</f>
        <v>4.584635841364245E-4</v>
      </c>
      <c r="AF20" s="14"/>
      <c r="AG20" s="276">
        <f t="shared" si="3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6">
        <v>44773</v>
      </c>
      <c r="B21" s="280">
        <v>3.375E-3</v>
      </c>
      <c r="C21" s="280">
        <v>1.61896705659492E-2</v>
      </c>
      <c r="D21" s="280">
        <v>-1.6833333333333333E-3</v>
      </c>
      <c r="E21" s="280">
        <v>1.9876744652317334E-3</v>
      </c>
      <c r="F21" s="237">
        <v>3.4212395243524954E-3</v>
      </c>
      <c r="G21" s="281"/>
      <c r="H21" s="280">
        <v>0.23562700459940888</v>
      </c>
      <c r="I21" s="280">
        <v>0.13425257504697855</v>
      </c>
      <c r="J21" s="280">
        <v>0.41922487403050285</v>
      </c>
      <c r="K21" s="280">
        <v>6.3774897007140258E-2</v>
      </c>
      <c r="L21" s="280">
        <v>0.14712064931596935</v>
      </c>
      <c r="M21" s="280"/>
      <c r="N21" s="280">
        <v>0.25655130926028424</v>
      </c>
      <c r="O21" s="280">
        <v>0.44046339592909406</v>
      </c>
      <c r="P21" s="280">
        <f t="shared" si="0"/>
        <v>0.27085818902955616</v>
      </c>
      <c r="Q21" s="280">
        <v>0.20050406852886912</v>
      </c>
      <c r="R21" s="280">
        <v>-0.16837696274780356</v>
      </c>
      <c r="S21" s="14"/>
      <c r="T21" s="14">
        <f>SUMPRODUCT(H21:L21,B21:F21)</f>
        <v>2.8931496131380198E-3</v>
      </c>
      <c r="U21" s="14">
        <f>SUMPRODUCT(N21:R21,B21:F21)</f>
        <v>7.3633522242516833E-3</v>
      </c>
      <c r="V21" s="276">
        <f>SUMPRODUCT(N21:R21,B21:F21)-T21</f>
        <v>4.4702026111136635E-3</v>
      </c>
      <c r="W21" s="14"/>
      <c r="X21" s="14">
        <f t="shared" si="1"/>
        <v>3.9314961313801971E-4</v>
      </c>
      <c r="Y21" s="14">
        <f t="shared" si="2"/>
        <v>4.8633522242516828E-3</v>
      </c>
      <c r="Z21" s="14"/>
      <c r="AA21" s="14">
        <f>(N21-H21)*(B21-$T21)</f>
        <v>1.0082384295660728E-5</v>
      </c>
      <c r="AB21" s="14">
        <f>(O21-I21)*(C21-$T21)</f>
        <v>4.0715385958365593E-3</v>
      </c>
      <c r="AC21" s="14">
        <f>(P21-J21)*(D21-$T21)</f>
        <v>6.7899760373131958E-4</v>
      </c>
      <c r="AD21" s="14">
        <f>(Q21-K21)*(E21-$T21)</f>
        <v>-1.2380486680674144E-4</v>
      </c>
      <c r="AE21" s="14">
        <f>(R21-L21)*(F21-$T21)</f>
        <v>-1.6661110594313691E-4</v>
      </c>
      <c r="AF21" s="14"/>
      <c r="AG21" s="276">
        <f t="shared" si="3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6">
        <v>44804</v>
      </c>
      <c r="B22" s="280">
        <v>5.3E-3</v>
      </c>
      <c r="C22" s="280">
        <v>1.890835586358007E-2</v>
      </c>
      <c r="D22" s="280">
        <v>-7.0833333333333338E-3</v>
      </c>
      <c r="E22" s="280">
        <v>4.2000450604934778E-3</v>
      </c>
      <c r="F22" s="237">
        <v>3.1314831386528384E-3</v>
      </c>
      <c r="G22" s="281"/>
      <c r="H22" s="280">
        <v>0.24104001594698796</v>
      </c>
      <c r="I22" s="280">
        <v>0.13629670994490534</v>
      </c>
      <c r="J22" s="280">
        <v>0.40805398757244654</v>
      </c>
      <c r="K22" s="280">
        <v>6.0365512739702629E-2</v>
      </c>
      <c r="L22" s="280">
        <v>0.15424377379595747</v>
      </c>
      <c r="M22" s="280"/>
      <c r="N22" s="280">
        <v>0.22331798079065787</v>
      </c>
      <c r="O22" s="280">
        <v>0.45631420609675499</v>
      </c>
      <c r="P22" s="280">
        <f t="shared" si="0"/>
        <v>0.30329175275542031</v>
      </c>
      <c r="Q22" s="280">
        <v>0.13252152677367424</v>
      </c>
      <c r="R22" s="280">
        <v>-0.11544546641650744</v>
      </c>
      <c r="S22" s="14"/>
      <c r="T22" s="14">
        <f>SUMPRODUCT(H22:L22,B22:F22)</f>
        <v>1.7008260177117304E-3</v>
      </c>
      <c r="U22" s="14">
        <f>SUMPRODUCT(N22:R22,B22:F22)</f>
        <v>7.8585009630750078E-3</v>
      </c>
      <c r="V22" s="276">
        <f>SUMPRODUCT(N22:R22,B22:F22)-T22</f>
        <v>6.1576749453632774E-3</v>
      </c>
      <c r="W22" s="14"/>
      <c r="X22" s="14">
        <f t="shared" si="1"/>
        <v>-7.9917398228826963E-4</v>
      </c>
      <c r="Y22" s="14">
        <f t="shared" si="2"/>
        <v>5.3585009630750073E-3</v>
      </c>
      <c r="Z22" s="14"/>
      <c r="AA22" s="14">
        <f>(N22-H22)*(B22-$T22)</f>
        <v>-6.3784687847861268E-5</v>
      </c>
      <c r="AB22" s="14">
        <f>(O22-I22)*(C22-$T22)</f>
        <v>5.5067106162330097E-3</v>
      </c>
      <c r="AC22" s="14">
        <f>(P22-J22)*(D22-$T22)</f>
        <v>9.2024816460435979E-4</v>
      </c>
      <c r="AD22" s="14">
        <f>(Q22-K22)*(E22-$T22)</f>
        <v>1.8033368432492886E-4</v>
      </c>
      <c r="AE22" s="14">
        <f>(R22-L22)*(F22-$T22)</f>
        <v>-3.8583283195115989E-4</v>
      </c>
      <c r="AF22" s="14"/>
      <c r="AG22" s="276">
        <f t="shared" si="3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6">
        <v>44834</v>
      </c>
      <c r="B23" s="280">
        <v>-9.5250000000000005E-3</v>
      </c>
      <c r="C23" s="280">
        <v>-1.1209949184674772E-2</v>
      </c>
      <c r="D23" s="280">
        <v>8.4666666666666675E-3</v>
      </c>
      <c r="E23" s="280">
        <v>-3.4511565036016212E-2</v>
      </c>
      <c r="F23" s="237">
        <v>-3.263016085955318E-4</v>
      </c>
      <c r="G23" s="281"/>
      <c r="H23" s="280">
        <v>0.23411242697484913</v>
      </c>
      <c r="I23" s="280">
        <v>0.1302967930501418</v>
      </c>
      <c r="J23" s="280">
        <v>0.42597837702050217</v>
      </c>
      <c r="K23" s="280">
        <v>6.0471360354579291E-2</v>
      </c>
      <c r="L23" s="280">
        <v>0.14914104259992753</v>
      </c>
      <c r="M23" s="280"/>
      <c r="N23" s="280">
        <v>0.2937541029891384</v>
      </c>
      <c r="O23" s="280">
        <v>0.41666253048904223</v>
      </c>
      <c r="P23" s="280">
        <f t="shared" si="0"/>
        <v>0.27204838114091301</v>
      </c>
      <c r="Q23" s="280">
        <v>0.11553177300958173</v>
      </c>
      <c r="R23" s="280">
        <v>-9.7996787628675364E-2</v>
      </c>
      <c r="S23" s="14"/>
      <c r="T23" s="14">
        <f>SUMPRODUCT(H23:L23,B23:F23)</f>
        <v>-2.2195506183147668E-3</v>
      </c>
      <c r="U23" s="14">
        <f>SUMPRODUCT(N23:R23,B23:F23)</f>
        <v>-9.1206364530913228E-3</v>
      </c>
      <c r="V23" s="276">
        <f>SUMPRODUCT(N23:R23,B23:F23)-T23</f>
        <v>-6.9010858347765564E-3</v>
      </c>
      <c r="W23" s="14"/>
      <c r="X23" s="14">
        <f t="shared" si="1"/>
        <v>-4.7195506183147669E-3</v>
      </c>
      <c r="Y23" s="14">
        <f t="shared" si="2"/>
        <v>-1.1620636453091323E-2</v>
      </c>
      <c r="Z23" s="14"/>
      <c r="AA23" s="14">
        <f>(N23-H23)*(B23-$T23)</f>
        <v>-4.3570924516126059E-4</v>
      </c>
      <c r="AB23" s="14">
        <f>(O23-I23)*(C23-$T23)</f>
        <v>-2.5745421153253161E-3</v>
      </c>
      <c r="AC23" s="14">
        <f>(P23-J23)*(D23-$T23)</f>
        <v>-1.6449293826455867E-3</v>
      </c>
      <c r="AD23" s="14">
        <f>(Q23-K23)*(E23-$T23)</f>
        <v>-1.7780116392999297E-3</v>
      </c>
      <c r="AE23" s="14">
        <f>(R23-L23)*(F23-$T23)</f>
        <v>-4.6789345234446287E-4</v>
      </c>
      <c r="AF23" s="14"/>
      <c r="AG23" s="276">
        <f t="shared" si="3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6">
        <v>44865</v>
      </c>
      <c r="B24" s="280">
        <v>1.6975000000000001E-2</v>
      </c>
      <c r="C24" s="280">
        <v>4.781716591940495E-2</v>
      </c>
      <c r="D24" s="280">
        <v>-5.8333333333333414E-5</v>
      </c>
      <c r="E24" s="280">
        <v>3.9167665172143228E-2</v>
      </c>
      <c r="F24" s="237">
        <v>6.0404954895493584E-3</v>
      </c>
      <c r="G24" s="281"/>
      <c r="H24" s="280">
        <v>0.24180047047937722</v>
      </c>
      <c r="I24" s="280">
        <v>0.13304659385951281</v>
      </c>
      <c r="J24" s="280">
        <v>0.41189668355931958</v>
      </c>
      <c r="K24" s="280">
        <v>5.9895499699568949E-2</v>
      </c>
      <c r="L24" s="280">
        <v>0.15336075240222141</v>
      </c>
      <c r="M24" s="280"/>
      <c r="N24" s="280">
        <v>0.21013651819115939</v>
      </c>
      <c r="O24" s="280">
        <v>0.41153437914112628</v>
      </c>
      <c r="P24" s="280">
        <f t="shared" si="0"/>
        <v>0.38048073991624132</v>
      </c>
      <c r="Q24" s="280">
        <v>0.18186175322211964</v>
      </c>
      <c r="R24" s="280">
        <v>-0.18401339047064669</v>
      </c>
      <c r="S24" s="14"/>
      <c r="T24" s="14">
        <f>SUMPRODUCT(H24:L24,B24:F24)</f>
        <v>1.3714788544148912E-2</v>
      </c>
      <c r="U24" s="14">
        <f>SUMPRODUCT(N24:R24,B24:F24)</f>
        <v>2.9234848578065322E-2</v>
      </c>
      <c r="V24" s="276">
        <f>SUMPRODUCT(N24:R24,B24:F24)-T24</f>
        <v>1.552006003391641E-2</v>
      </c>
      <c r="W24" s="14"/>
      <c r="X24" s="14">
        <f t="shared" si="1"/>
        <v>1.1214788544148912E-2</v>
      </c>
      <c r="Y24" s="14">
        <f t="shared" si="2"/>
        <v>2.6734848578065323E-2</v>
      </c>
      <c r="Z24" s="14"/>
      <c r="AA24" s="14">
        <f>(N24-H24)*(B24-$T24)</f>
        <v>-1.0323117998757007E-4</v>
      </c>
      <c r="AB24" s="14">
        <f>(O24-I24)*(C24-$T24)</f>
        <v>9.497095548072855E-3</v>
      </c>
      <c r="AC24" s="14">
        <f>(P24-J24)*(D24-$T24)</f>
        <v>4.3269562069223045E-4</v>
      </c>
      <c r="AD24" s="14">
        <f>(Q24-K24)*(E24-$T24)</f>
        <v>3.1043920036881601E-3</v>
      </c>
      <c r="AE24" s="14">
        <f>(R24-L24)*(F24-$T24)</f>
        <v>2.5891080414507293E-3</v>
      </c>
      <c r="AF24" s="14"/>
      <c r="AG24" s="276">
        <f t="shared" si="3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6">
        <v>44895</v>
      </c>
      <c r="B25" s="280">
        <v>1.25E-3</v>
      </c>
      <c r="C25" s="280">
        <v>1.3385481556260492E-2</v>
      </c>
      <c r="D25" s="280">
        <v>-1.0908333333333334E-2</v>
      </c>
      <c r="E25" s="280">
        <v>1.0292964458543177E-3</v>
      </c>
      <c r="F25" s="237">
        <v>2.644874299375224E-3</v>
      </c>
      <c r="G25" s="281"/>
      <c r="H25" s="280">
        <v>0.24509465984418824</v>
      </c>
      <c r="I25" s="280">
        <v>0.1386656381275666</v>
      </c>
      <c r="J25" s="280">
        <v>0.39730439706390908</v>
      </c>
      <c r="K25" s="280">
        <v>5.7050678853607491E-2</v>
      </c>
      <c r="L25" s="280">
        <v>0.16188462611072851</v>
      </c>
      <c r="M25" s="280"/>
      <c r="N25" s="280">
        <v>0.25873377551965715</v>
      </c>
      <c r="O25" s="280">
        <v>0.30841391854206313</v>
      </c>
      <c r="P25" s="280">
        <f t="shared" si="0"/>
        <v>0.27805486661707696</v>
      </c>
      <c r="Q25" s="280">
        <v>0.10790217740248026</v>
      </c>
      <c r="R25" s="280">
        <v>4.6895261918722508E-2</v>
      </c>
      <c r="S25" s="14"/>
      <c r="T25" s="14">
        <f>SUMPRODUCT(H25:L25,B25:F25)</f>
        <v>-1.6845675834814442E-3</v>
      </c>
      <c r="U25" s="14">
        <f>SUMPRODUCT(N25:R25,B25:F25)</f>
        <v>1.6536662684353827E-3</v>
      </c>
      <c r="V25" s="276">
        <f>SUMPRODUCT(N25:R25,B25:F25)-T25</f>
        <v>3.3382338519168269E-3</v>
      </c>
      <c r="W25" s="14"/>
      <c r="X25" s="14">
        <f t="shared" si="1"/>
        <v>-4.1845675834814439E-3</v>
      </c>
      <c r="Y25" s="14">
        <f t="shared" si="2"/>
        <v>-8.4633373156461737E-4</v>
      </c>
      <c r="Z25" s="14"/>
      <c r="AA25" s="14">
        <f>(N25-H25)*(B25-$T25)</f>
        <v>4.0024906728584687E-5</v>
      </c>
      <c r="AB25" s="14">
        <f>(O25-I25)*(C25-$T25)</f>
        <v>2.5581149272331559E-3</v>
      </c>
      <c r="AC25" s="14">
        <f>(P25-J25)*(D25-$T25)</f>
        <v>1.0999297346214103E-3</v>
      </c>
      <c r="AD25" s="14">
        <f>(Q25-K25)*(E25-$T25)</f>
        <v>1.3800405274960549E-4</v>
      </c>
      <c r="AE25" s="14">
        <f>(R25-L25)*(F25-$T25)</f>
        <v>-4.9783976941592954E-4</v>
      </c>
      <c r="AF25" s="14"/>
      <c r="AG25" s="276">
        <f t="shared" si="3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6">
        <v>44926</v>
      </c>
      <c r="B26" s="280">
        <v>2.0899999999999998E-2</v>
      </c>
      <c r="C26" s="280">
        <v>4.716385529249819E-2</v>
      </c>
      <c r="D26" s="280">
        <v>2.3491666666666668E-2</v>
      </c>
      <c r="E26" s="280">
        <v>2.9211043918329717E-2</v>
      </c>
      <c r="F26" s="237">
        <v>5.7231741404435892E-3</v>
      </c>
      <c r="G26" s="281"/>
      <c r="H26" s="280">
        <v>0.25169103837777307</v>
      </c>
      <c r="I26" s="280">
        <v>0.12980401565135188</v>
      </c>
      <c r="J26" s="280">
        <v>0.41190054628498413</v>
      </c>
      <c r="K26" s="280">
        <v>5.5044782648892898E-2</v>
      </c>
      <c r="L26" s="280">
        <v>0.151559617036998</v>
      </c>
      <c r="M26" s="280"/>
      <c r="N26" s="280">
        <v>0.28034313762067264</v>
      </c>
      <c r="O26" s="280">
        <v>0.36009667624184594</v>
      </c>
      <c r="P26" s="280">
        <f t="shared" si="0"/>
        <v>0.37833101013757781</v>
      </c>
      <c r="Q26" s="280">
        <v>0.10512844029579388</v>
      </c>
      <c r="R26" s="280">
        <v>-0.12389926429589027</v>
      </c>
      <c r="S26" s="14"/>
      <c r="T26" s="14">
        <f>SUMPRODUCT(H26:L26,B26:F26)</f>
        <v>2.3533948490199144E-2</v>
      </c>
      <c r="U26" s="14">
        <f>SUMPRODUCT(N26:R26,B26:F26)</f>
        <v>3.4092159506775029E-2</v>
      </c>
      <c r="V26" s="276">
        <f>SUMPRODUCT(N26:R26,B26:F26)-T26</f>
        <v>1.0558211016575884E-2</v>
      </c>
      <c r="W26" s="14"/>
      <c r="X26" s="14">
        <f t="shared" si="1"/>
        <v>2.1033948490199145E-2</v>
      </c>
      <c r="Y26" s="14">
        <f t="shared" si="2"/>
        <v>3.1592159506775026E-2</v>
      </c>
      <c r="Z26" s="14"/>
      <c r="AA26" s="14">
        <f>(N26-H26)*(B26-$T26)</f>
        <v>-7.5468153541871427E-5</v>
      </c>
      <c r="AB26" s="14">
        <f>(O26-I26)*(C26-$T26)</f>
        <v>5.4417941070068606E-3</v>
      </c>
      <c r="AC26" s="14">
        <f>(P26-J26)*(D26-$T26)</f>
        <v>1.4193812034517252E-6</v>
      </c>
      <c r="AD26" s="14">
        <f>(Q26-K26)*(E26-$T26)</f>
        <v>2.8432970385127836E-4</v>
      </c>
      <c r="AE26" s="14">
        <f>(R26-L26)*(F26-$T26)</f>
        <v>4.9061359780561654E-3</v>
      </c>
      <c r="AF26" s="14"/>
      <c r="AG26" s="276">
        <f t="shared" si="3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6">
        <v>44957</v>
      </c>
      <c r="B27" s="280">
        <v>1.2449999999999999E-2</v>
      </c>
      <c r="C27" s="280">
        <v>3.4784271941571208E-2</v>
      </c>
      <c r="D27" s="280">
        <v>2.8916666666666665E-3</v>
      </c>
      <c r="E27" s="280">
        <v>2.2176877216475745E-2</v>
      </c>
      <c r="F27" s="237">
        <v>4.0260585420292053E-3</v>
      </c>
      <c r="G27" s="281"/>
      <c r="H27" s="280">
        <v>0.25770056943433217</v>
      </c>
      <c r="I27" s="280">
        <v>0.1301898649343414</v>
      </c>
      <c r="J27" s="280">
        <v>0.40637589143101432</v>
      </c>
      <c r="K27" s="280">
        <v>5.3009089090378693E-2</v>
      </c>
      <c r="L27" s="280">
        <v>0.15272458510993342</v>
      </c>
      <c r="M27" s="280"/>
      <c r="N27" s="280">
        <v>0.26406454604084928</v>
      </c>
      <c r="O27" s="280">
        <v>0.38284026998063864</v>
      </c>
      <c r="P27" s="280">
        <f t="shared" si="0"/>
        <v>0.32270306523343373</v>
      </c>
      <c r="Q27" s="280">
        <v>0.15703067108643634</v>
      </c>
      <c r="R27" s="280">
        <v>-0.12663855234135801</v>
      </c>
      <c r="S27" s="14"/>
      <c r="T27" s="14">
        <f>SUMPRODUCT(H27:L27,B27:F27)</f>
        <v>1.0702489555332274E-2</v>
      </c>
      <c r="U27" s="14">
        <f>SUMPRODUCT(N27:R27,B27:F27)</f>
        <v>2.0510169042866878E-2</v>
      </c>
      <c r="V27" s="276">
        <f>SUMPRODUCT(N27:R27,B27:F27)-T27</f>
        <v>9.8076794875346044E-3</v>
      </c>
      <c r="W27" s="14"/>
      <c r="X27" s="14">
        <f t="shared" si="1"/>
        <v>8.2024895553322735E-3</v>
      </c>
      <c r="Y27" s="14">
        <f t="shared" si="2"/>
        <v>1.801016904286688E-2</v>
      </c>
      <c r="Z27" s="14"/>
      <c r="AA27" s="14">
        <f>(N27-H27)*(B27-$T27)</f>
        <v>1.1121115589509712E-5</v>
      </c>
      <c r="AB27" s="14">
        <f>(O27-I27)*(C27-$T27)</f>
        <v>6.0842720741200521E-3</v>
      </c>
      <c r="AC27" s="14">
        <f>(P27-J27)*(D27-$T27)</f>
        <v>6.5355362602340181E-4</v>
      </c>
      <c r="AD27" s="14">
        <f>(Q27-K27)*(E27-$T27)</f>
        <v>1.1935839569481878E-3</v>
      </c>
      <c r="AE27" s="14">
        <f>(R27-L27)*(F27-$T27)</f>
        <v>1.8651487148534502E-3</v>
      </c>
      <c r="AF27" s="14"/>
      <c r="AG27" s="276">
        <f t="shared" si="3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6">
        <v>44985</v>
      </c>
      <c r="B28" s="280">
        <v>2.1874999999999999E-2</v>
      </c>
      <c r="C28" s="280">
        <v>4.9243424207913625E-2</v>
      </c>
      <c r="D28" s="280">
        <v>1.5466666666666667E-2</v>
      </c>
      <c r="E28" s="280">
        <v>3.1395181749160589E-2</v>
      </c>
      <c r="F28" s="237">
        <v>6.840332421716739E-3</v>
      </c>
      <c r="G28" s="281"/>
      <c r="H28" s="280">
        <v>0.26698427580410372</v>
      </c>
      <c r="I28" s="280">
        <v>0.12227464188590396</v>
      </c>
      <c r="J28" s="280">
        <v>0.41109194137821398</v>
      </c>
      <c r="K28" s="280">
        <v>5.0661600408827723E-2</v>
      </c>
      <c r="L28" s="280">
        <v>0.14898754052295052</v>
      </c>
      <c r="M28" s="280"/>
      <c r="N28" s="280">
        <v>0.28981811006608643</v>
      </c>
      <c r="O28" s="280">
        <v>0.28484796407284896</v>
      </c>
      <c r="P28" s="280">
        <f t="shared" si="0"/>
        <v>0.22601404843702394</v>
      </c>
      <c r="Q28" s="280">
        <v>8.5267477220957011E-2</v>
      </c>
      <c r="R28" s="280">
        <v>0.11405240020308371</v>
      </c>
      <c r="S28" s="14"/>
      <c r="T28" s="14">
        <f>SUMPRODUCT(H28:L28,B28:F28)</f>
        <v>2.0829379576532241E-2</v>
      </c>
      <c r="U28" s="14">
        <f>SUMPRODUCT(N28:R28,B28:F28)</f>
        <v>2.7319488511982903E-2</v>
      </c>
      <c r="V28" s="276">
        <f>SUMPRODUCT(N28:R28,B28:F28)-T28</f>
        <v>6.4901089354506628E-3</v>
      </c>
      <c r="W28" s="14"/>
      <c r="X28" s="14">
        <f t="shared" si="1"/>
        <v>1.8329379576532242E-2</v>
      </c>
      <c r="Y28" s="14">
        <f t="shared" si="2"/>
        <v>2.4819488511982905E-2</v>
      </c>
      <c r="Z28" s="14"/>
      <c r="AA28" s="14">
        <f>(N28-H28)*(B28-$T28)</f>
        <v>2.3875523450406963E-5</v>
      </c>
      <c r="AB28" s="14">
        <f>(O28-I28)*(C28-$T28)</f>
        <v>4.6193656324917997E-3</v>
      </c>
      <c r="AC28" s="14">
        <f>(P28-J28)*(D28-$T28)</f>
        <v>9.925196058064383E-4</v>
      </c>
      <c r="AD28" s="14">
        <f>(Q28-K28)*(E28-$T28)</f>
        <v>3.6563884840730459E-4</v>
      </c>
      <c r="AE28" s="14">
        <f>(R28-L28)*(F28-$T28)</f>
        <v>4.8870932529471297E-4</v>
      </c>
      <c r="AF28" s="14"/>
      <c r="AG28" s="276">
        <f t="shared" si="3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6">
        <v>45016</v>
      </c>
      <c r="B29" s="280">
        <v>-1.0975E-2</v>
      </c>
      <c r="C29" s="280">
        <v>1.1154121808765929E-3</v>
      </c>
      <c r="D29" s="280">
        <v>1.1366666666666667E-2</v>
      </c>
      <c r="E29" s="280">
        <v>-7.7608423049134803E-3</v>
      </c>
      <c r="F29" s="237">
        <v>1.3633579337544507E-3</v>
      </c>
      <c r="G29" s="281"/>
      <c r="H29" s="280">
        <v>0.25237206032226855</v>
      </c>
      <c r="I29" s="280">
        <v>0.12807842189479998</v>
      </c>
      <c r="J29" s="280">
        <v>0.42491437612690797</v>
      </c>
      <c r="K29" s="280">
        <v>5.567248963639581E-2</v>
      </c>
      <c r="L29" s="280">
        <v>0.13896265201962765</v>
      </c>
      <c r="M29" s="280"/>
      <c r="N29" s="280">
        <v>0.25365443991893732</v>
      </c>
      <c r="O29" s="280">
        <v>0.41145510499632365</v>
      </c>
      <c r="P29" s="280">
        <f t="shared" si="0"/>
        <v>0.39182696312091142</v>
      </c>
      <c r="Q29" s="280">
        <v>0.128701789114326</v>
      </c>
      <c r="R29" s="280">
        <v>-0.1856382971504984</v>
      </c>
      <c r="S29" s="14"/>
      <c r="T29" s="14">
        <f>SUMPRODUCT(H29:L29,B29:F29)</f>
        <v>1.9603273664977219E-3</v>
      </c>
      <c r="U29" s="14">
        <f>SUMPRODUCT(N29:R29,B29:F29)</f>
        <v>8.7692530378880051E-4</v>
      </c>
      <c r="V29" s="276">
        <f>SUMPRODUCT(N29:R29,B29:F29)-T29</f>
        <v>-1.0834020627089214E-3</v>
      </c>
      <c r="W29" s="14"/>
      <c r="X29" s="14">
        <f t="shared" si="1"/>
        <v>-5.3967263350227813E-4</v>
      </c>
      <c r="Y29" s="14">
        <f t="shared" si="2"/>
        <v>-1.6230746962111995E-3</v>
      </c>
      <c r="Z29" s="14"/>
      <c r="AA29" s="14">
        <f>(N29-H29)*(B29-$T29)</f>
        <v>-1.6587999891027854E-5</v>
      </c>
      <c r="AB29" s="14">
        <f>(O29-I29)*(C29-$T29)</f>
        <v>-2.394292628034237E-4</v>
      </c>
      <c r="AC29" s="14">
        <f>(P29-J29)*(D29-$T29)</f>
        <v>-3.1123143329922639E-4</v>
      </c>
      <c r="AD29" s="14">
        <f>(Q29-K29)*(E29-$T29)</f>
        <v>-7.0993021120926091E-4</v>
      </c>
      <c r="AE29" s="14">
        <f>(R29-L29)*(F29-$T29)</f>
        <v>1.9377684449401757E-4</v>
      </c>
      <c r="AF29" s="14"/>
      <c r="AG29" s="276">
        <f t="shared" si="3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6">
        <v>45046</v>
      </c>
      <c r="B30" s="280">
        <v>6.025E-3</v>
      </c>
      <c r="C30" s="280">
        <v>2.901978197903736E-2</v>
      </c>
      <c r="D30" s="280">
        <v>-1.6783333333333334E-2</v>
      </c>
      <c r="E30" s="280">
        <v>2.1072897291408051E-2</v>
      </c>
      <c r="F30" s="237">
        <v>4.2716256365270969E-3</v>
      </c>
      <c r="G30" s="281"/>
      <c r="H30" s="280">
        <v>0.25846737722480989</v>
      </c>
      <c r="I30" s="280">
        <v>0.13670078544135711</v>
      </c>
      <c r="J30" s="280">
        <v>0.39640862607083227</v>
      </c>
      <c r="K30" s="280">
        <v>5.6126292384132047E-2</v>
      </c>
      <c r="L30" s="280">
        <v>0.15229691887886873</v>
      </c>
      <c r="M30" s="280"/>
      <c r="N30" s="280">
        <v>0.28522449878183048</v>
      </c>
      <c r="O30" s="280">
        <v>0.45862822046692986</v>
      </c>
      <c r="P30" s="280">
        <f t="shared" si="0"/>
        <v>0.28629160477291282</v>
      </c>
      <c r="Q30" s="280">
        <v>0.10212751253186866</v>
      </c>
      <c r="R30" s="280">
        <v>-0.1322718365535418</v>
      </c>
      <c r="S30" s="14"/>
      <c r="T30" s="14">
        <f>SUMPRODUCT(H30:L30,B30:F30)</f>
        <v>7.0453384790077392E-4</v>
      </c>
      <c r="U30" s="14">
        <f>SUMPRODUCT(N30:R30,B30:F30)</f>
        <v>1.1809947953304419E-2</v>
      </c>
      <c r="V30" s="276">
        <f>SUMPRODUCT(N30:R30,B30:F30)-T30</f>
        <v>1.1105414105403645E-2</v>
      </c>
      <c r="W30" s="14"/>
      <c r="X30" s="14">
        <f t="shared" si="1"/>
        <v>-1.7954661520992261E-3</v>
      </c>
      <c r="Y30" s="14">
        <f t="shared" si="2"/>
        <v>9.3099479533044188E-3</v>
      </c>
      <c r="Z30" s="14"/>
      <c r="AA30" s="14">
        <f>(N30-H30)*(B30-$T30)</f>
        <v>1.4236035957173259E-4</v>
      </c>
      <c r="AB30" s="14">
        <f>(O30-I30)*(C30-$T30)</f>
        <v>9.1154552029694431E-3</v>
      </c>
      <c r="AC30" s="14">
        <f>(P30-J30)*(D30-$T30)</f>
        <v>1.9257118428511429E-3</v>
      </c>
      <c r="AD30" s="14">
        <f>(Q30-K30)*(E30-$T30)</f>
        <v>9.3696957081388895E-4</v>
      </c>
      <c r="AE30" s="14">
        <f>(R30-L30)*(F30-$T30)</f>
        <v>-1.015082870802564E-3</v>
      </c>
      <c r="AF30" s="14"/>
      <c r="AG30" s="276">
        <f t="shared" si="3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6">
        <v>45077</v>
      </c>
      <c r="B31" s="280">
        <v>-4.4749999999999998E-3</v>
      </c>
      <c r="C31" s="280">
        <v>1.6448666422511429E-4</v>
      </c>
      <c r="D31" s="280">
        <v>-1.0383333333333333E-2</v>
      </c>
      <c r="E31" s="280">
        <v>-1.7962693338216439E-2</v>
      </c>
      <c r="F31" s="237">
        <v>1.8512082849274157E-3</v>
      </c>
      <c r="G31" s="281"/>
      <c r="H31" s="280">
        <v>0.25891470086660118</v>
      </c>
      <c r="I31" s="280">
        <v>0.13775537865186904</v>
      </c>
      <c r="J31" s="280">
        <v>0.38753896317983072</v>
      </c>
      <c r="K31" s="280">
        <v>5.4609030461982858E-2</v>
      </c>
      <c r="L31" s="280">
        <v>0.16118192683971608</v>
      </c>
      <c r="M31" s="280"/>
      <c r="N31" s="280">
        <v>0.27909690332556492</v>
      </c>
      <c r="O31" s="280">
        <v>0.36673222778257308</v>
      </c>
      <c r="P31" s="280">
        <f t="shared" si="0"/>
        <v>0.36501405784234436</v>
      </c>
      <c r="Q31" s="280">
        <v>0.17440545699977877</v>
      </c>
      <c r="R31" s="280">
        <v>-0.18524864595026114</v>
      </c>
      <c r="S31" s="14"/>
      <c r="T31" s="14">
        <f>SUMPRODUCT(H31:L31,B31:F31)</f>
        <v>-5.8424745473547738E-3</v>
      </c>
      <c r="U31" s="14">
        <f>SUMPRODUCT(N31:R31,B31:F31)</f>
        <v>-8.4544242842530069E-3</v>
      </c>
      <c r="V31" s="276">
        <f>SUMPRODUCT(N31:R31,B31:F31)-T31</f>
        <v>-2.6119497368982331E-3</v>
      </c>
      <c r="W31" s="14"/>
      <c r="X31" s="14">
        <f t="shared" si="1"/>
        <v>-8.3424745473547734E-3</v>
      </c>
      <c r="Y31" s="14">
        <f t="shared" si="2"/>
        <v>-1.0954424284253007E-2</v>
      </c>
      <c r="Z31" s="14"/>
      <c r="AA31" s="14">
        <f>(N31-H31)*(B31-$T31)</f>
        <v>2.7598648172193845E-5</v>
      </c>
      <c r="AB31" s="14">
        <f>(O31-I31)*(C31-$T31)</f>
        <v>1.3754550510779193E-3</v>
      </c>
      <c r="AC31" s="14">
        <f>(P31-J31)*(D31-$T31)</f>
        <v>1.0228241430506026E-4</v>
      </c>
      <c r="AD31" s="14">
        <f>(Q31-K31)*(E31-$T31)</f>
        <v>-1.4519589000014732E-3</v>
      </c>
      <c r="AE31" s="14">
        <f>(R31-L31)*(F31-$T31)</f>
        <v>-2.6653269504519333E-3</v>
      </c>
      <c r="AF31" s="14"/>
      <c r="AG31" s="276">
        <f t="shared" si="3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6">
        <v>45107</v>
      </c>
      <c r="B32" s="280">
        <v>2.9250000000000001E-3</v>
      </c>
      <c r="C32" s="280">
        <v>1.29500569094831E-2</v>
      </c>
      <c r="D32" s="280">
        <v>-1.9333333333333336E-3</v>
      </c>
      <c r="E32" s="280">
        <v>-7.3165528477004659E-3</v>
      </c>
      <c r="F32" s="237">
        <v>2.2791069568063541E-3</v>
      </c>
      <c r="G32" s="281"/>
      <c r="H32" s="280">
        <v>0.26194913880038728</v>
      </c>
      <c r="I32" s="280">
        <v>0.13363452110367249</v>
      </c>
      <c r="J32" s="280">
        <v>0.38454953490925786</v>
      </c>
      <c r="K32" s="280">
        <v>5.3217543600630329E-2</v>
      </c>
      <c r="L32" s="280">
        <v>0.16664926158605209</v>
      </c>
      <c r="M32" s="280"/>
      <c r="N32" s="280">
        <v>0.27329423598957436</v>
      </c>
      <c r="O32" s="280">
        <v>0.3381928017338261</v>
      </c>
      <c r="P32" s="280">
        <f t="shared" si="0"/>
        <v>0.26367055375472936</v>
      </c>
      <c r="Q32" s="280">
        <v>0.13108910655763731</v>
      </c>
      <c r="R32" s="280">
        <v>-6.246698035767162E-3</v>
      </c>
      <c r="S32" s="14"/>
      <c r="T32" s="14">
        <f>SUMPRODUCT(H32:L32,B32:F32)</f>
        <v>1.743755971445911E-3</v>
      </c>
      <c r="U32" s="14">
        <f>SUMPRODUCT(N32:R32,B32:F32)</f>
        <v>3.6958813296704331E-3</v>
      </c>
      <c r="V32" s="276">
        <f>SUMPRODUCT(N32:R32,B32:F32)-T32</f>
        <v>1.9521253582245222E-3</v>
      </c>
      <c r="W32" s="14"/>
      <c r="X32" s="14">
        <f t="shared" si="1"/>
        <v>-7.562440285540891E-4</v>
      </c>
      <c r="Y32" s="14">
        <f t="shared" si="2"/>
        <v>1.1958813296704331E-3</v>
      </c>
      <c r="Z32" s="14"/>
      <c r="AA32" s="14">
        <f>(N32-H32)*(B32-$T32)</f>
        <v>1.340132830809302E-5</v>
      </c>
      <c r="AB32" s="14">
        <f>(O32-I32)*(C32-$T32)</f>
        <v>2.2923416521089647E-3</v>
      </c>
      <c r="AC32" s="14">
        <f>(P32-J32)*(D32-$T32)</f>
        <v>4.4448280877592861E-4</v>
      </c>
      <c r="AD32" s="14">
        <f>(Q32-K32)*(E32-$T32)</f>
        <v>-7.055404086200827E-4</v>
      </c>
      <c r="AE32" s="14">
        <f>(R32-L32)*(F32-$T32)</f>
        <v>-9.256002234838033E-5</v>
      </c>
      <c r="AF32" s="14"/>
      <c r="AG32" s="276">
        <f t="shared" si="3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6">
        <v>45138</v>
      </c>
      <c r="B33" s="280">
        <v>-1.555E-2</v>
      </c>
      <c r="C33" s="280">
        <v>-1.8509634020949302E-2</v>
      </c>
      <c r="D33" s="280">
        <v>-1.7333333333333335E-3</v>
      </c>
      <c r="E33" s="280">
        <v>-3.7135934708565271E-2</v>
      </c>
      <c r="F33" s="237">
        <v>-1.0362668806119428E-4</v>
      </c>
      <c r="G33" s="281"/>
      <c r="H33" s="280">
        <v>0.25217298631798468</v>
      </c>
      <c r="I33" s="280">
        <v>0.1348568435250784</v>
      </c>
      <c r="J33" s="280">
        <v>0.39201442958258731</v>
      </c>
      <c r="K33" s="280">
        <v>5.423057443190385E-2</v>
      </c>
      <c r="L33" s="280">
        <v>0.16672516614244554</v>
      </c>
      <c r="M33" s="280"/>
      <c r="N33" s="280">
        <v>0.27454406967570533</v>
      </c>
      <c r="O33" s="280">
        <v>0.3260325917396697</v>
      </c>
      <c r="P33" s="280">
        <f t="shared" si="0"/>
        <v>0.27119506580575997</v>
      </c>
      <c r="Q33" s="280">
        <v>2.7075621904414329E-2</v>
      </c>
      <c r="R33" s="280">
        <v>0.10115265087445069</v>
      </c>
      <c r="S33" s="14"/>
      <c r="T33" s="14">
        <f>SUMPRODUCT(H33:L33,B33:F33)</f>
        <v>-9.1281126821524047E-3</v>
      </c>
      <c r="U33" s="14">
        <f>SUMPRODUCT(N33:R33,B33:F33)</f>
        <v>-1.1789936324291593E-2</v>
      </c>
      <c r="V33" s="276">
        <f>SUMPRODUCT(N33:R33,B33:F33)-T33</f>
        <v>-2.661823642139188E-3</v>
      </c>
      <c r="W33" s="14"/>
      <c r="X33" s="14">
        <f t="shared" si="1"/>
        <v>-1.1628112682152405E-2</v>
      </c>
      <c r="Y33" s="14">
        <f t="shared" si="2"/>
        <v>-1.4289936324291593E-2</v>
      </c>
      <c r="Z33" s="14"/>
      <c r="AA33" s="14">
        <f>(N33-H33)*(B33-$T33)</f>
        <v>-1.436645765014576E-4</v>
      </c>
      <c r="AB33" s="14">
        <f>(O33-I33)*(C33-$T33)</f>
        <v>-1.793519361335651E-3</v>
      </c>
      <c r="AC33" s="14">
        <f>(P33-J33)*(D33-$T33)</f>
        <v>-8.9343253619434174E-4</v>
      </c>
      <c r="AD33" s="14">
        <f>(Q33-K33)*(E33-$T33)</f>
        <v>7.6055107752561672E-4</v>
      </c>
      <c r="AE33" s="14">
        <f>(R33-L33)*(F33-$T33)</f>
        <v>-5.9175824563335161E-4</v>
      </c>
      <c r="AF33" s="14"/>
      <c r="AG33" s="276">
        <f t="shared" si="3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6">
        <v>45169</v>
      </c>
      <c r="B34" s="280">
        <v>-3.4749999999999998E-3</v>
      </c>
      <c r="C34" s="280">
        <v>9.118145741289484E-3</v>
      </c>
      <c r="D34" s="280">
        <v>1.6816666666666667E-2</v>
      </c>
      <c r="E34" s="280">
        <v>-3.2553751840877047E-3</v>
      </c>
      <c r="F34" s="237">
        <v>2.1355063030117894E-3</v>
      </c>
      <c r="G34" s="281"/>
      <c r="H34" s="280">
        <v>0.24400045665199366</v>
      </c>
      <c r="I34" s="280">
        <v>0.13597344998176322</v>
      </c>
      <c r="J34" s="280">
        <v>0.41053115163828241</v>
      </c>
      <c r="K34" s="280">
        <v>5.6107474496297965E-2</v>
      </c>
      <c r="L34" s="280">
        <v>0.15338746723166274</v>
      </c>
      <c r="M34" s="280"/>
      <c r="N34" s="280">
        <v>0.26650705472027847</v>
      </c>
      <c r="O34" s="280">
        <v>0.37082759029952922</v>
      </c>
      <c r="P34" s="280">
        <f t="shared" si="0"/>
        <v>0.37279522026205414</v>
      </c>
      <c r="Q34" s="280">
        <v>0.15065274697748918</v>
      </c>
      <c r="R34" s="280">
        <v>-0.16078261225935098</v>
      </c>
      <c r="S34" s="14"/>
      <c r="T34" s="14">
        <f>SUMPRODUCT(H34:L34,B34:F34)</f>
        <v>7.4405987033569054E-3</v>
      </c>
      <c r="U34" s="14">
        <f>SUMPRODUCT(N34:R34,B34:F34)</f>
        <v>7.8905374563431642E-3</v>
      </c>
      <c r="V34" s="276">
        <f>SUMPRODUCT(N34:R34,B34:F34)-T34</f>
        <v>4.4993875298625884E-4</v>
      </c>
      <c r="W34" s="14"/>
      <c r="X34" s="14">
        <f t="shared" si="1"/>
        <v>4.9405987033569049E-3</v>
      </c>
      <c r="Y34" s="14">
        <f t="shared" si="2"/>
        <v>5.3905374563431637E-3</v>
      </c>
      <c r="Z34" s="14"/>
      <c r="AA34" s="14">
        <f>(N34-H34)*(B34-$T34)</f>
        <v>-2.4567299269114473E-4</v>
      </c>
      <c r="AB34" s="14">
        <f>(O34-I34)*(C34-$T34)</f>
        <v>3.9397886743627056E-4</v>
      </c>
      <c r="AC34" s="14">
        <f>(P34-J34)*(D34-$T34)</f>
        <v>-3.5381465724230955E-4</v>
      </c>
      <c r="AD34" s="14">
        <f>(Q34-K34)*(E34-$T34)</f>
        <v>-1.0112537656401567E-3</v>
      </c>
      <c r="AE34" s="14">
        <f>(R34-L34)*(F34-$T34)</f>
        <v>1.6667013011235977E-3</v>
      </c>
      <c r="AF34" s="14"/>
      <c r="AG34" s="276">
        <f t="shared" si="3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6">
        <v>45199</v>
      </c>
      <c r="B35" s="280">
        <v>-1.475E-3</v>
      </c>
      <c r="C35" s="280">
        <v>1.1793480192113201E-2</v>
      </c>
      <c r="D35" s="280">
        <v>2.2966666666666666E-2</v>
      </c>
      <c r="E35" s="280">
        <v>-5.6047062824402631E-3</v>
      </c>
      <c r="F35" s="237">
        <v>2.1330283925976258E-3</v>
      </c>
      <c r="G35" s="281"/>
      <c r="H35" s="280">
        <v>0.23570774204339934</v>
      </c>
      <c r="I35" s="280">
        <v>0.13037001268797899</v>
      </c>
      <c r="J35" s="280">
        <v>0.43558093208595922</v>
      </c>
      <c r="K35" s="280">
        <v>5.8856780470960289E-2</v>
      </c>
      <c r="L35" s="280">
        <v>0.13948453271170214</v>
      </c>
      <c r="M35" s="280"/>
      <c r="N35" s="280">
        <v>0.22946453046761556</v>
      </c>
      <c r="O35" s="280">
        <v>0.28672007190330762</v>
      </c>
      <c r="P35" s="280">
        <f t="shared" si="0"/>
        <v>0.38359644743914056</v>
      </c>
      <c r="Q35" s="280">
        <v>8.9392441118980287E-2</v>
      </c>
      <c r="R35" s="280">
        <v>1.0826509070956059E-2</v>
      </c>
      <c r="S35" s="14"/>
      <c r="T35" s="14">
        <f>SUMPRODUCT(H35:L35,B35:F35)</f>
        <v>1.1161338817673885E-2</v>
      </c>
      <c r="U35" s="14">
        <f>SUMPRODUCT(N35:R35,B35:F35)</f>
        <v>1.1374973923984304E-2</v>
      </c>
      <c r="V35" s="276">
        <f>SUMPRODUCT(N35:R35,B35:F35)-T35</f>
        <v>2.1363510631041902E-4</v>
      </c>
      <c r="W35" s="14"/>
      <c r="X35" s="14">
        <f t="shared" si="1"/>
        <v>8.6613388176738845E-3</v>
      </c>
      <c r="Y35" s="14">
        <f t="shared" si="2"/>
        <v>8.8749739239843035E-3</v>
      </c>
      <c r="Z35" s="14"/>
      <c r="AA35" s="14">
        <f>(N35-H35)*(B35-$T35)</f>
        <v>7.8891336782027532E-5</v>
      </c>
      <c r="AB35" s="14">
        <f>(O35-I35)*(C35-$T35)</f>
        <v>9.8835341326046228E-5</v>
      </c>
      <c r="AC35" s="14">
        <f>(P35-J35)*(D35-$T35)</f>
        <v>-6.136938843166259E-4</v>
      </c>
      <c r="AD35" s="14">
        <f>(Q35-K35)*(E35-$T35)</f>
        <v>-5.1196226358648405E-4</v>
      </c>
      <c r="AE35" s="14">
        <f>(R35-L35)*(F35-$T35)</f>
        <v>1.1615645761054558E-3</v>
      </c>
      <c r="AF35" s="14"/>
      <c r="AG35" s="276">
        <f t="shared" si="3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6">
        <v>45230</v>
      </c>
      <c r="B36" s="280">
        <v>-1.075E-3</v>
      </c>
      <c r="C36" s="280">
        <v>1.4751413418177978E-2</v>
      </c>
      <c r="D36" s="280">
        <v>2.1641666666666667E-2</v>
      </c>
      <c r="E36" s="280">
        <v>4.0361601696892908E-3</v>
      </c>
      <c r="F36" s="237">
        <v>2.9793041837017516E-3</v>
      </c>
      <c r="G36" s="281"/>
      <c r="H36" s="280">
        <v>0.22632352744638687</v>
      </c>
      <c r="I36" s="280">
        <v>0.1316374286888661</v>
      </c>
      <c r="J36" s="280">
        <v>0.45640730441027416</v>
      </c>
      <c r="K36" s="280">
        <v>6.1264129134291662E-2</v>
      </c>
      <c r="L36" s="280">
        <v>0.12436761032018123</v>
      </c>
      <c r="M36" s="280"/>
      <c r="N36" s="280">
        <v>0.25641112765182972</v>
      </c>
      <c r="O36" s="280">
        <v>0.3273896632933086</v>
      </c>
      <c r="P36" s="280">
        <f t="shared" si="0"/>
        <v>0.32171878307770096</v>
      </c>
      <c r="Q36" s="280">
        <v>0.14138276928228524</v>
      </c>
      <c r="R36" s="280">
        <v>-4.690234330512455E-2</v>
      </c>
      <c r="S36" s="14"/>
      <c r="T36" s="14">
        <f>SUMPRODUCT(H36:L36,B36:F36)</f>
        <v>1.2193755865755973E-2</v>
      </c>
      <c r="U36" s="14">
        <f>SUMPRODUCT(N36:R36,B36:F36)</f>
        <v>1.1947256128048367E-2</v>
      </c>
      <c r="V36" s="276">
        <f>SUMPRODUCT(N36:R36,B36:F36)-T36</f>
        <v>-2.4649973770760579E-4</v>
      </c>
      <c r="W36" s="14"/>
      <c r="X36" s="14">
        <f t="shared" si="1"/>
        <v>9.6937558657559722E-3</v>
      </c>
      <c r="Y36" s="14">
        <f t="shared" si="2"/>
        <v>9.4472561280483664E-3</v>
      </c>
      <c r="Z36" s="14"/>
      <c r="AA36" s="14">
        <f>(N36-H36)*(B36-$T36)</f>
        <v>-3.9922502171249038E-4</v>
      </c>
      <c r="AB36" s="14">
        <f>(O36-I36)*(C36-$T36)</f>
        <v>5.0066718123953661E-4</v>
      </c>
      <c r="AC36" s="14">
        <f>(P36-J36)*(D36-$T36)</f>
        <v>-1.2725251354567088E-3</v>
      </c>
      <c r="AD36" s="14">
        <f>(Q36-K36)*(E36-$T36)</f>
        <v>-6.5357547404598767E-4</v>
      </c>
      <c r="AE36" s="14">
        <f>(R36-L36)*(F36-$T36)</f>
        <v>1.5781587122680471E-3</v>
      </c>
      <c r="AF36" s="14"/>
      <c r="AG36" s="276">
        <f t="shared" si="3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6">
        <v>45260</v>
      </c>
      <c r="B37" s="280">
        <v>1.9750000000000002E-3</v>
      </c>
      <c r="C37" s="280">
        <v>1.0225458435541075E-2</v>
      </c>
      <c r="D37" s="280">
        <v>-4.3583333333333339E-3</v>
      </c>
      <c r="E37" s="280">
        <v>-9.3407497955845138E-3</v>
      </c>
      <c r="F37" s="237">
        <v>2.4591417556091618E-3</v>
      </c>
      <c r="G37" s="281"/>
      <c r="H37" s="280">
        <v>0.23005318637144964</v>
      </c>
      <c r="I37" s="280">
        <v>0.12943456324609132</v>
      </c>
      <c r="J37" s="280">
        <v>0.45226785088314397</v>
      </c>
      <c r="K37" s="280">
        <v>5.8591298008366571E-2</v>
      </c>
      <c r="L37" s="280">
        <v>0.12965310149094855</v>
      </c>
      <c r="M37" s="280"/>
      <c r="N37" s="280">
        <v>0.25493770381225483</v>
      </c>
      <c r="O37" s="280">
        <v>0.37652950180554901</v>
      </c>
      <c r="P37" s="280">
        <f t="shared" si="0"/>
        <v>0.42540110878886361</v>
      </c>
      <c r="Q37" s="280">
        <v>0.15350832644890747</v>
      </c>
      <c r="R37" s="280">
        <v>-0.21037664085557495</v>
      </c>
      <c r="S37" s="14"/>
      <c r="T37" s="14">
        <f>SUMPRODUCT(H37:L37,B37:F37)</f>
        <v>-4.2170255969416074E-4</v>
      </c>
      <c r="U37" s="14">
        <f>SUMPRODUCT(N37:R37,B37:F37)</f>
        <v>5.4842005219447897E-4</v>
      </c>
      <c r="V37" s="276">
        <f>SUMPRODUCT(N37:R37,B37:F37)-T37</f>
        <v>9.7012261188863971E-4</v>
      </c>
      <c r="W37" s="14"/>
      <c r="X37" s="14">
        <f t="shared" si="1"/>
        <v>-2.9217025596941608E-3</v>
      </c>
      <c r="Y37" s="14">
        <f t="shared" si="2"/>
        <v>-1.9515799478055211E-3</v>
      </c>
      <c r="Z37" s="14"/>
      <c r="AA37" s="14">
        <f>(N37-H37)*(B37-$T37)</f>
        <v>5.9640786647131798E-5</v>
      </c>
      <c r="AB37" s="14">
        <f>(O37-I37)*(C37-$T37)</f>
        <v>2.6308595919503049E-3</v>
      </c>
      <c r="AC37" s="14">
        <f>(P37-J37)*(D37-$T37)</f>
        <v>1.0576444371577105E-4</v>
      </c>
      <c r="AD37" s="14">
        <f>(Q37-K37)*(E37-$T37)</f>
        <v>-8.4656946015153236E-4</v>
      </c>
      <c r="AE37" s="14">
        <f>(R37-L37)*(F37-$T37)</f>
        <v>-9.7957275027303571E-4</v>
      </c>
      <c r="AF37" s="14"/>
      <c r="AG37" s="276">
        <f t="shared" si="3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6">
        <v>45291</v>
      </c>
      <c r="B38" s="280">
        <v>-1.3825E-2</v>
      </c>
      <c r="C38" s="280">
        <v>-1.5338212261302395E-2</v>
      </c>
      <c r="D38" s="280">
        <v>9.1666666666666665E-4</v>
      </c>
      <c r="E38" s="280">
        <v>-3.2643091189271459E-2</v>
      </c>
      <c r="F38" s="237">
        <v>8.768632747902308E-5</v>
      </c>
      <c r="G38" s="281"/>
      <c r="H38" s="280">
        <v>0.2209994106307078</v>
      </c>
      <c r="I38" s="280">
        <v>0.1309040578883903</v>
      </c>
      <c r="J38" s="280">
        <v>0.46158763390871416</v>
      </c>
      <c r="K38" s="280">
        <v>5.934785222925211E-2</v>
      </c>
      <c r="L38" s="280">
        <v>0.12716104534293554</v>
      </c>
      <c r="M38" s="280"/>
      <c r="N38" s="280">
        <v>0.27468789812507216</v>
      </c>
      <c r="O38" s="280">
        <v>0.26267334022310729</v>
      </c>
      <c r="P38" s="280">
        <f t="shared" si="0"/>
        <v>0.3299461472007556</v>
      </c>
      <c r="Q38" s="280">
        <v>6.8678530218598544E-2</v>
      </c>
      <c r="R38" s="280">
        <v>6.4014084232466351E-2</v>
      </c>
      <c r="S38" s="14"/>
      <c r="T38" s="14">
        <f>SUMPRODUCT(H38:L38,B38:F38)</f>
        <v>-6.5661761471201953E-3</v>
      </c>
      <c r="U38" s="14">
        <f>SUMPRODUCT(N38:R38,B38:F38)</f>
        <v>-9.760315369089988E-3</v>
      </c>
      <c r="V38" s="276">
        <f>SUMPRODUCT(N38:R38,B38:F38)-T38</f>
        <v>-3.1941392219697927E-3</v>
      </c>
      <c r="W38" s="14"/>
      <c r="X38" s="14">
        <f t="shared" si="1"/>
        <v>-9.0661761471201949E-3</v>
      </c>
      <c r="Y38" s="14">
        <f t="shared" si="2"/>
        <v>-1.2260315369089989E-2</v>
      </c>
      <c r="Z38" s="14"/>
      <c r="AA38" s="14">
        <f>(N38-H38)*(B38-$T38)</f>
        <v>-3.8971527364913114E-4</v>
      </c>
      <c r="AB38" s="14">
        <f>(O38-I38)*(C38-$T38)</f>
        <v>-1.155884903380008E-3</v>
      </c>
      <c r="AC38" s="14">
        <f>(P38-J38)*(D38-$T38)</f>
        <v>-9.8505255280886632E-4</v>
      </c>
      <c r="AD38" s="14">
        <f>(Q38-K38)*(E38-$T38)</f>
        <v>-2.4331529721385774E-4</v>
      </c>
      <c r="AE38" s="14">
        <f>(R38-L38)*(F38-$T38)</f>
        <v>-4.2017119491792712E-4</v>
      </c>
      <c r="AF38" s="14"/>
      <c r="AG38" s="276">
        <f t="shared" si="3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6">
        <v>45322</v>
      </c>
      <c r="B39" s="280">
        <v>1.7250000000000001E-2</v>
      </c>
      <c r="C39" s="280">
        <v>4.1951138362158961E-2</v>
      </c>
      <c r="D39" s="280">
        <v>1.2666666666666666E-2</v>
      </c>
      <c r="E39" s="280">
        <v>2.458561005765126E-2</v>
      </c>
      <c r="F39" s="237">
        <v>4.9926947917659711E-3</v>
      </c>
      <c r="G39" s="281"/>
      <c r="H39" s="280">
        <v>0.22687859969308055</v>
      </c>
      <c r="I39" s="280">
        <v>0.12467728295447159</v>
      </c>
      <c r="J39" s="280">
        <v>0.46574031419433537</v>
      </c>
      <c r="K39" s="280">
        <v>5.7826189749873275E-2</v>
      </c>
      <c r="L39" s="280">
        <v>0.12487761340823927</v>
      </c>
      <c r="M39" s="280"/>
      <c r="N39" s="280">
        <v>0.22929159489089079</v>
      </c>
      <c r="O39" s="280">
        <v>0.37565833321303216</v>
      </c>
      <c r="P39" s="280">
        <f t="shared" si="0"/>
        <v>0.38283692051445495</v>
      </c>
      <c r="Q39" s="280">
        <v>0.22113625342561774</v>
      </c>
      <c r="R39" s="280">
        <v>-0.20892310204399567</v>
      </c>
      <c r="S39" s="14"/>
      <c r="T39" s="14">
        <f>SUMPRODUCT(H39:L39,B39:F39)</f>
        <v>1.7088555068056583E-2</v>
      </c>
      <c r="U39" s="14">
        <f>SUMPRODUCT(N39:R39,B39:F39)</f>
        <v>2.8957522798113092E-2</v>
      </c>
      <c r="V39" s="276">
        <f>SUMPRODUCT(N39:R39,B39:F39)-T39</f>
        <v>1.1868967730056509E-2</v>
      </c>
      <c r="W39" s="14"/>
      <c r="X39" s="14">
        <f t="shared" si="1"/>
        <v>1.4588555068056583E-2</v>
      </c>
      <c r="Y39" s="14">
        <f t="shared" si="2"/>
        <v>2.6457522798113094E-2</v>
      </c>
      <c r="Z39" s="14"/>
      <c r="AA39" s="14">
        <f>(N39-H39)*(B39-$T39)</f>
        <v>3.8956584549026995E-7</v>
      </c>
      <c r="AB39" s="14">
        <f>(O39-I39)*(C39-$T39)</f>
        <v>6.240037267294757E-3</v>
      </c>
      <c r="AC39" s="14">
        <f>(P39-J39)*(D39-$T39)</f>
        <v>3.6658955494892536E-4</v>
      </c>
      <c r="AD39" s="14">
        <f>(Q39-K39)*(E39-$T39)</f>
        <v>1.2243445277312643E-3</v>
      </c>
      <c r="AE39" s="14">
        <f>(R39-L39)*(F39-$T39)</f>
        <v>4.0376068142360744E-3</v>
      </c>
      <c r="AF39" s="14"/>
      <c r="AG39" s="276">
        <f t="shared" si="3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6">
        <v>45351</v>
      </c>
      <c r="B40" s="280">
        <v>1.2725E-2</v>
      </c>
      <c r="C40" s="280">
        <v>4.2068571485232673E-2</v>
      </c>
      <c r="D40" s="280">
        <v>1.4891666666666666E-2</v>
      </c>
      <c r="E40" s="280">
        <v>3.2770476303798687E-2</v>
      </c>
      <c r="F40" s="237">
        <v>6.1074687309100404E-3</v>
      </c>
      <c r="G40" s="281"/>
      <c r="H40" s="280">
        <v>0.22686385049201729</v>
      </c>
      <c r="I40" s="280">
        <v>0.1251753361458609</v>
      </c>
      <c r="J40" s="280">
        <v>0.46955070064078297</v>
      </c>
      <c r="K40" s="280">
        <v>5.9588630932537176E-2</v>
      </c>
      <c r="L40" s="280">
        <v>0.11882148178880167</v>
      </c>
      <c r="M40" s="280"/>
      <c r="N40" s="280">
        <v>0.24664055473819557</v>
      </c>
      <c r="O40" s="280">
        <v>0.42647488563840263</v>
      </c>
      <c r="P40" s="280">
        <f t="shared" si="0"/>
        <v>0.43350370092574714</v>
      </c>
      <c r="Q40" s="280">
        <v>0.11542319410900496</v>
      </c>
      <c r="R40" s="280">
        <v>-0.22204233541135032</v>
      </c>
      <c r="S40" s="14"/>
      <c r="T40" s="14">
        <f>SUMPRODUCT(H40:L40,B40:F40)</f>
        <v>1.7823628893929442E-2</v>
      </c>
      <c r="U40" s="14">
        <f>SUMPRODUCT(N40:R40,B40:F40)</f>
        <v>2.9961639312126538E-2</v>
      </c>
      <c r="V40" s="276">
        <f>SUMPRODUCT(N40:R40,B40:F40)-T40</f>
        <v>1.2138010418197096E-2</v>
      </c>
      <c r="W40" s="14"/>
      <c r="X40" s="14">
        <f t="shared" si="1"/>
        <v>1.5323628893929441E-2</v>
      </c>
      <c r="Y40" s="14">
        <f t="shared" si="2"/>
        <v>2.7461639312126539E-2</v>
      </c>
      <c r="Z40" s="14"/>
      <c r="AA40" s="14">
        <f>(N40-H40)*(B40-$T40)</f>
        <v>-1.0083407569626165E-4</v>
      </c>
      <c r="AB40" s="14">
        <f>(O40-I40)*(C40-$T40)</f>
        <v>7.3049902802322011E-3</v>
      </c>
      <c r="AC40" s="14">
        <f>(P40-J40)*(D40-$T40)</f>
        <v>1.0568844157063712E-4</v>
      </c>
      <c r="AD40" s="14">
        <f>(Q40-K40)*(E40-$T40)</f>
        <v>8.3455069599536831E-4</v>
      </c>
      <c r="AE40" s="14">
        <f>(R40-L40)*(F40-$T40)</f>
        <v>3.9936150760951483E-3</v>
      </c>
      <c r="AF40" s="14"/>
      <c r="AG40" s="276">
        <f t="shared" si="3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6">
        <v>45382</v>
      </c>
      <c r="B41" s="280">
        <v>-1.32E-2</v>
      </c>
      <c r="C41" s="280">
        <v>-5.3172733534025624E-3</v>
      </c>
      <c r="D41" s="280">
        <v>1.3416666666666666E-3</v>
      </c>
      <c r="E41" s="280">
        <v>-1.5226213373471791E-2</v>
      </c>
      <c r="F41" s="237">
        <v>6.0503147934199645E-4</v>
      </c>
      <c r="G41" s="281"/>
      <c r="H41" s="280">
        <v>0.21541611389443036</v>
      </c>
      <c r="I41" s="280">
        <v>0.13194273259890565</v>
      </c>
      <c r="J41" s="280">
        <v>0.47323643434532325</v>
      </c>
      <c r="K41" s="280">
        <v>6.3767955022714262E-2</v>
      </c>
      <c r="L41" s="280">
        <v>0.11563676413862649</v>
      </c>
      <c r="M41" s="280"/>
      <c r="N41" s="280">
        <v>0.22512312017625422</v>
      </c>
      <c r="O41" s="280">
        <v>0.41572173068175855</v>
      </c>
      <c r="P41" s="280">
        <f t="shared" si="0"/>
        <v>0.3295354571644718</v>
      </c>
      <c r="Q41" s="280">
        <v>0.14699223536016809</v>
      </c>
      <c r="R41" s="280">
        <v>-0.11737254338265268</v>
      </c>
      <c r="S41" s="14"/>
      <c r="T41" s="14">
        <f>SUMPRODUCT(H41:L41,B41:F41)</f>
        <v>-3.8111233373091372E-3</v>
      </c>
      <c r="U41" s="14">
        <f>SUMPRODUCT(N41:R41,B41:F41)</f>
        <v>-7.0491537523431763E-3</v>
      </c>
      <c r="V41" s="276">
        <f>SUMPRODUCT(N41:R41,B41:F41)-T41</f>
        <v>-3.2380304150340391E-3</v>
      </c>
      <c r="W41" s="14"/>
      <c r="X41" s="14">
        <f t="shared" si="1"/>
        <v>-6.3111233373091373E-3</v>
      </c>
      <c r="Y41" s="14">
        <f t="shared" si="2"/>
        <v>-9.5491537523431768E-3</v>
      </c>
      <c r="Z41" s="14"/>
      <c r="AA41" s="14">
        <f>(N41-H41)*(B41-$T41)</f>
        <v>-9.1137884744009641E-5</v>
      </c>
      <c r="AB41" s="14">
        <f>(O41-I41)*(C41-$T41)</f>
        <v>-4.2741374252946497E-4</v>
      </c>
      <c r="AC41" s="14">
        <f>(P41-J41)*(D41-$T41)</f>
        <v>-7.4046095877904647E-4</v>
      </c>
      <c r="AD41" s="14">
        <f>(Q41-K41)*(E41-$T41)</f>
        <v>-9.5001265324687659E-4</v>
      </c>
      <c r="AE41" s="14">
        <f>(R41-L41)*(F41-$T41)</f>
        <v>-1.0290051757346425E-3</v>
      </c>
      <c r="AF41" s="14"/>
      <c r="AG41" s="276">
        <f t="shared" si="3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6">
        <v>45412</v>
      </c>
      <c r="B42" s="280">
        <v>3.7500000000000001E-4</v>
      </c>
      <c r="C42" s="280">
        <v>1.3007317083196541E-2</v>
      </c>
      <c r="D42" s="280">
        <v>-1.3333333333333333E-3</v>
      </c>
      <c r="E42" s="280">
        <v>-3.0020325002735881E-3</v>
      </c>
      <c r="F42" s="237">
        <v>2.934859069350205E-3</v>
      </c>
      <c r="G42" s="281"/>
      <c r="H42" s="280">
        <v>0.21551433435027972</v>
      </c>
      <c r="I42" s="280">
        <v>0.1317876109913593</v>
      </c>
      <c r="J42" s="280">
        <v>0.47022179859621072</v>
      </c>
      <c r="K42" s="280">
        <v>6.40836871116304E-2</v>
      </c>
      <c r="L42" s="280">
        <v>0.11839256895051979</v>
      </c>
      <c r="M42" s="280"/>
      <c r="N42" s="280">
        <v>0.24099479819442166</v>
      </c>
      <c r="O42" s="280">
        <v>0.28689116224317307</v>
      </c>
      <c r="P42" s="280">
        <f t="shared" si="0"/>
        <v>0.36664297554776393</v>
      </c>
      <c r="Q42" s="280">
        <v>0.1619243999578581</v>
      </c>
      <c r="R42" s="280">
        <v>-5.6453335943216665E-2</v>
      </c>
      <c r="S42" s="14"/>
      <c r="T42" s="14">
        <f>SUMPRODUCT(H42:L42,B42:F42)</f>
        <v>1.3231429143362662E-3</v>
      </c>
      <c r="U42" s="14">
        <f>SUMPRODUCT(N42:R42,B42:F42)</f>
        <v>2.6814151680074794E-3</v>
      </c>
      <c r="V42" s="276">
        <f>SUMPRODUCT(N42:R42,B42:F42)-T42</f>
        <v>1.3582722536712132E-3</v>
      </c>
      <c r="W42" s="14"/>
      <c r="X42" s="14">
        <f t="shared" si="1"/>
        <v>-1.1768570856637338E-3</v>
      </c>
      <c r="Y42" s="14">
        <f t="shared" si="2"/>
        <v>1.8141516800747933E-4</v>
      </c>
      <c r="Z42" s="14"/>
      <c r="AA42" s="14">
        <f>(N42-H42)*(B42-$T42)</f>
        <v>-2.4159121247824593E-5</v>
      </c>
      <c r="AB42" s="14">
        <f>(O42-I42)*(C42-$T42)</f>
        <v>1.8122569070349382E-3</v>
      </c>
      <c r="AC42" s="14">
        <f>(P42-J42)*(D42-$T42)</f>
        <v>2.7515468318977136E-4</v>
      </c>
      <c r="AD42" s="14">
        <f>(Q42-K42)*(E42-$T42)</f>
        <v>-4.2317824575040654E-4</v>
      </c>
      <c r="AE42" s="14">
        <f>(R42-L42)*(F42-$T42)</f>
        <v>-2.8180196955526575E-4</v>
      </c>
      <c r="AF42" s="14"/>
      <c r="AG42" s="276">
        <f t="shared" si="3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6">
        <v>45443</v>
      </c>
      <c r="B43" s="280">
        <v>-3.3399999999999999E-2</v>
      </c>
      <c r="C43" s="280">
        <v>-4.7502206291406758E-2</v>
      </c>
      <c r="D43" s="280">
        <v>-1.5633333333333332E-2</v>
      </c>
      <c r="E43" s="280">
        <v>-6.3771079249480195E-2</v>
      </c>
      <c r="F43" s="237">
        <v>-3.047628780697414E-3</v>
      </c>
      <c r="G43" s="281"/>
      <c r="H43" s="280">
        <v>0.19870504115473825</v>
      </c>
      <c r="I43" s="280">
        <v>0.14050726911205313</v>
      </c>
      <c r="J43" s="280">
        <v>0.46910803660185346</v>
      </c>
      <c r="K43" s="280">
        <v>6.8687465042213861E-2</v>
      </c>
      <c r="L43" s="280">
        <v>0.12299218808914117</v>
      </c>
      <c r="M43" s="280"/>
      <c r="N43" s="280">
        <v>0.23125223335692074</v>
      </c>
      <c r="O43" s="280">
        <v>0.41030415039719992</v>
      </c>
      <c r="P43" s="280">
        <f t="shared" si="0"/>
        <v>0.2894276309178051</v>
      </c>
      <c r="Q43" s="280">
        <v>7.3375741013198104E-2</v>
      </c>
      <c r="R43" s="280">
        <v>-4.3597556851238117E-3</v>
      </c>
      <c r="S43" s="14"/>
      <c r="T43" s="14">
        <f>SUMPRODUCT(H43:L43,B43:F43)</f>
        <v>-2.5399984271787853E-2</v>
      </c>
      <c r="U43" s="14">
        <f>SUMPRODUCT(N43:R43,B43:F43)</f>
        <v>-3.6404858896763544E-2</v>
      </c>
      <c r="V43" s="276">
        <f>SUMPRODUCT(N43:R43,B43:F43)-T43</f>
        <v>-1.1004874624975691E-2</v>
      </c>
      <c r="W43" s="14"/>
      <c r="X43" s="14">
        <f t="shared" si="1"/>
        <v>-2.7899984271787852E-2</v>
      </c>
      <c r="Y43" s="14">
        <f t="shared" si="2"/>
        <v>-3.8904858896763546E-2</v>
      </c>
      <c r="Z43" s="14"/>
      <c r="AA43" s="14">
        <f>(N43-H43)*(B43-$T43)</f>
        <v>-2.603780495266037E-4</v>
      </c>
      <c r="AB43" s="14">
        <f>(O43-I43)*(C43-$T43)</f>
        <v>-5.9631105703650787E-3</v>
      </c>
      <c r="AC43" s="14">
        <f>(P43-J43)*(D43-$T43)</f>
        <v>-1.754875802796E-3</v>
      </c>
      <c r="AD43" s="14">
        <f>(Q43-K43)*(E43-$T43)</f>
        <v>-1.7989428256426915E-4</v>
      </c>
      <c r="AE43" s="14">
        <f>(R43-L43)*(F43-$T43)</f>
        <v>-2.8466159197237328E-3</v>
      </c>
      <c r="AF43" s="14"/>
      <c r="AG43" s="276">
        <f t="shared" si="3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6">
        <v>45473</v>
      </c>
      <c r="B44" s="280">
        <v>1.5299999999999999E-2</v>
      </c>
      <c r="C44" s="280">
        <v>3.7874231847154438E-2</v>
      </c>
      <c r="D44" s="280">
        <v>-9.1583333333333343E-3</v>
      </c>
      <c r="E44" s="280">
        <v>2.5156797027642216E-2</v>
      </c>
      <c r="F44" s="237">
        <v>4.8240580014162699E-3</v>
      </c>
      <c r="G44" s="281"/>
      <c r="H44" s="280">
        <v>0.20989073060229954</v>
      </c>
      <c r="I44" s="280">
        <v>0.14348918752635634</v>
      </c>
      <c r="J44" s="280">
        <v>0.44983331980370678</v>
      </c>
      <c r="K44" s="280">
        <v>6.4226636247243798E-2</v>
      </c>
      <c r="L44" s="280">
        <v>0.13256012582039356</v>
      </c>
      <c r="M44" s="280"/>
      <c r="N44" s="280">
        <v>0.18725505937017103</v>
      </c>
      <c r="O44" s="280">
        <v>0.32166834740208267</v>
      </c>
      <c r="P44" s="280">
        <f t="shared" si="0"/>
        <v>0.2513730308711597</v>
      </c>
      <c r="Q44" s="280">
        <v>0.12431871465296725</v>
      </c>
      <c r="R44" s="280">
        <v>0.11538484770361934</v>
      </c>
      <c r="S44" s="14"/>
      <c r="T44" s="14">
        <f>SUMPRODUCT(H44:L44,B44:F44)</f>
        <v>6.7813616344186796E-3</v>
      </c>
      <c r="U44" s="14">
        <f>SUMPRODUCT(N44:R44,B44:F44)</f>
        <v>1.6429869837101652E-2</v>
      </c>
      <c r="V44" s="276">
        <f>SUMPRODUCT(N44:R44,B44:F44)-T44</f>
        <v>9.6485082026829712E-3</v>
      </c>
      <c r="W44" s="14"/>
      <c r="X44" s="14">
        <f t="shared" si="1"/>
        <v>4.2813616344186799E-3</v>
      </c>
      <c r="Y44" s="14">
        <f t="shared" si="2"/>
        <v>1.3929869837101651E-2</v>
      </c>
      <c r="Z44" s="14"/>
      <c r="AA44" s="14">
        <f>(N44-H44)*(B44-$T44)</f>
        <v>-1.9282509738869529E-4</v>
      </c>
      <c r="AB44" s="14">
        <f>(O44-I44)*(C44-$T44)</f>
        <v>5.5401014926302538E-3</v>
      </c>
      <c r="AC44" s="14">
        <f>(P44-J44)*(D44-$T44)</f>
        <v>3.1633964687967316E-3</v>
      </c>
      <c r="AD44" s="14">
        <f>(Q44-K44)*(E44-$T44)</f>
        <v>1.1042181043888944E-3</v>
      </c>
      <c r="AE44" s="14">
        <f>(R44-L44)*(F44-$T44)</f>
        <v>3.3617234255788961E-5</v>
      </c>
      <c r="AF44" s="14"/>
      <c r="AG44" s="276">
        <f t="shared" si="3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6">
        <v>45504</v>
      </c>
      <c r="B45" s="280">
        <v>2.9624999999999999E-2</v>
      </c>
      <c r="C45" s="280">
        <v>6.8807121092329906E-2</v>
      </c>
      <c r="D45" s="280">
        <v>4.9166666666666664E-3</v>
      </c>
      <c r="E45" s="280">
        <v>5.7472575517993139E-2</v>
      </c>
      <c r="F45" s="237">
        <v>7.6949197647998525E-3</v>
      </c>
      <c r="G45" s="281"/>
      <c r="H45" s="280">
        <v>0.22304230374314193</v>
      </c>
      <c r="I45" s="280">
        <v>0.14182852944286037</v>
      </c>
      <c r="J45" s="280">
        <v>0.43578054513451325</v>
      </c>
      <c r="K45" s="280">
        <v>6.2399191134482633E-2</v>
      </c>
      <c r="L45" s="280">
        <v>0.13694943054500186</v>
      </c>
      <c r="M45" s="280"/>
      <c r="N45" s="280">
        <v>0.24770372213360226</v>
      </c>
      <c r="O45" s="280">
        <v>0.33544326959919613</v>
      </c>
      <c r="P45" s="280">
        <f t="shared" si="0"/>
        <v>0.26736304898881025</v>
      </c>
      <c r="Q45" s="280">
        <v>0.16156736834136678</v>
      </c>
      <c r="R45" s="280">
        <v>-1.2077409062975386E-2</v>
      </c>
      <c r="S45" s="14"/>
      <c r="T45" s="14">
        <f>SUMPRODUCT(H45:L45,B45:F45)</f>
        <v>2.31490858329743E-2</v>
      </c>
      <c r="U45" s="14">
        <f>SUMPRODUCT(N45:R45,B45:F45)</f>
        <v>4.0926401514524924E-2</v>
      </c>
      <c r="V45" s="276">
        <f>SUMPRODUCT(N45:R45,B45:F45)-T45</f>
        <v>1.7777315681550623E-2</v>
      </c>
      <c r="W45" s="14"/>
      <c r="X45" s="14">
        <f t="shared" si="1"/>
        <v>2.0649085832974302E-2</v>
      </c>
      <c r="Y45" s="14">
        <f t="shared" si="2"/>
        <v>3.8426401514524922E-2</v>
      </c>
      <c r="Z45" s="14"/>
      <c r="AA45" s="14">
        <f>(N45-H45)*(B45-$T45)</f>
        <v>1.5970522873373009E-4</v>
      </c>
      <c r="AB45" s="14">
        <f>(O45-I45)*(C45-$T45)</f>
        <v>8.840068632788951E-3</v>
      </c>
      <c r="AC45" s="14">
        <f>(P45-J45)*(D45-$T45)</f>
        <v>3.0706583846684577E-3</v>
      </c>
      <c r="AD45" s="14">
        <f>(Q45-K45)*(E45-$T45)</f>
        <v>3.4037979074426081E-3</v>
      </c>
      <c r="AE45" s="14">
        <f>(R45-L45)*(F45-$T45)</f>
        <v>2.3030855279168776E-3</v>
      </c>
      <c r="AF45" s="14"/>
      <c r="AG45" s="276">
        <f t="shared" si="3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6">
        <v>45535</v>
      </c>
      <c r="B46" s="280">
        <v>1.5075E-2</v>
      </c>
      <c r="C46" s="280">
        <v>3.2288258872841834E-2</v>
      </c>
      <c r="D46" s="280">
        <v>6.3416666666666665E-3</v>
      </c>
      <c r="E46" s="280">
        <v>8.609851079016996E-3</v>
      </c>
      <c r="F46" s="237">
        <v>5.4078110605161062E-3</v>
      </c>
      <c r="G46" s="281"/>
      <c r="H46" s="280">
        <v>0.23194325597492788</v>
      </c>
      <c r="I46" s="280">
        <v>0.13101432176761632</v>
      </c>
      <c r="J46" s="280">
        <v>0.43824077069079531</v>
      </c>
      <c r="K46" s="280">
        <v>5.868377246706994E-2</v>
      </c>
      <c r="L46" s="280">
        <v>0.1401178790995905</v>
      </c>
      <c r="M46" s="280"/>
      <c r="N46" s="280">
        <v>0.24213527304383969</v>
      </c>
      <c r="O46" s="280">
        <v>0.31234910993534909</v>
      </c>
      <c r="P46" s="280">
        <f t="shared" si="0"/>
        <v>0.3202859741640397</v>
      </c>
      <c r="Q46" s="280">
        <v>0.10987650205936414</v>
      </c>
      <c r="R46" s="280">
        <v>1.535314079740735E-2</v>
      </c>
      <c r="S46" s="14"/>
      <c r="T46" s="14">
        <f>SUMPRODUCT(H46:L46,B46:F46)</f>
        <v>1.1768935366635971E-2</v>
      </c>
      <c r="U46" s="14">
        <f>SUMPRODUCT(N46:R46,B46:F46)</f>
        <v>1.6795592252019431E-2</v>
      </c>
      <c r="V46" s="276">
        <f>SUMPRODUCT(N46:R46,B46:F46)-T46</f>
        <v>5.0266568853834601E-3</v>
      </c>
      <c r="W46" s="14"/>
      <c r="X46" s="14">
        <f t="shared" si="1"/>
        <v>9.2689353666359706E-3</v>
      </c>
      <c r="Y46" s="14">
        <f t="shared" si="2"/>
        <v>1.4295592252019431E-2</v>
      </c>
      <c r="Z46" s="14"/>
      <c r="AA46" s="14">
        <f>(N46-H46)*(B46-$T46)</f>
        <v>3.3695467174171874E-5</v>
      </c>
      <c r="AB46" s="14">
        <f>(O46-I46)*(C46-$T46)</f>
        <v>3.7208671813430193E-3</v>
      </c>
      <c r="AC46" s="14">
        <f>(P46-J46)*(D46-$T46)</f>
        <v>6.401723752009088E-4</v>
      </c>
      <c r="AD46" s="14">
        <f>(Q46-K46)*(E46-$T46)</f>
        <v>-1.6172214769534355E-4</v>
      </c>
      <c r="AE46" s="14">
        <f>(R46-L46)*(F46-$T46)</f>
        <v>7.9364400936070138E-4</v>
      </c>
      <c r="AF46" s="14"/>
      <c r="AG46" s="276">
        <f t="shared" si="3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6">
        <v>45565</v>
      </c>
      <c r="B47" s="280">
        <v>1.3950000000000001E-2</v>
      </c>
      <c r="C47" s="280">
        <v>4.1183681972947681E-2</v>
      </c>
      <c r="D47" s="280">
        <v>-1.4808333333333333E-2</v>
      </c>
      <c r="E47" s="280">
        <v>3.6975697279228684E-2</v>
      </c>
      <c r="F47" s="237">
        <v>5.2007517343631493E-3</v>
      </c>
      <c r="G47" s="281"/>
      <c r="H47" s="280">
        <v>0.24244621231870322</v>
      </c>
      <c r="I47" s="280">
        <v>0.14239043242185806</v>
      </c>
      <c r="J47" s="280">
        <v>0.40817527709467138</v>
      </c>
      <c r="K47" s="280">
        <v>5.5781025055975493E-2</v>
      </c>
      <c r="L47" s="280">
        <v>0.15120705310879176</v>
      </c>
      <c r="M47" s="280"/>
      <c r="N47" s="280">
        <v>0.23049555769141361</v>
      </c>
      <c r="O47" s="280">
        <v>0.50948737611416228</v>
      </c>
      <c r="P47" s="280">
        <f t="shared" si="0"/>
        <v>0.37810556750915753</v>
      </c>
      <c r="Q47" s="280">
        <v>9.8824795807221977E-2</v>
      </c>
      <c r="R47" s="280">
        <v>-0.2169132971219554</v>
      </c>
      <c r="S47" s="14"/>
      <c r="T47" s="14">
        <f>SUMPRODUCT(H47:L47,B47:F47)</f>
        <v>6.050824025152929E-3</v>
      </c>
      <c r="U47" s="14">
        <f>SUMPRODUCT(N47:R47,B47:F47)</f>
        <v>2.1124869345283674E-2</v>
      </c>
      <c r="V47" s="276">
        <f>SUMPRODUCT(N47:R47,B47:F47)-T47</f>
        <v>1.5074045320130746E-2</v>
      </c>
      <c r="W47" s="14"/>
      <c r="X47" s="14">
        <f t="shared" si="1"/>
        <v>3.550824025152929E-3</v>
      </c>
      <c r="Y47" s="14">
        <f t="shared" si="2"/>
        <v>1.8624869345283675E-2</v>
      </c>
      <c r="Z47" s="14"/>
      <c r="AA47" s="14">
        <f>(N47-H47)*(B47-$T47)</f>
        <v>-9.4400323915581116E-5</v>
      </c>
      <c r="AB47" s="14">
        <f>(O47-I47)*(C47-$T47)</f>
        <v>1.2897164775811331E-2</v>
      </c>
      <c r="AC47" s="14">
        <f>(P47-J47)*(D47-$T47)</f>
        <v>6.2722880396821629E-4</v>
      </c>
      <c r="AD47" s="14">
        <f>(Q47-K47)*(E47-$T47)</f>
        <v>1.3311231548597906E-3</v>
      </c>
      <c r="AE47" s="14">
        <f>(R47-L47)*(F47-$T47)</f>
        <v>3.1292890940698729E-4</v>
      </c>
      <c r="AF47" s="14"/>
      <c r="AG47" s="276">
        <f t="shared" si="3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6">
        <v>45596</v>
      </c>
      <c r="B48" s="280">
        <v>-6.5500000000000003E-3</v>
      </c>
      <c r="C48" s="280">
        <v>4.280608759971073E-3</v>
      </c>
      <c r="D48" s="280">
        <v>-1.2758333333333333E-2</v>
      </c>
      <c r="E48" s="280">
        <v>-7.1054491467245212E-3</v>
      </c>
      <c r="F48" s="237">
        <v>1.176440441918021E-3</v>
      </c>
      <c r="G48" s="281"/>
      <c r="H48" s="280">
        <v>0.23945197328562995</v>
      </c>
      <c r="I48" s="280">
        <v>0.14999965138679183</v>
      </c>
      <c r="J48" s="280">
        <v>0.39285374763560876</v>
      </c>
      <c r="K48" s="280">
        <v>5.7451274170830714E-2</v>
      </c>
      <c r="L48" s="280">
        <v>0.16024335352113872</v>
      </c>
      <c r="M48" s="280"/>
      <c r="N48" s="280">
        <v>0.2616327903517397</v>
      </c>
      <c r="O48" s="280">
        <v>0.3611991987534966</v>
      </c>
      <c r="P48" s="280">
        <f t="shared" si="0"/>
        <v>0.25287565059225947</v>
      </c>
      <c r="Q48" s="280">
        <v>7.7554234781651146E-2</v>
      </c>
      <c r="R48" s="280">
        <v>4.6738125520853102E-2</v>
      </c>
      <c r="S48" s="14"/>
      <c r="T48" s="14">
        <f>SUMPRODUCT(H48:L48,B48:F48)</f>
        <v>-6.1581800122908073E-3</v>
      </c>
      <c r="U48" s="14">
        <f>SUMPRODUCT(N48:R48,B48:F48)</f>
        <v>-3.889887214976706E-3</v>
      </c>
      <c r="V48" s="276">
        <f>SUMPRODUCT(N48:R48,B48:F48)-T48</f>
        <v>2.2682927973141013E-3</v>
      </c>
      <c r="W48" s="14"/>
      <c r="X48" s="14">
        <f t="shared" si="1"/>
        <v>-8.658180012290807E-3</v>
      </c>
      <c r="Y48" s="14">
        <f t="shared" si="2"/>
        <v>-6.3898872149767061E-3</v>
      </c>
      <c r="Z48" s="14"/>
      <c r="AA48" s="14">
        <f>(N48-H48)*(B48-$T48)</f>
        <v>-8.6908874702229778E-6</v>
      </c>
      <c r="AB48" s="14">
        <f>(O48-I48)*(C48-$T48)</f>
        <v>2.204667463758349E-3</v>
      </c>
      <c r="AC48" s="14">
        <f>(P48-J48)*(D48-$T48)</f>
        <v>9.2387690207387481E-4</v>
      </c>
      <c r="AD48" s="14">
        <f>(Q48-K48)*(E48-$T48)</f>
        <v>-1.9042914097366914E-5</v>
      </c>
      <c r="AE48" s="14">
        <f>(R48-L48)*(F48-$T48)</f>
        <v>-8.3251776695053158E-4</v>
      </c>
      <c r="AF48" s="14"/>
      <c r="AG48" s="276">
        <f t="shared" si="3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6">
        <v>45626</v>
      </c>
      <c r="B49" s="280">
        <v>-3.7000000000000002E-3</v>
      </c>
      <c r="C49" s="280">
        <v>6.4491219939634917E-3</v>
      </c>
      <c r="D49" s="280">
        <v>1.0566666666666667E-2</v>
      </c>
      <c r="E49" s="280">
        <v>-8.8434226787396861E-3</v>
      </c>
      <c r="F49" s="237">
        <v>2.2753004003342359E-3</v>
      </c>
      <c r="G49" s="281"/>
      <c r="H49" s="280">
        <v>0.23355621841227173</v>
      </c>
      <c r="I49" s="280">
        <v>0.14909330939234544</v>
      </c>
      <c r="J49" s="280">
        <v>0.40537630552636428</v>
      </c>
      <c r="K49" s="280">
        <v>5.8960272336881427E-2</v>
      </c>
      <c r="L49" s="280">
        <v>0.15301389433213719</v>
      </c>
      <c r="M49" s="280"/>
      <c r="N49" s="280">
        <v>0.27861023605641444</v>
      </c>
      <c r="O49" s="280">
        <v>0.2211483528401082</v>
      </c>
      <c r="P49" s="280">
        <f t="shared" si="0"/>
        <v>0.27240822984640001</v>
      </c>
      <c r="Q49" s="280">
        <v>0.11142782928396697</v>
      </c>
      <c r="R49" s="280">
        <v>0.11640535197311042</v>
      </c>
      <c r="S49" s="14"/>
      <c r="T49" s="14">
        <f>SUMPRODUCT(H49:L49,B49:F49)</f>
        <v>4.2075811931934571E-3</v>
      </c>
      <c r="U49" s="14">
        <f>SUMPRODUCT(N49:R49,B49:F49)</f>
        <v>2.5532555462777318E-3</v>
      </c>
      <c r="V49" s="276">
        <f>SUMPRODUCT(N49:R49,B49:F49)-T49</f>
        <v>-1.6543256469157253E-3</v>
      </c>
      <c r="W49" s="14"/>
      <c r="X49" s="14">
        <f t="shared" si="1"/>
        <v>1.707581193193457E-3</v>
      </c>
      <c r="Y49" s="14">
        <f t="shared" si="2"/>
        <v>5.32555462777317E-5</v>
      </c>
      <c r="Z49" s="14"/>
      <c r="AA49" s="14">
        <f>(N49-H49)*(B49-$T49)</f>
        <v>-3.5626830260062915E-4</v>
      </c>
      <c r="AB49" s="14">
        <f>(O49-I49)*(C49-$T49)</f>
        <v>1.6151431978941776E-4</v>
      </c>
      <c r="AC49" s="14">
        <f>(P49-J49)*(D49-$T49)</f>
        <v>-8.4555535849214721E-4</v>
      </c>
      <c r="AD49" s="14">
        <f>(Q49-K49)*(E49-$T49)</f>
        <v>-6.8475428886728598E-4</v>
      </c>
      <c r="AE49" s="14">
        <f>(R49-L49)*(F49-$T49)</f>
        <v>7.0737983254920637E-5</v>
      </c>
      <c r="AF49" s="14"/>
      <c r="AG49" s="276">
        <f t="shared" si="3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6">
        <v>45657</v>
      </c>
      <c r="B50" s="280">
        <v>5.8250000000000003E-3</v>
      </c>
      <c r="C50" s="280">
        <v>2.4233071130979805E-2</v>
      </c>
      <c r="D50" s="280">
        <v>1.4166666666666668E-4</v>
      </c>
      <c r="E50" s="280">
        <v>1.0524475595292945E-2</v>
      </c>
      <c r="F50" s="237">
        <v>3.7899259343644369E-3</v>
      </c>
      <c r="G50" s="281"/>
      <c r="H50" s="280">
        <v>0.23570087011954821</v>
      </c>
      <c r="I50" s="280">
        <v>0.14969288196010758</v>
      </c>
      <c r="J50" s="280">
        <v>0.40001029392544374</v>
      </c>
      <c r="K50" s="280">
        <v>5.8728327302773671E-2</v>
      </c>
      <c r="L50" s="280">
        <v>0.15586762669212686</v>
      </c>
      <c r="M50" s="280"/>
      <c r="N50" s="280">
        <v>0.23548556205343996</v>
      </c>
      <c r="O50" s="280">
        <v>0.37053516500341949</v>
      </c>
      <c r="P50" s="280">
        <f t="shared" si="0"/>
        <v>0.26473460281340588</v>
      </c>
      <c r="Q50" s="280">
        <v>9.8634625549997856E-2</v>
      </c>
      <c r="R50" s="280">
        <v>3.0610044579736817E-2</v>
      </c>
      <c r="S50" s="14"/>
      <c r="T50" s="14">
        <f>SUMPRODUCT(H50:L50,B50:F50)</f>
        <v>6.2659555579385341E-3</v>
      </c>
      <c r="U50" s="14">
        <f>SUMPRODUCT(N50:R50,B50:F50)</f>
        <v>1.1542499989006997E-2</v>
      </c>
      <c r="V50" s="276">
        <f>SUMPRODUCT(N50:R50,B50:F50)-T50</f>
        <v>5.2765444310684632E-3</v>
      </c>
      <c r="W50" s="14"/>
      <c r="X50" s="14">
        <f t="shared" si="1"/>
        <v>3.765955557938534E-3</v>
      </c>
      <c r="Y50" s="14">
        <f t="shared" si="2"/>
        <v>9.0424999890069968E-3</v>
      </c>
      <c r="Z50" s="14"/>
      <c r="AA50" s="14">
        <f>(N50-H50)*(B50-$T50)</f>
        <v>9.4941288419432361E-8</v>
      </c>
      <c r="AB50" s="14">
        <f>(O50-I50)*(C50-$T50)</f>
        <v>3.9678988228534781E-3</v>
      </c>
      <c r="AC50" s="14">
        <f>(P50-J50)*(D50-$T50)</f>
        <v>8.2846741233657791E-4</v>
      </c>
      <c r="AD50" s="14">
        <f>(Q50-K50)*(E50-$T50)</f>
        <v>1.6994177070244542E-4</v>
      </c>
      <c r="AE50" s="14">
        <f>(R50-L50)*(F50-$T50)</f>
        <v>3.1014148388754272E-4</v>
      </c>
      <c r="AF50" s="14"/>
      <c r="AG50" s="276">
        <f t="shared" si="3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6">
        <v>45688</v>
      </c>
      <c r="B51" s="280">
        <v>-4.9249999999999997E-3</v>
      </c>
      <c r="C51" s="280">
        <v>7.7867756826512039E-3</v>
      </c>
      <c r="D51" s="280">
        <v>9.116666666666667E-3</v>
      </c>
      <c r="E51" s="280">
        <v>-3.9931153013642584E-3</v>
      </c>
      <c r="F51" s="237">
        <v>2.3489595380995886E-3</v>
      </c>
      <c r="G51" s="281"/>
      <c r="H51" s="280">
        <v>0.22795545251452262</v>
      </c>
      <c r="I51" s="280">
        <v>0.1529505152955096</v>
      </c>
      <c r="J51" s="280">
        <v>0.4090310748362353</v>
      </c>
      <c r="K51" s="280">
        <v>6.1439425592740023E-2</v>
      </c>
      <c r="L51" s="280">
        <v>0.14862353176099252</v>
      </c>
      <c r="M51" s="280"/>
      <c r="N51" s="280">
        <v>0.23577321092708867</v>
      </c>
      <c r="O51" s="280">
        <v>0.30788080780663563</v>
      </c>
      <c r="P51" s="280">
        <f t="shared" si="0"/>
        <v>0.18095363663727393</v>
      </c>
      <c r="Q51" s="280">
        <v>0.16372637381884125</v>
      </c>
      <c r="R51" s="280">
        <v>0.1116659708101605</v>
      </c>
      <c r="S51" s="14"/>
      <c r="T51" s="14">
        <f>SUMPRODUCT(H51:L51,B51:F51)</f>
        <v>3.9010866671829961E-3</v>
      </c>
      <c r="U51" s="14">
        <f>SUMPRODUCT(N51:R51,B51:F51)</f>
        <v>2.4944302695937321E-3</v>
      </c>
      <c r="V51" s="276">
        <f>SUMPRODUCT(N51:R51,B51:F51)-T51</f>
        <v>-1.4066563975892641E-3</v>
      </c>
      <c r="W51" s="14"/>
      <c r="X51" s="14">
        <f t="shared" si="1"/>
        <v>1.4010866671829961E-3</v>
      </c>
      <c r="Y51" s="14">
        <f t="shared" si="2"/>
        <v>-5.5697304062679934E-6</v>
      </c>
      <c r="Z51" s="14"/>
      <c r="AA51" s="14">
        <f>(N51-H51)*(B51-$T51)</f>
        <v>-6.9000213292406872E-5</v>
      </c>
      <c r="AB51" s="14">
        <f>(O51-I51)*(C51-$T51)</f>
        <v>6.0201093577375877E-4</v>
      </c>
      <c r="AC51" s="14">
        <f>(P51-J51)*(D51-$T51)</f>
        <v>-1.189556125003976E-3</v>
      </c>
      <c r="AD51" s="14">
        <f>(Q51-K51)*(E51-$T51)</f>
        <v>-8.0747382804317945E-4</v>
      </c>
      <c r="AE51" s="14">
        <f>(R51-L51)*(F51-$T51)</f>
        <v>5.7362832976539962E-5</v>
      </c>
      <c r="AF51" s="14"/>
      <c r="AG51" s="276">
        <f t="shared" si="3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6">
        <v>45716</v>
      </c>
      <c r="B52" s="280">
        <v>3.8999999999999998E-3</v>
      </c>
      <c r="C52" s="280">
        <v>1.6201566736816313E-2</v>
      </c>
      <c r="D52" s="280">
        <v>-2.4833333333333331E-3</v>
      </c>
      <c r="E52" s="280">
        <v>1.5614668069659568E-3</v>
      </c>
      <c r="F52" s="237">
        <v>2.4323475247473112E-3</v>
      </c>
      <c r="G52" s="281"/>
      <c r="H52" s="280">
        <v>0.2311502544010246</v>
      </c>
      <c r="I52" s="280">
        <v>0.15469197982341024</v>
      </c>
      <c r="J52" s="280">
        <v>0.40433602880598341</v>
      </c>
      <c r="K52" s="280">
        <v>5.8061662096225555E-2</v>
      </c>
      <c r="L52" s="280">
        <v>0.15176007487335605</v>
      </c>
      <c r="M52" s="280"/>
      <c r="N52" s="280">
        <v>0.20556518280051667</v>
      </c>
      <c r="O52" s="280">
        <v>0.3268065380782445</v>
      </c>
      <c r="P52" s="280">
        <f t="shared" si="0"/>
        <v>7.2972370497000449E-2</v>
      </c>
      <c r="Q52" s="280">
        <v>0.20854148401405931</v>
      </c>
      <c r="R52" s="280">
        <v>0.18611442461017902</v>
      </c>
      <c r="S52" s="14"/>
      <c r="T52" s="14">
        <f>SUMPRODUCT(H52:L52,B52:F52)</f>
        <v>2.8634318893158979E-3</v>
      </c>
      <c r="U52" s="14">
        <f>SUMPRODUCT(N52:R52,B52:F52)</f>
        <v>6.6935929947407576E-3</v>
      </c>
      <c r="V52" s="276">
        <f>SUMPRODUCT(N52:R52,B52:F52)-T52</f>
        <v>3.8301611054248597E-3</v>
      </c>
      <c r="W52" s="14"/>
      <c r="X52" s="14">
        <f t="shared" si="1"/>
        <v>3.6343188931589783E-4</v>
      </c>
      <c r="Y52" s="14">
        <f t="shared" si="2"/>
        <v>4.193592994740758E-3</v>
      </c>
      <c r="Z52" s="14"/>
      <c r="AA52" s="14">
        <f>(N52-H52)*(B52-$T52)</f>
        <v>-2.6520669330655984E-5</v>
      </c>
      <c r="AB52" s="14">
        <f>(O52-I52)*(C52-$T52)</f>
        <v>2.2956871872209452E-3</v>
      </c>
      <c r="AC52" s="14">
        <f>(P52-J52)*(D52-$T52)</f>
        <v>1.7717236842962928E-3</v>
      </c>
      <c r="AD52" s="14">
        <f>(Q52-K52)*(E52-$T52)</f>
        <v>-1.9591947373525691E-4</v>
      </c>
      <c r="AE52" s="14">
        <f>(R52-L52)*(F52-$T52)</f>
        <v>-1.4809623026465323E-5</v>
      </c>
      <c r="AF52" s="14"/>
      <c r="AG52" s="276">
        <f t="shared" si="3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6">
        <v>45747</v>
      </c>
      <c r="B53" s="280">
        <v>1.4449999999999999E-2</v>
      </c>
      <c r="C53" s="280">
        <v>3.8241038463159932E-2</v>
      </c>
      <c r="D53" s="280">
        <v>1.6566666666666667E-2</v>
      </c>
      <c r="E53" s="280">
        <v>2.4265410259653196E-2</v>
      </c>
      <c r="F53" s="237">
        <v>5.252889472619573E-3</v>
      </c>
      <c r="G53" s="281"/>
      <c r="H53" s="280">
        <v>0.23455561909136186</v>
      </c>
      <c r="I53" s="280">
        <v>0.15114895897134756</v>
      </c>
      <c r="J53" s="280">
        <v>0.41357680804938624</v>
      </c>
      <c r="K53" s="280">
        <v>5.6622295561095042E-2</v>
      </c>
      <c r="L53" s="280">
        <v>0.1440963183268093</v>
      </c>
      <c r="M53" s="280"/>
      <c r="N53" s="280">
        <v>0.27081373157571825</v>
      </c>
      <c r="O53" s="280">
        <v>0.36853875465199432</v>
      </c>
      <c r="P53" s="280">
        <f t="shared" si="0"/>
        <v>0.19078389786560651</v>
      </c>
      <c r="Q53" s="280">
        <v>0.11337027563523716</v>
      </c>
      <c r="R53" s="280">
        <v>5.6493340271443815E-2</v>
      </c>
      <c r="S53" s="14"/>
      <c r="T53" s="14">
        <f>SUMPRODUCT(H53:L53,B53:F53)</f>
        <v>1.8151896234793675E-2</v>
      </c>
      <c r="U53" s="14">
        <f>SUMPRODUCT(N53:R53,B53:F53)</f>
        <v>2.4214945876311962E-2</v>
      </c>
      <c r="V53" s="276">
        <f>SUMPRODUCT(N53:R53,B53:F53)-T53</f>
        <v>6.0630496415182873E-3</v>
      </c>
      <c r="W53" s="14"/>
      <c r="X53" s="14">
        <f t="shared" si="1"/>
        <v>1.5651896234793676E-2</v>
      </c>
      <c r="Y53" s="14">
        <f t="shared" si="2"/>
        <v>2.1714945876311963E-2</v>
      </c>
      <c r="Z53" s="14"/>
      <c r="AA53" s="14">
        <f>(N53-H53)*(B53-$T53)</f>
        <v>-1.342237700865645E-4</v>
      </c>
      <c r="AB53" s="14">
        <f>(O53-I53)*(C53-$T53)</f>
        <v>4.3671745244239935E-3</v>
      </c>
      <c r="AC53" s="14">
        <f>(P53-J53)*(D53-$T53)</f>
        <v>3.5317790879239234E-4</v>
      </c>
      <c r="AD53" s="14">
        <f>(Q53-K53)*(E53-$T53)</f>
        <v>3.4692957206571652E-4</v>
      </c>
      <c r="AE53" s="14">
        <f>(R53-L53)*(F53-$T53)</f>
        <v>1.129991406322749E-3</v>
      </c>
      <c r="AF53" s="14"/>
      <c r="AG53" s="276">
        <f t="shared" si="3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6">
        <v>45777</v>
      </c>
      <c r="B54" s="280">
        <v>1.5775000000000001E-2</v>
      </c>
      <c r="C54" s="280">
        <v>5.0001889052265318E-2</v>
      </c>
      <c r="D54" s="280">
        <v>7.2166666666666664E-3</v>
      </c>
      <c r="E54" s="280">
        <v>4.5562111437863977E-2</v>
      </c>
      <c r="F54" s="237">
        <v>7.0344416390918192E-3</v>
      </c>
      <c r="G54" s="281"/>
      <c r="H54" s="280">
        <v>0.23769856571892925</v>
      </c>
      <c r="I54" s="280">
        <v>0.15727584491139038</v>
      </c>
      <c r="J54" s="280">
        <v>0.40562234894414101</v>
      </c>
      <c r="K54" s="280">
        <v>5.7812811917609105E-2</v>
      </c>
      <c r="L54" s="280">
        <v>0.14159042850793019</v>
      </c>
      <c r="M54" s="280"/>
      <c r="N54" s="280">
        <v>0.26515040480389906</v>
      </c>
      <c r="O54" s="280">
        <v>0.37221409762340824</v>
      </c>
      <c r="P54" s="280">
        <f t="shared" si="0"/>
        <v>0.37728358967504139</v>
      </c>
      <c r="Q54" s="280">
        <v>0.15290321278567548</v>
      </c>
      <c r="R54" s="280">
        <v>-0.16755130488802417</v>
      </c>
      <c r="S54" s="14"/>
      <c r="T54" s="14">
        <f>SUMPRODUCT(H54:L54,B54:F54)</f>
        <v>1.8171108892076366E-2</v>
      </c>
      <c r="U54" s="14">
        <f>SUMPRODUCT(N54:R54,B54:F54)</f>
        <v>3.1304848898684325E-2</v>
      </c>
      <c r="V54" s="276">
        <f>SUMPRODUCT(N54:R54,B54:F54)-T54</f>
        <v>1.3133740006607959E-2</v>
      </c>
      <c r="W54" s="14"/>
      <c r="X54" s="14">
        <f t="shared" si="1"/>
        <v>1.5671108892076367E-2</v>
      </c>
      <c r="Y54" s="14">
        <f t="shared" si="2"/>
        <v>2.8804848898684326E-2</v>
      </c>
      <c r="Z54" s="14"/>
      <c r="AA54" s="14">
        <f>(N54-H54)*(B54-$T54)</f>
        <v>-6.5777595735345675E-5</v>
      </c>
      <c r="AB54" s="14">
        <f>(O54-I54)*(C54-$T54)</f>
        <v>6.8416522700913765E-3</v>
      </c>
      <c r="AC54" s="14">
        <f>(P54-J54)*(D54-$T54)</f>
        <v>3.1043530115314541E-4</v>
      </c>
      <c r="AD54" s="14">
        <f>(Q54-K54)*(E54-$T54)</f>
        <v>2.6046214122571703E-3</v>
      </c>
      <c r="AE54" s="14">
        <f>(R54-L54)*(F54-$T54)</f>
        <v>3.4428086188416037E-3</v>
      </c>
      <c r="AF54" s="14"/>
      <c r="AG54" s="276">
        <f t="shared" si="3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6">
        <v>45808</v>
      </c>
      <c r="B55" s="280">
        <v>2.075E-3</v>
      </c>
      <c r="C55" s="280">
        <v>1.4320887907415453E-2</v>
      </c>
      <c r="D55" s="280">
        <v>-2.4083333333333335E-3</v>
      </c>
      <c r="E55" s="280">
        <v>-2.0248908518357596E-3</v>
      </c>
      <c r="F55" s="237">
        <v>2.5661378796467032E-3</v>
      </c>
      <c r="G55" s="281"/>
      <c r="H55" s="280">
        <v>0.23938146781661154</v>
      </c>
      <c r="I55" s="280">
        <v>0.15703318353854309</v>
      </c>
      <c r="J55" s="280">
        <v>0.40122878952655461</v>
      </c>
      <c r="K55" s="280">
        <v>5.6836297075055754E-2</v>
      </c>
      <c r="L55" s="280">
        <v>0.14552026204323493</v>
      </c>
      <c r="M55" s="280"/>
      <c r="N55" s="280">
        <v>0.21855459964736904</v>
      </c>
      <c r="O55" s="280">
        <v>0.43581700934558365</v>
      </c>
      <c r="P55" s="280">
        <f t="shared" si="0"/>
        <v>0.2293950948567873</v>
      </c>
      <c r="Q55" s="280">
        <v>0.17764794707370571</v>
      </c>
      <c r="R55" s="280">
        <v>-6.1414650923445668E-2</v>
      </c>
      <c r="S55" s="14"/>
      <c r="T55" s="14">
        <f>SUMPRODUCT(H55:L55,B55:F55)</f>
        <v>2.0376162554955161E-3</v>
      </c>
      <c r="U55" s="14">
        <f>SUMPRODUCT(N55:R55,B55:F55)</f>
        <v>5.6250113148277811E-3</v>
      </c>
      <c r="V55" s="276">
        <f>SUMPRODUCT(N55:R55,B55:F55)-T55</f>
        <v>3.587395059332265E-3</v>
      </c>
      <c r="W55" s="14"/>
      <c r="X55" s="14">
        <f t="shared" si="1"/>
        <v>-4.6238374450448391E-4</v>
      </c>
      <c r="Y55" s="14">
        <f t="shared" si="2"/>
        <v>3.1250113148277811E-3</v>
      </c>
      <c r="Z55" s="14"/>
      <c r="AA55" s="14">
        <f>(N55-H55)*(B55-$T55)</f>
        <v>-7.7858631846752976E-7</v>
      </c>
      <c r="AB55" s="14">
        <f>(O55-I55)*(C55-$T55)</f>
        <v>3.4243774645494065E-3</v>
      </c>
      <c r="AC55" s="14">
        <f>(P55-J55)*(D55-$T55)</f>
        <v>7.6396394416399405E-4</v>
      </c>
      <c r="AD55" s="14">
        <f>(Q55-K55)*(E55-$T55)</f>
        <v>-4.9079818676793399E-4</v>
      </c>
      <c r="AE55" s="14">
        <f>(R55-L55)*(F55-$T55)</f>
        <v>-1.0936957629473455E-4</v>
      </c>
      <c r="AF55" s="14"/>
      <c r="AG55" s="276">
        <f t="shared" si="3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6">
        <v>45838</v>
      </c>
      <c r="B56" s="280">
        <v>-4.4250000000000001E-3</v>
      </c>
      <c r="C56" s="280">
        <v>8.4368711795948913E-3</v>
      </c>
      <c r="D56" s="280">
        <v>-1.0258333333333333E-2</v>
      </c>
      <c r="E56" s="280">
        <v>-4.9179243074768848E-3</v>
      </c>
      <c r="F56" s="237">
        <v>2.0068667537282456E-3</v>
      </c>
      <c r="G56" s="281"/>
      <c r="H56" s="280">
        <v>0.23694721345560243</v>
      </c>
      <c r="I56" s="280">
        <v>0.16188712339518488</v>
      </c>
      <c r="J56" s="280">
        <v>0.38771493901610082</v>
      </c>
      <c r="K56" s="280">
        <v>5.9351023097204081E-2</v>
      </c>
      <c r="L56" s="280">
        <v>0.15409970103590789</v>
      </c>
      <c r="M56" s="280"/>
      <c r="N56" s="280">
        <v>0.24539043137457772</v>
      </c>
      <c r="O56" s="280">
        <v>0.31942516458996933</v>
      </c>
      <c r="P56" s="280">
        <f t="shared" si="0"/>
        <v>0.18896229301166889</v>
      </c>
      <c r="Q56" s="280">
        <v>0.17679094886270635</v>
      </c>
      <c r="R56" s="280">
        <v>6.9431162161077697E-2</v>
      </c>
      <c r="S56" s="14"/>
      <c r="T56" s="14">
        <f>SUMPRODUCT(H56:L56,B56:F56)</f>
        <v>-3.6426059689557864E-3</v>
      </c>
      <c r="U56" s="14">
        <f>SUMPRODUCT(N56:R56,B56:F56)</f>
        <v>-1.0594472965507677E-3</v>
      </c>
      <c r="V56" s="276">
        <f>SUMPRODUCT(N56:R56,B56:F56)-T56</f>
        <v>2.5831586724050187E-3</v>
      </c>
      <c r="W56" s="14"/>
      <c r="X56" s="14">
        <f t="shared" si="1"/>
        <v>-6.142605968955786E-3</v>
      </c>
      <c r="Y56" s="14">
        <f t="shared" si="2"/>
        <v>-3.5594472965507678E-3</v>
      </c>
      <c r="Z56" s="14"/>
      <c r="AA56" s="14">
        <f>(N56-H56)*(B56-$T56)</f>
        <v>-6.6059233026118125E-6</v>
      </c>
      <c r="AB56" s="14">
        <f>(O56-I56)*(C56-$T56)</f>
        <v>1.902977168639834E-3</v>
      </c>
      <c r="AC56" s="14">
        <f>(P56-J56)*(D56-$T56)</f>
        <v>1.314893318913964E-3</v>
      </c>
      <c r="AD56" s="14">
        <f>(Q56-K56)*(E56-$T56)</f>
        <v>-1.497732910033015E-4</v>
      </c>
      <c r="AE56" s="14">
        <f>(R56-L56)*(F56-$T56)</f>
        <v>-4.7833260084286574E-4</v>
      </c>
      <c r="AF56" s="14"/>
      <c r="AG56" s="276">
        <f t="shared" si="3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6">
        <v>45869</v>
      </c>
      <c r="B57" s="280">
        <v>5.0000000000000002E-5</v>
      </c>
      <c r="C57" s="280">
        <v>1.1699246064577163E-2</v>
      </c>
      <c r="D57" s="280">
        <v>5.1166666666666661E-3</v>
      </c>
      <c r="E57" s="280">
        <v>-6.6931745375123398E-3</v>
      </c>
      <c r="F57" s="237">
        <v>3.3793823996725409E-3</v>
      </c>
      <c r="G57" s="281"/>
      <c r="H57" s="280">
        <v>0.23523916989346488</v>
      </c>
      <c r="I57" s="280">
        <v>0.15801523859039429</v>
      </c>
      <c r="J57" s="280">
        <v>0.39271956727399238</v>
      </c>
      <c r="K57" s="280">
        <v>6.034884488804769E-2</v>
      </c>
      <c r="L57" s="280">
        <v>0.15367717935410063</v>
      </c>
      <c r="M57" s="280"/>
      <c r="N57" s="280">
        <v>0.21775110224916588</v>
      </c>
      <c r="O57" s="280">
        <v>0.34390195679103036</v>
      </c>
      <c r="P57" s="280">
        <f t="shared" si="0"/>
        <v>0.26118558283978366</v>
      </c>
      <c r="Q57" s="280">
        <v>0.10899561459298517</v>
      </c>
      <c r="R57" s="280">
        <v>6.8165743527034972E-2</v>
      </c>
      <c r="S57" s="14"/>
      <c r="T57" s="14">
        <f>SUMPRODUCT(H57:L57,B57:F57)</f>
        <v>3.9852448391027653E-3</v>
      </c>
      <c r="U57" s="14">
        <f>SUMPRODUCT(N57:R57,B57:F57)</f>
        <v>4.8715121768721096E-3</v>
      </c>
      <c r="V57" s="276">
        <f>SUMPRODUCT(N57:R57,B57:F57)-T57</f>
        <v>8.8626733776934422E-4</v>
      </c>
      <c r="W57" s="14"/>
      <c r="X57" s="14">
        <f t="shared" si="1"/>
        <v>1.4852448391027653E-3</v>
      </c>
      <c r="Y57" s="14">
        <f t="shared" si="2"/>
        <v>2.3715121768721095E-3</v>
      </c>
      <c r="Z57" s="14"/>
      <c r="AA57" s="14">
        <f>(N57-H57)*(B57-$T57)</f>
        <v>6.8819827943107702E-5</v>
      </c>
      <c r="AB57" s="14">
        <f>(O57-I57)*(C57-$T57)</f>
        <v>1.4339303719991207E-3</v>
      </c>
      <c r="AC57" s="14">
        <f>(P57-J57)*(D57-$T57)</f>
        <v>-1.488204210553141E-4</v>
      </c>
      <c r="AD57" s="14">
        <f>(Q57-K57)*(E57-$T57)</f>
        <v>-5.1947060822693698E-4</v>
      </c>
      <c r="AE57" s="14">
        <f>(R57-L57)*(F57-$T57)</f>
        <v>5.1808167109367091E-5</v>
      </c>
      <c r="AF57" s="14"/>
      <c r="AG57" s="276">
        <f t="shared" si="3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6">
        <v>45900</v>
      </c>
      <c r="B58" s="280">
        <v>7.6249999999999998E-3</v>
      </c>
      <c r="C58" s="280">
        <v>3.7865462784655385E-2</v>
      </c>
      <c r="D58" s="280">
        <v>1.7441666666666668E-2</v>
      </c>
      <c r="E58" s="280">
        <v>3.2889258902644117E-2</v>
      </c>
      <c r="F58" s="237">
        <v>4.8887897692155092E-3</v>
      </c>
      <c r="G58" s="281"/>
      <c r="H58" s="280">
        <v>0.22992716763217141</v>
      </c>
      <c r="I58" s="280">
        <v>0.16430388609877561</v>
      </c>
      <c r="J58" s="280">
        <v>0.39847791571972019</v>
      </c>
      <c r="K58" s="280">
        <v>6.5013490189813672E-2</v>
      </c>
      <c r="L58" s="280">
        <v>0.14227754035951917</v>
      </c>
      <c r="M58" s="280"/>
      <c r="N58" s="280">
        <v>0.22393588608877874</v>
      </c>
      <c r="O58" s="280">
        <v>0.31744511158204408</v>
      </c>
      <c r="P58" s="280">
        <f t="shared" si="0"/>
        <v>0.30935412397653389</v>
      </c>
      <c r="Q58" s="280">
        <v>0.1468955837211261</v>
      </c>
      <c r="R58" s="280">
        <v>2.3692946315171381E-3</v>
      </c>
      <c r="S58" s="14"/>
      <c r="T58" s="14">
        <f>SUMPRODUCT(H58:L58,B58:F58)</f>
        <v>1.7758566812370265E-2</v>
      </c>
      <c r="U58" s="14">
        <f>SUMPRODUCT(N58:R58,B58:F58)</f>
        <v>2.3966238570578953E-2</v>
      </c>
      <c r="V58" s="276">
        <f>SUMPRODUCT(N58:R58,B58:F58)-T58</f>
        <v>6.2076717582086882E-3</v>
      </c>
      <c r="W58" s="14"/>
      <c r="X58" s="14">
        <f t="shared" si="1"/>
        <v>1.5258566812370264E-2</v>
      </c>
      <c r="Y58" s="14">
        <f t="shared" si="2"/>
        <v>2.1466238570578954E-2</v>
      </c>
      <c r="Z58" s="14"/>
      <c r="AA58" s="14">
        <f>(N58-H58)*(B58-$T58)</f>
        <v>6.0713051811690551E-5</v>
      </c>
      <c r="AB58" s="14">
        <f>(O58-I58)*(C58-$T58)</f>
        <v>3.0791946898603381E-3</v>
      </c>
      <c r="AC58" s="14">
        <f>(P58-J58)*(D58-$T58)</f>
        <v>2.8243342589072766E-5</v>
      </c>
      <c r="AD58" s="14">
        <f>(Q58-K58)*(E58-$T58)</f>
        <v>1.2389327449292926E-3</v>
      </c>
      <c r="AE58" s="14">
        <f>(R58-L58)*(F58-$T58)</f>
        <v>1.8005879290182952E-3</v>
      </c>
      <c r="AF58" s="14"/>
      <c r="AG58" s="276">
        <f t="shared" si="3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6">
        <v>45930</v>
      </c>
      <c r="B59" s="280">
        <v>6.1000000000000004E-3</v>
      </c>
      <c r="C59" s="280">
        <v>2.5346912966114181E-2</v>
      </c>
      <c r="D59" s="280">
        <v>-1.2808333333333333E-2</v>
      </c>
      <c r="E59" s="280">
        <v>1.5002159265561692E-2</v>
      </c>
      <c r="F59" s="237">
        <v>4.6026180718098482E-3</v>
      </c>
      <c r="G59" s="281"/>
      <c r="H59" s="280">
        <v>0.23510269941130726</v>
      </c>
      <c r="I59" s="280">
        <v>0.17176882301781529</v>
      </c>
      <c r="J59" s="280">
        <v>0.37736483837009566</v>
      </c>
      <c r="K59" s="280">
        <v>6.3154359942871635E-2</v>
      </c>
      <c r="L59" s="280">
        <v>0.15260927925791015</v>
      </c>
      <c r="M59" s="280"/>
      <c r="N59" s="280">
        <v>0.27679076811365855</v>
      </c>
      <c r="O59" s="280">
        <v>0.46696802774768525</v>
      </c>
      <c r="P59" s="280">
        <f t="shared" si="0"/>
        <v>0.2623298608965442</v>
      </c>
      <c r="Q59" s="280">
        <v>0.13893715463041936</v>
      </c>
      <c r="R59" s="280">
        <v>-0.14502581138830739</v>
      </c>
      <c r="S59" s="14"/>
      <c r="T59" s="14">
        <f>SUMPRODUCT(H59:L59,B59:F59)</f>
        <v>2.6043752284256707E-3</v>
      </c>
      <c r="U59" s="14">
        <f>SUMPRODUCT(N59:R59,B59:F59)</f>
        <v>1.1581472242416797E-2</v>
      </c>
      <c r="V59" s="276">
        <f>SUMPRODUCT(N59:R59,B59:F59)-T59</f>
        <v>8.9770970139911276E-3</v>
      </c>
      <c r="W59" s="14"/>
      <c r="X59" s="14">
        <f t="shared" si="1"/>
        <v>1.0437522842567061E-4</v>
      </c>
      <c r="Y59" s="14">
        <f t="shared" si="2"/>
        <v>9.0814722424167969E-3</v>
      </c>
      <c r="Z59" s="14"/>
      <c r="AA59" s="14">
        <f>(N59-H59)*(B59-$T59)</f>
        <v>1.4572584563503168E-4</v>
      </c>
      <c r="AB59" s="14">
        <f>(O59-I59)*(C59-$T59)</f>
        <v>6.7135790537047038E-3</v>
      </c>
      <c r="AC59" s="14">
        <f>(P59-J59)*(D59-$T59)</f>
        <v>1.7730005822083608E-3</v>
      </c>
      <c r="AD59" s="14">
        <f>(Q59-K59)*(E59-$T59)</f>
        <v>9.3953872226683571E-4</v>
      </c>
      <c r="AE59" s="14">
        <f>(R59-L59)*(F59-$T59)</f>
        <v>-5.9474718982380507E-4</v>
      </c>
      <c r="AF59" s="14"/>
      <c r="AG59" s="276">
        <f t="shared" si="3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6">
        <v>45961</v>
      </c>
      <c r="B60" s="280">
        <v>-1.46E-2</v>
      </c>
      <c r="C60" s="280">
        <v>-5.352402956371953E-3</v>
      </c>
      <c r="D60" s="280">
        <v>1.0166666666666666E-3</v>
      </c>
      <c r="E60" s="280">
        <v>-1.2346472579410572E-2</v>
      </c>
      <c r="F60" s="237">
        <v>8.9195655710922427E-4</v>
      </c>
      <c r="G60" s="281"/>
      <c r="H60" s="280">
        <v>0.22136678355487546</v>
      </c>
      <c r="I60" s="280">
        <v>0.18431447073070961</v>
      </c>
      <c r="J60" s="280">
        <v>0.37888932582494061</v>
      </c>
      <c r="K60" s="280">
        <v>6.8028057809600209E-2</v>
      </c>
      <c r="L60" s="280">
        <v>0.14740136207987412</v>
      </c>
      <c r="M60" s="280"/>
      <c r="N60" s="280">
        <v>0.24813259078629799</v>
      </c>
      <c r="O60" s="280">
        <v>0.52264718928792209</v>
      </c>
      <c r="P60" s="280">
        <f t="shared" si="0"/>
        <v>0.21919022315306552</v>
      </c>
      <c r="Q60" s="280">
        <v>0.18266844519620767</v>
      </c>
      <c r="R60" s="280">
        <v>-0.1726384484234933</v>
      </c>
      <c r="S60" s="14"/>
      <c r="T60" s="14">
        <f>SUMPRODUCT(H60:L60,B60:F60)</f>
        <v>-4.5417071489631524E-3</v>
      </c>
      <c r="U60" s="14">
        <f>SUMPRODUCT(N60:R60,B60:F60)</f>
        <v>-8.6066077388442051E-3</v>
      </c>
      <c r="V60" s="276">
        <f>SUMPRODUCT(N60:R60,B60:F60)-T60</f>
        <v>-4.0649005898810526E-3</v>
      </c>
      <c r="W60" s="14"/>
      <c r="X60" s="14">
        <f t="shared" si="1"/>
        <v>-7.0417071489631521E-3</v>
      </c>
      <c r="Y60" s="14">
        <f t="shared" si="2"/>
        <v>-1.1106607738844206E-2</v>
      </c>
      <c r="Z60" s="14"/>
      <c r="AA60" s="14">
        <f>(N60-H60)*(B60-$T60)</f>
        <v>-2.6921832752804754E-4</v>
      </c>
      <c r="AB60" s="14">
        <f>(O60-I60)*(C60-$T60)</f>
        <v>-2.7428491644355388E-4</v>
      </c>
      <c r="AC60" s="14">
        <f>(P60-J60)*(D60-$T60)</f>
        <v>-8.8766731067092862E-4</v>
      </c>
      <c r="AD60" s="14">
        <f>(Q60-K60)*(E60-$T60)</f>
        <v>-8.9474133240809433E-4</v>
      </c>
      <c r="AE60" s="14">
        <f>(R60-L60)*(F60-$T60)</f>
        <v>-1.7389887028304283E-3</v>
      </c>
      <c r="AF60" s="14"/>
      <c r="AG60" s="276">
        <f t="shared" si="3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6">
        <v>45991</v>
      </c>
      <c r="B61" s="280">
        <v>7.0000000000000001E-3</v>
      </c>
      <c r="C61" s="280">
        <v>2.1378394265932729E-2</v>
      </c>
      <c r="D61" s="280">
        <v>5.0666666666666664E-3</v>
      </c>
      <c r="E61" s="280">
        <v>4.740121865198791E-3</v>
      </c>
      <c r="F61" s="237">
        <v>3.4715550032863394E-3</v>
      </c>
      <c r="G61" s="281"/>
      <c r="H61" s="280">
        <v>0.22460750024147272</v>
      </c>
      <c r="I61" s="280">
        <v>0.18160369813454552</v>
      </c>
      <c r="J61" s="280">
        <v>0.38154410968542807</v>
      </c>
      <c r="K61" s="280">
        <v>6.5478760487239551E-2</v>
      </c>
      <c r="L61" s="280">
        <v>0.14676593145131403</v>
      </c>
      <c r="M61" s="280"/>
      <c r="N61" s="280">
        <v>0.23015472786843019</v>
      </c>
      <c r="O61" s="280">
        <v>0.36591396643123103</v>
      </c>
      <c r="P61" s="280">
        <f t="shared" si="0"/>
        <v>0.23268377369772653</v>
      </c>
      <c r="Q61" s="280">
        <v>9.2516959259591747E-2</v>
      </c>
      <c r="R61" s="280">
        <v>7.8730572743020533E-2</v>
      </c>
      <c r="S61" s="14"/>
      <c r="T61" s="14">
        <f>SUMPRODUCT(H61:L61,B61:F61)</f>
        <v>8.2076880909016919E-3</v>
      </c>
      <c r="U61" s="14">
        <f>SUMPRODUCT(N61:R61,B61:F61)</f>
        <v>1.1324526432131349E-2</v>
      </c>
      <c r="V61" s="276">
        <f>SUMPRODUCT(N61:R61,B61:F61)-T61</f>
        <v>3.1168383412296576E-3</v>
      </c>
      <c r="W61" s="14"/>
      <c r="X61" s="14">
        <f t="shared" si="1"/>
        <v>5.7076880909016914E-3</v>
      </c>
      <c r="Y61" s="14">
        <f t="shared" si="2"/>
        <v>8.824526432131349E-3</v>
      </c>
      <c r="Z61" s="14"/>
      <c r="AA61" s="14">
        <f>(N61-H61)*(B61-$T61)</f>
        <v>-6.6993207425973933E-6</v>
      </c>
      <c r="AB61" s="14">
        <f>(O61-I61)*(C61-$T61)</f>
        <v>2.4274963887767832E-3</v>
      </c>
      <c r="AC61" s="14">
        <f>(P61-J61)*(D61-$T61)</f>
        <v>4.6757350455619472E-4</v>
      </c>
      <c r="AD61" s="14">
        <f>(Q61-K61)*(E61-$T61)</f>
        <v>-9.3756744866850113E-5</v>
      </c>
      <c r="AE61" s="14">
        <f>(R61-L61)*(F61-$T61)</f>
        <v>3.2222451350612816E-4</v>
      </c>
      <c r="AF61" s="14"/>
      <c r="AG61" s="276">
        <f t="shared" si="3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6">
        <v>46022</v>
      </c>
      <c r="B62" s="280">
        <v>-3.5000000000000001E-3</v>
      </c>
      <c r="C62" s="280">
        <v>1.5593996872262506E-2</v>
      </c>
      <c r="D62" s="280">
        <v>3.5416666666666669E-3</v>
      </c>
      <c r="E62" s="280">
        <v>5.1963270778583454E-3</v>
      </c>
      <c r="F62" s="237">
        <v>3.3028005629380641E-3</v>
      </c>
      <c r="G62" s="281"/>
      <c r="H62" s="280">
        <v>0.21777208779741808</v>
      </c>
      <c r="I62" s="280">
        <v>0.19096438391370774</v>
      </c>
      <c r="J62" s="280">
        <v>0.38050041155442765</v>
      </c>
      <c r="K62" s="280">
        <v>6.8160596849137542E-2</v>
      </c>
      <c r="L62" s="280">
        <v>0.14260251988530909</v>
      </c>
      <c r="M62" s="280"/>
      <c r="N62" s="280">
        <v>0.2300528503984216</v>
      </c>
      <c r="O62" s="280">
        <v>0.38114191621836813</v>
      </c>
      <c r="P62" s="280">
        <f>1-N62-O62-Q62-R62</f>
        <v>0.21245699057956385</v>
      </c>
      <c r="Q62" s="280">
        <v>0.11511456954040016</v>
      </c>
      <c r="R62" s="280">
        <v>6.1233673263246247E-2</v>
      </c>
      <c r="S62" s="14"/>
      <c r="T62" s="14">
        <f>SUMPRODUCT(H62:L62,B62:F62)</f>
        <v>4.3884737604319409E-3</v>
      </c>
      <c r="U62" s="14">
        <f>SUMPRODUCT(N62:R62,B62:F62)</f>
        <v>6.6912082799222552E-3</v>
      </c>
      <c r="V62" s="276">
        <f>SUMPRODUCT(N62:R62,B62:F62)-T62</f>
        <v>2.3027345194903143E-3</v>
      </c>
      <c r="W62" s="14"/>
      <c r="X62" s="14">
        <f t="shared" si="1"/>
        <v>1.8884737604319408E-3</v>
      </c>
      <c r="Y62" s="14">
        <f t="shared" si="2"/>
        <v>4.1912082799222556E-3</v>
      </c>
      <c r="Z62" s="14"/>
      <c r="AA62" s="14">
        <f>(N62-H62)*(B62-$T62)</f>
        <v>-9.6876473536110225E-5</v>
      </c>
      <c r="AB62" s="14">
        <f>(O62-I62)*(C62-$T62)</f>
        <v>2.1310387335907758E-3</v>
      </c>
      <c r="AC62" s="14">
        <f>(P62-J62)*(D62-$T62)</f>
        <v>1.423003609420989E-4</v>
      </c>
      <c r="AD62" s="14">
        <f>(Q62-K62)*(E62-$T62)</f>
        <v>3.7931922604985302E-5</v>
      </c>
      <c r="AE62" s="14">
        <f>(R62-L62)*(F62-$T62)</f>
        <v>8.8339975888563802E-5</v>
      </c>
      <c r="AF62" s="14"/>
      <c r="AG62" s="276">
        <f t="shared" si="3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53" t="s">
        <v>828</v>
      </c>
      <c r="U64" s="253"/>
      <c r="V64" s="253"/>
      <c r="AA64" s="253" t="s">
        <v>826</v>
      </c>
      <c r="AB64" s="253"/>
      <c r="AC64" s="253"/>
      <c r="AD64" s="253"/>
      <c r="AE64" s="253"/>
    </row>
    <row r="65" spans="19:51">
      <c r="S65" s="1" t="s">
        <v>579</v>
      </c>
      <c r="T65" s="199">
        <f>AVERAGE(T3:T62)</f>
        <v>6.0015964866706817E-3</v>
      </c>
      <c r="U65" s="199">
        <f>AVERAGE(U3:U62)</f>
        <v>9.9004118716199668E-3</v>
      </c>
      <c r="V65" s="244">
        <f>AVERAGE(V3:V62)</f>
        <v>3.8988153849492898E-3</v>
      </c>
      <c r="AA65" s="249" t="s">
        <v>8</v>
      </c>
      <c r="AB65" s="249" t="s">
        <v>9</v>
      </c>
      <c r="AC65" s="249" t="s">
        <v>10</v>
      </c>
      <c r="AD65" s="249" t="s">
        <v>467</v>
      </c>
      <c r="AE65" s="249" t="s">
        <v>468</v>
      </c>
      <c r="AG65" s="249" t="s">
        <v>20</v>
      </c>
    </row>
    <row r="66" spans="19:51">
      <c r="S66" s="1" t="s">
        <v>824</v>
      </c>
      <c r="T66" s="199">
        <f>T65*12</f>
        <v>7.2019157840048184E-2</v>
      </c>
      <c r="U66" s="199">
        <f>U65*12</f>
        <v>0.11880494245943959</v>
      </c>
      <c r="V66" s="244">
        <f>V65*12</f>
        <v>4.6785784619391479E-2</v>
      </c>
      <c r="X66" s="14"/>
      <c r="Z66" s="1" t="s">
        <v>579</v>
      </c>
      <c r="AA66" s="199">
        <f>AVERAGE(AA3:AA62)</f>
        <v>-5.4791854870106017E-5</v>
      </c>
      <c r="AB66" s="199">
        <f>AVERAGE(AB3:AB62)</f>
        <v>3.0218343148934929E-3</v>
      </c>
      <c r="AC66" s="199">
        <f>AVERAGE(AC3:AC62)</f>
        <v>3.0161720393206525E-4</v>
      </c>
      <c r="AD66" s="199">
        <f>AVERAGE(AD3:AD62)</f>
        <v>1.2188748107737852E-4</v>
      </c>
      <c r="AE66" s="199">
        <f>AVERAGE(AE3:AE62)</f>
        <v>5.0826823991645853E-4</v>
      </c>
      <c r="AG66" s="244">
        <f>SUM(AA66:AE66)</f>
        <v>3.8988153849492894E-3</v>
      </c>
      <c r="AS66" s="253"/>
      <c r="AT66" s="253"/>
      <c r="AU66" s="253"/>
      <c r="AV66" s="253"/>
      <c r="AW66" s="253"/>
    </row>
    <row r="67" spans="19:51">
      <c r="T67" s="14"/>
      <c r="U67" s="14"/>
      <c r="V67" s="14"/>
      <c r="X67" s="14"/>
      <c r="Z67" s="1" t="s">
        <v>824</v>
      </c>
      <c r="AA67" s="199">
        <f>AA66*12</f>
        <v>-6.575022584412722E-4</v>
      </c>
      <c r="AB67" s="199">
        <f>AB66*12</f>
        <v>3.6262011778721917E-2</v>
      </c>
      <c r="AC67" s="199">
        <f>AC66*12</f>
        <v>3.6194064471847831E-3</v>
      </c>
      <c r="AD67" s="199">
        <f>AD66*12</f>
        <v>1.4626497729285422E-3</v>
      </c>
      <c r="AE67" s="199">
        <f>AE66*12</f>
        <v>6.0992188789975024E-3</v>
      </c>
      <c r="AG67" s="244">
        <f>SUM(AA67:AE67)</f>
        <v>4.6785784619391473E-2</v>
      </c>
      <c r="AS67" s="3"/>
      <c r="AT67" s="3"/>
      <c r="AU67" s="3"/>
      <c r="AV67" s="3"/>
      <c r="AW67" s="3"/>
    </row>
    <row r="68" spans="19:51">
      <c r="T68" s="277" t="s">
        <v>829</v>
      </c>
      <c r="U68" s="277"/>
      <c r="V68" s="277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579</v>
      </c>
      <c r="T69" s="278">
        <f>INTERCEPT(Y3:Y62,X3:X62)</f>
        <v>2.2732518211335175E-3</v>
      </c>
      <c r="AA69" s="253" t="s">
        <v>827</v>
      </c>
      <c r="AB69" s="253"/>
      <c r="AC69" s="253"/>
      <c r="AD69" s="253"/>
      <c r="AE69" s="253"/>
      <c r="AG69" s="14"/>
      <c r="AS69" s="40"/>
      <c r="AT69" s="40"/>
      <c r="AU69" s="40"/>
      <c r="AV69" s="40"/>
      <c r="AW69" s="40"/>
      <c r="AY69" s="40"/>
    </row>
    <row r="70" spans="19:51">
      <c r="S70" s="1" t="s">
        <v>824</v>
      </c>
      <c r="T70" s="278">
        <f>T69*12</f>
        <v>2.727902185360221E-2</v>
      </c>
      <c r="AA70" s="249" t="s">
        <v>8</v>
      </c>
      <c r="AB70" s="249" t="s">
        <v>9</v>
      </c>
      <c r="AC70" s="249" t="s">
        <v>10</v>
      </c>
      <c r="AD70" s="249" t="s">
        <v>467</v>
      </c>
      <c r="AE70" s="249" t="s">
        <v>468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579</v>
      </c>
      <c r="AA71" s="199">
        <f>INTERCEPT(AA3:AA62,$X$3:$X$62)</f>
        <v>-6.3280927891016725E-5</v>
      </c>
      <c r="AB71" s="199">
        <f>INTERCEPT(AB3:AB62,$X$3:$X$62)</f>
        <v>2.2346518055031978E-3</v>
      </c>
      <c r="AC71" s="199">
        <f>INTERCEPT(AC3:AC62,$X$3:$X$62)</f>
        <v>1.7155095107188945E-4</v>
      </c>
      <c r="AD71" s="199">
        <f>INTERCEPT(AD3:AD62,$X$3:$X$62)</f>
        <v>-8.3861649854842006E-5</v>
      </c>
      <c r="AE71" s="199">
        <f>INTERCEPT(AE3:AE62,$X$3:$X$62)</f>
        <v>1.4191642304293072E-5</v>
      </c>
      <c r="AG71" s="278">
        <f>SUM(AA71:AE71)</f>
        <v>2.2732518211335219E-3</v>
      </c>
    </row>
    <row r="72" spans="19:51">
      <c r="Z72" s="1" t="s">
        <v>824</v>
      </c>
      <c r="AA72" s="199">
        <f>AA71*12</f>
        <v>-7.5937113469220076E-4</v>
      </c>
      <c r="AB72" s="199">
        <f>AB71*12</f>
        <v>2.6815821666038374E-2</v>
      </c>
      <c r="AC72" s="199">
        <f>AC71*12</f>
        <v>2.0586114128626734E-3</v>
      </c>
      <c r="AD72" s="199">
        <f>AD71*12</f>
        <v>-1.0063397982581041E-3</v>
      </c>
      <c r="AE72" s="199">
        <f>AE71*12</f>
        <v>1.7029970765151687E-4</v>
      </c>
      <c r="AG72" s="278">
        <f>SUM(AA72:AE72)</f>
        <v>2.7279021853602259E-2</v>
      </c>
      <c r="AV72" s="40"/>
    </row>
    <row r="74" spans="19:51">
      <c r="AA74" s="253" t="s">
        <v>234</v>
      </c>
      <c r="AB74" s="253"/>
      <c r="AC74" s="253"/>
      <c r="AD74" s="253"/>
      <c r="AE74" s="253"/>
    </row>
    <row r="75" spans="19:51">
      <c r="AA75" s="249" t="s">
        <v>8</v>
      </c>
      <c r="AB75" s="249" t="s">
        <v>9</v>
      </c>
      <c r="AC75" s="249" t="s">
        <v>10</v>
      </c>
      <c r="AD75" s="249" t="s">
        <v>467</v>
      </c>
      <c r="AE75" s="249" t="s">
        <v>468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AA74:AE74"/>
    <mergeCell ref="AY1:AZ1"/>
    <mergeCell ref="AS66:AW66"/>
    <mergeCell ref="AA64:AE64"/>
    <mergeCell ref="AA69:AE69"/>
    <mergeCell ref="T64:V64"/>
    <mergeCell ref="H1:L1"/>
    <mergeCell ref="N1:R1"/>
    <mergeCell ref="T1:V1"/>
    <mergeCell ref="AA1:AE1"/>
    <mergeCell ref="AG1:AK1"/>
    <mergeCell ref="AM1:AN1"/>
    <mergeCell ref="AP1:AQ1"/>
    <mergeCell ref="B1:F1"/>
    <mergeCell ref="X1:Y1"/>
  </mergeCells>
  <pageMargins left="0.7" right="0.7" top="0.75" bottom="0.75" header="0.3" footer="0.3"/>
  <ignoredErrors>
    <ignoredError sqref="T3:V62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B3AC-409C-446D-8408-1F6C884AE6D7}">
  <dimension ref="A1:BF71"/>
  <sheetViews>
    <sheetView topLeftCell="AB36" workbookViewId="0">
      <selection activeCell="AB36" sqref="A1:XFD1048576"/>
    </sheetView>
  </sheetViews>
  <sheetFormatPr defaultRowHeight="15"/>
  <cols>
    <col min="7" max="7" width="3" customWidth="1"/>
    <col min="13" max="13" width="3.140625" customWidth="1"/>
    <col min="19" max="19" width="1.42578125" customWidth="1"/>
    <col min="20" max="20" width="12.7109375" bestFit="1" customWidth="1"/>
    <col min="21" max="21" width="12.7109375" customWidth="1"/>
    <col min="22" max="22" width="12.7109375" bestFit="1" customWidth="1"/>
    <col min="23" max="23" width="2.140625" customWidth="1"/>
    <col min="26" max="26" width="1.5703125" customWidth="1"/>
    <col min="29" max="29" width="2" customWidth="1"/>
    <col min="35" max="35" width="1.42578125" customWidth="1"/>
    <col min="41" max="41" width="1.42578125" customWidth="1"/>
    <col min="44" max="44" width="1.42578125" customWidth="1"/>
    <col min="47" max="47" width="1.7109375" customWidth="1"/>
    <col min="50" max="50" width="1.5703125" customWidth="1"/>
    <col min="53" max="53" width="1.42578125" customWidth="1"/>
    <col min="54" max="54" width="13.140625" customWidth="1"/>
    <col min="55" max="55" width="12.7109375" bestFit="1" customWidth="1"/>
    <col min="56" max="56" width="1.7109375" customWidth="1"/>
    <col min="57" max="57" width="19.5703125" bestFit="1" customWidth="1"/>
    <col min="58" max="58" width="20.85546875" bestFit="1" customWidth="1"/>
  </cols>
  <sheetData>
    <row r="1" spans="1:58">
      <c r="B1" s="253" t="s">
        <v>820</v>
      </c>
      <c r="C1" s="253"/>
      <c r="D1" s="253"/>
      <c r="E1" s="253"/>
      <c r="F1" s="253"/>
      <c r="X1" s="253" t="s">
        <v>206</v>
      </c>
      <c r="Y1" s="253"/>
      <c r="AA1" s="253" t="s">
        <v>45</v>
      </c>
      <c r="AB1" s="253"/>
      <c r="AD1" s="253" t="s">
        <v>206</v>
      </c>
      <c r="AE1" s="253"/>
      <c r="AF1" s="253"/>
      <c r="AG1" s="253"/>
      <c r="AH1" s="253"/>
      <c r="AJ1" s="253" t="s">
        <v>45</v>
      </c>
      <c r="AK1" s="253"/>
      <c r="AL1" s="253"/>
      <c r="AM1" s="253"/>
      <c r="AN1" s="253"/>
      <c r="AP1" s="253" t="s">
        <v>206</v>
      </c>
      <c r="AQ1" s="253"/>
      <c r="AS1" s="253" t="s">
        <v>45</v>
      </c>
      <c r="AT1" s="253"/>
    </row>
    <row r="2" spans="1:58">
      <c r="A2" s="3"/>
      <c r="B2" s="3">
        <v>1</v>
      </c>
      <c r="C2" s="3">
        <v>1</v>
      </c>
      <c r="D2" s="3">
        <v>1</v>
      </c>
      <c r="E2" s="3">
        <v>2</v>
      </c>
      <c r="F2" s="3">
        <v>2</v>
      </c>
      <c r="H2" s="253" t="s">
        <v>819</v>
      </c>
      <c r="I2" s="253"/>
      <c r="J2" s="253"/>
      <c r="K2" s="253"/>
      <c r="L2" s="253"/>
      <c r="M2" s="3"/>
      <c r="N2" s="253" t="s">
        <v>821</v>
      </c>
      <c r="O2" s="253"/>
      <c r="P2" s="253"/>
      <c r="Q2" s="253"/>
      <c r="R2" s="253"/>
      <c r="T2" s="253" t="s">
        <v>246</v>
      </c>
      <c r="U2" s="253"/>
      <c r="V2" s="253"/>
      <c r="X2" s="1" t="s">
        <v>814</v>
      </c>
      <c r="Y2" s="1"/>
      <c r="AA2" s="1" t="s">
        <v>814</v>
      </c>
      <c r="AB2" s="1"/>
      <c r="AD2" s="253" t="s">
        <v>812</v>
      </c>
      <c r="AE2" s="253"/>
      <c r="AF2" s="253"/>
      <c r="AG2" s="253"/>
      <c r="AH2" s="253"/>
      <c r="AJ2" s="253" t="s">
        <v>812</v>
      </c>
      <c r="AK2" s="253"/>
      <c r="AL2" s="253"/>
      <c r="AM2" s="253"/>
      <c r="AN2" s="253"/>
      <c r="AP2" s="253" t="s">
        <v>813</v>
      </c>
      <c r="AQ2" s="253"/>
      <c r="AS2" s="253" t="s">
        <v>813</v>
      </c>
      <c r="AT2" s="253"/>
      <c r="AV2" s="1" t="s">
        <v>817</v>
      </c>
      <c r="AY2" s="1" t="s">
        <v>818</v>
      </c>
      <c r="BB2" s="253" t="s">
        <v>805</v>
      </c>
      <c r="BC2" s="253"/>
      <c r="BE2" s="1" t="s">
        <v>823</v>
      </c>
      <c r="BF2" s="1" t="s">
        <v>823</v>
      </c>
    </row>
    <row r="3" spans="1:58">
      <c r="A3" s="248" t="s">
        <v>244</v>
      </c>
      <c r="B3" s="249" t="s">
        <v>8</v>
      </c>
      <c r="C3" s="249" t="s">
        <v>9</v>
      </c>
      <c r="D3" s="249" t="s">
        <v>10</v>
      </c>
      <c r="E3" s="249" t="s">
        <v>467</v>
      </c>
      <c r="F3" s="249" t="s">
        <v>468</v>
      </c>
      <c r="H3" s="249" t="s">
        <v>8</v>
      </c>
      <c r="I3" s="249" t="s">
        <v>9</v>
      </c>
      <c r="J3" s="249" t="s">
        <v>10</v>
      </c>
      <c r="K3" s="249" t="s">
        <v>467</v>
      </c>
      <c r="L3" s="249" t="s">
        <v>468</v>
      </c>
      <c r="M3" s="249"/>
      <c r="N3" s="249" t="s">
        <v>8</v>
      </c>
      <c r="O3" s="249" t="s">
        <v>9</v>
      </c>
      <c r="P3" s="249" t="s">
        <v>10</v>
      </c>
      <c r="Q3" s="249" t="s">
        <v>467</v>
      </c>
      <c r="R3" s="249" t="s">
        <v>468</v>
      </c>
      <c r="T3" s="1" t="s">
        <v>206</v>
      </c>
      <c r="U3" s="1" t="s">
        <v>45</v>
      </c>
      <c r="V3" s="1" t="s">
        <v>816</v>
      </c>
      <c r="X3">
        <v>1</v>
      </c>
      <c r="Y3">
        <v>2</v>
      </c>
      <c r="AA3">
        <v>1</v>
      </c>
      <c r="AB3">
        <v>2</v>
      </c>
      <c r="AD3" t="s">
        <v>8</v>
      </c>
      <c r="AE3" t="s">
        <v>9</v>
      </c>
      <c r="AF3" t="s">
        <v>10</v>
      </c>
      <c r="AG3" t="s">
        <v>467</v>
      </c>
      <c r="AH3" t="s">
        <v>468</v>
      </c>
      <c r="AJ3" t="s">
        <v>8</v>
      </c>
      <c r="AK3" t="s">
        <v>9</v>
      </c>
      <c r="AL3" t="s">
        <v>10</v>
      </c>
      <c r="AM3" t="s">
        <v>467</v>
      </c>
      <c r="AN3" t="s">
        <v>468</v>
      </c>
      <c r="AP3">
        <v>1</v>
      </c>
      <c r="AQ3">
        <v>2</v>
      </c>
      <c r="AV3">
        <v>1</v>
      </c>
      <c r="AW3">
        <v>2</v>
      </c>
      <c r="AY3">
        <v>1</v>
      </c>
      <c r="AZ3">
        <v>2</v>
      </c>
      <c r="BE3" s="1" t="s">
        <v>206</v>
      </c>
      <c r="BF3" s="1" t="s">
        <v>45</v>
      </c>
    </row>
    <row r="4" spans="1:58">
      <c r="A4" s="150">
        <v>44227</v>
      </c>
      <c r="B4" s="14">
        <v>-1.01E-2</v>
      </c>
      <c r="C4" s="14">
        <v>1.0266666666666667E-2</v>
      </c>
      <c r="D4" s="14">
        <v>-1.5433333333333334E-2</v>
      </c>
      <c r="E4" s="14">
        <v>-1.7299999999999999E-2</v>
      </c>
      <c r="F4" s="14">
        <v>-3.2600000000000004E-2</v>
      </c>
      <c r="G4" s="14"/>
      <c r="H4" s="14">
        <v>0.22097187842590618</v>
      </c>
      <c r="I4" s="14">
        <v>0.15034550496306842</v>
      </c>
      <c r="J4" s="14">
        <v>0.36630222879224561</v>
      </c>
      <c r="K4" s="14">
        <v>7.3121549290883922E-2</v>
      </c>
      <c r="L4" s="14">
        <v>0.18925883852789588</v>
      </c>
      <c r="M4" s="14"/>
      <c r="N4" s="14">
        <v>0.21892707629244659</v>
      </c>
      <c r="O4" s="14">
        <v>0.25485153512260517</v>
      </c>
      <c r="P4" s="14">
        <v>0.46529549642456802</v>
      </c>
      <c r="Q4" s="14">
        <v>0.15888241565721073</v>
      </c>
      <c r="R4" s="14">
        <f>1-SUM(N4:Q4)</f>
        <v>-9.7956523496830483E-2</v>
      </c>
      <c r="S4" s="14"/>
      <c r="T4" s="14">
        <f>SUMPRODUCT(H4:L4,B4:F4)</f>
        <v>-1.3776374124249504E-2</v>
      </c>
      <c r="U4" s="14">
        <f>SUMPRODUCT(N4:R4,B4:F4)</f>
        <v>-6.3310313296538693E-3</v>
      </c>
      <c r="V4" s="14">
        <f>SUMPRODUCT(N4:R4,B4:F4)-T4</f>
        <v>7.4453427945956347E-3</v>
      </c>
      <c r="W4" s="14"/>
      <c r="X4" s="14">
        <f>SUM(H4:J4)</f>
        <v>0.73761961218122019</v>
      </c>
      <c r="Y4" s="14">
        <f>SUM(K4:L4)</f>
        <v>0.26238038781877981</v>
      </c>
      <c r="Z4" s="14"/>
      <c r="AA4" s="14">
        <f>SUM(N4:P4)</f>
        <v>0.93907410783961975</v>
      </c>
      <c r="AB4" s="14">
        <f>SUM(Q4:R4)</f>
        <v>6.0925892160380246E-2</v>
      </c>
      <c r="AC4" s="14"/>
      <c r="AD4" s="14">
        <f>H4/$X4</f>
        <v>0.29957429924140527</v>
      </c>
      <c r="AE4" s="14">
        <f>I4/$X4</f>
        <v>0.20382525420993167</v>
      </c>
      <c r="AF4" s="14">
        <f>J4/$X4</f>
        <v>0.49660044654866303</v>
      </c>
      <c r="AG4" s="14">
        <f>K4/$Y4</f>
        <v>0.27868527026260559</v>
      </c>
      <c r="AH4" s="14">
        <f>L4/$Y4</f>
        <v>0.7213147297373943</v>
      </c>
      <c r="AI4" s="14"/>
      <c r="AJ4" s="14">
        <f>N4/$AA4</f>
        <v>0.2331307768628588</v>
      </c>
      <c r="AK4" s="14">
        <f>O4/$AA4</f>
        <v>0.27138596730017617</v>
      </c>
      <c r="AL4" s="14">
        <f>P4/$AA4</f>
        <v>0.49548325583696506</v>
      </c>
      <c r="AM4" s="14">
        <f>Q4/$AB4</f>
        <v>2.6077979332493229</v>
      </c>
      <c r="AN4" s="14">
        <f>R4/$AB4</f>
        <v>-1.6077979332493229</v>
      </c>
      <c r="AO4" s="14"/>
      <c r="AP4" s="14">
        <f>SUMPRODUCT(AD4:AF4,B4:D4)</f>
        <v>-8.5972947041839266E-3</v>
      </c>
      <c r="AQ4" s="14">
        <f>SUMPRODUCT(AG4:AH4,E4:F4)</f>
        <v>-2.8336115364982133E-2</v>
      </c>
      <c r="AR4" s="14"/>
      <c r="AS4" s="14">
        <f>SUMPRODUCT(AJ4:AL4,B4:D4)</f>
        <v>-7.2153498304502253E-3</v>
      </c>
      <c r="AT4" s="14">
        <f>SUMPRODUCT(E4:F4,AM4:AN4)</f>
        <v>7.2993083787146473E-3</v>
      </c>
      <c r="AU4" s="14"/>
      <c r="AV4" s="14">
        <f>(AA4-X4)*(AP4-T4)</f>
        <v>1.0433488325441074E-3</v>
      </c>
      <c r="AW4" s="14">
        <f>(AB4-Y4)*(AQ4-T4)</f>
        <v>2.9331253285685924E-3</v>
      </c>
      <c r="AX4" s="14"/>
      <c r="AY4" s="14">
        <f>AA4*(AS4-AP4)</f>
        <v>1.2977486493850115E-3</v>
      </c>
      <c r="AZ4" s="14">
        <f>AB4*(AT4-AQ4)</f>
        <v>2.1711199840979238E-3</v>
      </c>
      <c r="BA4" s="14"/>
      <c r="BB4" s="14">
        <f>SUM(AV4:AZ4)</f>
        <v>7.4453427945956356E-3</v>
      </c>
      <c r="BC4" s="14">
        <f>BB4-V4</f>
        <v>0</v>
      </c>
      <c r="BE4" s="19">
        <f>T4-0.0025</f>
        <v>-1.6276374124249503E-2</v>
      </c>
      <c r="BF4" s="19">
        <f>U4-0.0025</f>
        <v>-8.8310313296538698E-3</v>
      </c>
    </row>
    <row r="5" spans="1:58">
      <c r="A5" s="150">
        <v>44255</v>
      </c>
      <c r="B5" s="14">
        <v>-3.2000000000000002E-3</v>
      </c>
      <c r="C5" s="14">
        <v>3.4066666666666669E-2</v>
      </c>
      <c r="D5" s="14">
        <v>0.10336666666666666</v>
      </c>
      <c r="E5" s="14">
        <v>0.12379999999999999</v>
      </c>
      <c r="F5" s="14">
        <v>-0.12570000000000001</v>
      </c>
      <c r="G5" s="14"/>
      <c r="H5" s="14">
        <v>0.21240500696561546</v>
      </c>
      <c r="I5" s="14">
        <v>0.14991969847052533</v>
      </c>
      <c r="J5" s="14">
        <v>0.38974372703432986</v>
      </c>
      <c r="K5" s="14">
        <v>7.924176231430051E-2</v>
      </c>
      <c r="L5" s="14">
        <v>0.16868980521522892</v>
      </c>
      <c r="M5" s="14"/>
      <c r="N5" s="14">
        <v>0.20811338912089603</v>
      </c>
      <c r="O5" s="14">
        <v>0.16253256675020966</v>
      </c>
      <c r="P5" s="14">
        <v>0.4226801216284739</v>
      </c>
      <c r="Q5" s="14">
        <v>9.8148401637404681E-2</v>
      </c>
      <c r="R5" s="14">
        <f t="shared" ref="R5:R63" si="0">1-SUM(N5:Q5)</f>
        <v>0.1085255208630157</v>
      </c>
      <c r="S5" s="14"/>
      <c r="T5" s="14">
        <f>SUMPRODUCT(H5:L5,B5:F5)</f>
        <v>3.331989994901062E-2</v>
      </c>
      <c r="U5" s="14">
        <f t="shared" ref="U5:U63" si="1">SUMPRODUCT(N5:R5,B5:F5)</f>
        <v>4.707112931799648E-2</v>
      </c>
      <c r="V5" s="14">
        <f>SUMPRODUCT(N5:R5,B5:F5)-T5</f>
        <v>1.3751229368985859E-2</v>
      </c>
      <c r="W5" s="14"/>
      <c r="X5" s="14">
        <f>SUM(H5:J5)</f>
        <v>0.75206843247047073</v>
      </c>
      <c r="Y5" s="14">
        <f>SUM(K5:L5)</f>
        <v>0.24793156752952944</v>
      </c>
      <c r="Z5" s="14"/>
      <c r="AA5" s="14">
        <f t="shared" ref="AA5:AA63" si="2">SUM(N5:P5)</f>
        <v>0.79332607749957962</v>
      </c>
      <c r="AB5" s="14">
        <f t="shared" ref="AB5:AB63" si="3">SUM(Q5:R5)</f>
        <v>0.20667392250042038</v>
      </c>
      <c r="AC5" s="14"/>
      <c r="AD5" s="14">
        <f>H5/$X5</f>
        <v>0.28242776560623073</v>
      </c>
      <c r="AE5" s="14">
        <f>I5/$X5</f>
        <v>0.19934316080526593</v>
      </c>
      <c r="AF5" s="14">
        <f>J5/$X5</f>
        <v>0.51822907358850323</v>
      </c>
      <c r="AG5" s="14">
        <f>K5/$Y5</f>
        <v>0.3196114278786325</v>
      </c>
      <c r="AH5" s="14">
        <f>L5/$Y5</f>
        <v>0.68038857212136739</v>
      </c>
      <c r="AI5" s="14"/>
      <c r="AJ5" s="14">
        <f>N5/$AA5</f>
        <v>0.2623302006872531</v>
      </c>
      <c r="AK5" s="14">
        <f>O5/$AA5</f>
        <v>0.2048748570858567</v>
      </c>
      <c r="AL5" s="14">
        <f>P5/$AA5</f>
        <v>0.53279494222689017</v>
      </c>
      <c r="AM5" s="14">
        <f>Q5/$AB5</f>
        <v>0.47489494779974017</v>
      </c>
      <c r="AN5" s="14">
        <f>R5/$AB5</f>
        <v>0.52510505220025983</v>
      </c>
      <c r="AO5" s="14"/>
      <c r="AP5" s="14">
        <f>SUMPRODUCT(AD5:AF5,B5:D5)</f>
        <v>5.945480006809107E-2</v>
      </c>
      <c r="AQ5" s="14">
        <f>SUMPRODUCT(AG5:AH5,E5:F5)</f>
        <v>-4.5956948744281183E-2</v>
      </c>
      <c r="AR5" s="14"/>
      <c r="AS5" s="14">
        <f>SUMPRODUCT(AJ5:AL5,B5:D5)</f>
        <v>6.1213184017378519E-2</v>
      </c>
      <c r="AT5" s="14">
        <f>SUMPRODUCT(E5:F5,AM5:AN5)</f>
        <v>-7.213710523964828E-3</v>
      </c>
      <c r="AU5" s="14"/>
      <c r="AV5" s="14">
        <f t="shared" ref="AV5:AV63" si="4">(AA5-X5)*(AP5-T5)</f>
        <v>1.0782644319842368E-3</v>
      </c>
      <c r="AW5" s="14">
        <f t="shared" ref="AW5:AW63" si="5">(AB5-Y5)*(AQ5-T5)</f>
        <v>3.2707760824142213E-3</v>
      </c>
      <c r="AX5" s="14"/>
      <c r="AY5" s="14">
        <f t="shared" ref="AY5:AY63" si="6">AA5*(AS5-AP5)</f>
        <v>1.3949718412264321E-3</v>
      </c>
      <c r="AZ5" s="14">
        <f t="shared" ref="AZ5:AZ63" si="7">AB5*(AT5-AQ5)</f>
        <v>8.0072170133609864E-3</v>
      </c>
      <c r="BA5" s="14"/>
      <c r="BB5" s="14">
        <f t="shared" ref="BB5:BB63" si="8">SUM(AV5:AZ5)</f>
        <v>1.3751229368985877E-2</v>
      </c>
      <c r="BC5" s="14">
        <f t="shared" ref="BC5:BC63" si="9">BB5-V5</f>
        <v>1.7347234759768071E-17</v>
      </c>
      <c r="BE5" s="19">
        <f t="shared" ref="BE5:BE63" si="10">T5-0.0025</f>
        <v>3.0819899949010621E-2</v>
      </c>
      <c r="BF5" s="19">
        <f t="shared" ref="BF5:BF63" si="11">U5-0.0025</f>
        <v>4.4571129317996477E-2</v>
      </c>
    </row>
    <row r="6" spans="1:58">
      <c r="A6" s="150">
        <v>44286</v>
      </c>
      <c r="B6" s="14">
        <v>8.8999999999999999E-3</v>
      </c>
      <c r="C6" s="14">
        <v>3.0666666666666663E-3</v>
      </c>
      <c r="D6" s="14">
        <v>7.276666666666666E-2</v>
      </c>
      <c r="E6" s="14">
        <v>6.4299999999999996E-2</v>
      </c>
      <c r="F6" s="14">
        <v>-9.01E-2</v>
      </c>
      <c r="G6" s="14"/>
      <c r="H6" s="14">
        <v>0.20824763079398931</v>
      </c>
      <c r="I6" s="14">
        <v>0.1461354884834605</v>
      </c>
      <c r="J6" s="14">
        <v>0.40630447118100188</v>
      </c>
      <c r="K6" s="14">
        <v>8.1956873935074809E-2</v>
      </c>
      <c r="L6" s="14">
        <v>0.15735553560647336</v>
      </c>
      <c r="M6" s="14"/>
      <c r="N6" s="14">
        <v>0.20391845081808666</v>
      </c>
      <c r="O6" s="14">
        <v>0.31153719114755457</v>
      </c>
      <c r="P6" s="14">
        <v>0.41856884701171138</v>
      </c>
      <c r="Q6" s="14">
        <v>6.0843435285871939E-4</v>
      </c>
      <c r="R6" s="14">
        <f t="shared" si="0"/>
        <v>6.5367076669788693E-2</v>
      </c>
      <c r="S6" s="14"/>
      <c r="T6" s="14">
        <f>SUMPRODUCT(H6:L6,B6:F6)</f>
        <v>2.2959068000902083E-2</v>
      </c>
      <c r="U6" s="14">
        <f t="shared" si="1"/>
        <v>2.7377663420293189E-2</v>
      </c>
      <c r="V6" s="14">
        <f>SUMPRODUCT(N6:R6,B6:F6)-T6</f>
        <v>4.418595419391106E-3</v>
      </c>
      <c r="W6" s="14"/>
      <c r="X6" s="14">
        <f>SUM(H6:J6)</f>
        <v>0.76068759045845169</v>
      </c>
      <c r="Y6" s="14">
        <f>SUM(K6:L6)</f>
        <v>0.23931240954154817</v>
      </c>
      <c r="Z6" s="14"/>
      <c r="AA6" s="14">
        <f t="shared" si="2"/>
        <v>0.93402448897735257</v>
      </c>
      <c r="AB6" s="14">
        <f t="shared" si="3"/>
        <v>6.5975511022647412E-2</v>
      </c>
      <c r="AC6" s="14"/>
      <c r="AD6" s="14">
        <f>H6/$X6</f>
        <v>0.27376236106136881</v>
      </c>
      <c r="AE6" s="14">
        <f>I6/$X6</f>
        <v>0.19210973113862351</v>
      </c>
      <c r="AF6" s="14">
        <f>J6/$X6</f>
        <v>0.53412790780000763</v>
      </c>
      <c r="AG6" s="14">
        <f>K6/$Y6</f>
        <v>0.34246813231323836</v>
      </c>
      <c r="AH6" s="14">
        <f>L6/$Y6</f>
        <v>0.65753186768676164</v>
      </c>
      <c r="AI6" s="14"/>
      <c r="AJ6" s="14">
        <f t="shared" ref="AJ6:AJ63" si="12">N6/$AA6</f>
        <v>0.21832238150560002</v>
      </c>
      <c r="AK6" s="14">
        <f t="shared" ref="AK6:AK63" si="13">O6/$AA6</f>
        <v>0.33354285120366739</v>
      </c>
      <c r="AL6" s="14">
        <f t="shared" ref="AL6:AL63" si="14">P6/$AA6</f>
        <v>0.44813476729073265</v>
      </c>
      <c r="AM6" s="14">
        <f t="shared" ref="AM6:AM63" si="15">Q6/$AB6</f>
        <v>9.2221241401201446E-3</v>
      </c>
      <c r="AN6" s="14">
        <f t="shared" ref="AN6:AN63" si="16">R6/$AB6</f>
        <v>0.99077787585987986</v>
      </c>
      <c r="AO6" s="14"/>
      <c r="AP6" s="14">
        <f>SUMPRODUCT(AD6:AF6,B6:D6)</f>
        <v>4.1892328946518516E-2</v>
      </c>
      <c r="AQ6" s="14">
        <f>SUMPRODUCT(AG6:AH6,E6:F6)</f>
        <v>-3.7222920370835993E-2</v>
      </c>
      <c r="AR6" s="14"/>
      <c r="AS6" s="14">
        <f>SUMPRODUCT(AJ6:AL6,B6:D6)</f>
        <v>3.5575207172280063E-2</v>
      </c>
      <c r="AT6" s="14">
        <f>SUMPRODUCT(E6:F6,AM6:AN6)</f>
        <v>-8.8676104032765449E-2</v>
      </c>
      <c r="AU6" s="14"/>
      <c r="AV6" s="14">
        <f t="shared" si="4"/>
        <v>3.2818327311621852E-3</v>
      </c>
      <c r="AW6" s="14">
        <f t="shared" si="5"/>
        <v>1.0431759211057628E-2</v>
      </c>
      <c r="AX6" s="14"/>
      <c r="AY6" s="14">
        <f t="shared" si="6"/>
        <v>-5.9003464369907777E-3</v>
      </c>
      <c r="AZ6" s="14">
        <f t="shared" si="7"/>
        <v>-3.3946500858379287E-3</v>
      </c>
      <c r="BA6" s="14"/>
      <c r="BB6" s="14">
        <f t="shared" si="8"/>
        <v>4.4185954193911069E-3</v>
      </c>
      <c r="BC6" s="14">
        <f t="shared" si="9"/>
        <v>0</v>
      </c>
      <c r="BE6" s="19">
        <f t="shared" si="10"/>
        <v>2.0459068000902084E-2</v>
      </c>
      <c r="BF6" s="19">
        <f t="shared" si="11"/>
        <v>2.487766342029319E-2</v>
      </c>
    </row>
    <row r="7" spans="1:58">
      <c r="A7" s="150">
        <v>44316</v>
      </c>
      <c r="B7" s="14">
        <v>-1.38E-2</v>
      </c>
      <c r="C7" s="14">
        <v>-3.5333333333333336E-3</v>
      </c>
      <c r="D7" s="14">
        <v>4.8166666666666663E-2</v>
      </c>
      <c r="E7" s="14">
        <v>2.58E-2</v>
      </c>
      <c r="F7" s="14">
        <v>-9.11E-2</v>
      </c>
      <c r="G7" s="14"/>
      <c r="H7" s="14">
        <v>0.20297317983485053</v>
      </c>
      <c r="I7" s="14">
        <v>0.14391698735023037</v>
      </c>
      <c r="J7" s="14">
        <v>0.42089671292781722</v>
      </c>
      <c r="K7" s="14">
        <v>8.3088643302059076E-2</v>
      </c>
      <c r="L7" s="14">
        <v>0.1491244765850428</v>
      </c>
      <c r="M7" s="14"/>
      <c r="N7" s="14">
        <v>0.20649628152827726</v>
      </c>
      <c r="O7" s="14">
        <v>0.27601249381331383</v>
      </c>
      <c r="P7" s="14">
        <v>0.39977269697384332</v>
      </c>
      <c r="Q7" s="14">
        <v>-7.6104698360116893E-2</v>
      </c>
      <c r="R7" s="14">
        <f t="shared" si="0"/>
        <v>0.1938232260446825</v>
      </c>
      <c r="S7" s="14"/>
      <c r="T7" s="14">
        <f>SUMPRODUCT(H7:L7,B7:F7)</f>
        <v>5.5221022826271692E-3</v>
      </c>
      <c r="U7" s="14">
        <f t="shared" si="1"/>
        <v>-4.1899717026854088E-3</v>
      </c>
      <c r="V7" s="14">
        <f>SUMPRODUCT(N7:R7,B7:F7)-T7</f>
        <v>-9.7120739853125779E-3</v>
      </c>
      <c r="W7" s="14"/>
      <c r="X7" s="14">
        <f>SUM(H7:J7)</f>
        <v>0.7677868801128982</v>
      </c>
      <c r="Y7" s="14">
        <f>SUM(K7:L7)</f>
        <v>0.23221311988710186</v>
      </c>
      <c r="Z7" s="14"/>
      <c r="AA7" s="14">
        <f t="shared" si="2"/>
        <v>0.88228147231543441</v>
      </c>
      <c r="AB7" s="14">
        <f t="shared" si="3"/>
        <v>0.1177185276845656</v>
      </c>
      <c r="AC7" s="14"/>
      <c r="AD7" s="14">
        <f>H7/$X7</f>
        <v>0.26436135481372725</v>
      </c>
      <c r="AE7" s="14">
        <f>I7/$X7</f>
        <v>0.18744392627426545</v>
      </c>
      <c r="AF7" s="14">
        <f>J7/$X7</f>
        <v>0.54819471891200722</v>
      </c>
      <c r="AG7" s="14">
        <f>K7/$Y7</f>
        <v>0.35781201054641265</v>
      </c>
      <c r="AH7" s="14">
        <f>L7/$Y7</f>
        <v>0.64218798945358746</v>
      </c>
      <c r="AI7" s="14"/>
      <c r="AJ7" s="14">
        <f t="shared" si="12"/>
        <v>0.2340480765014302</v>
      </c>
      <c r="AK7" s="14">
        <f t="shared" si="13"/>
        <v>0.31283949904213049</v>
      </c>
      <c r="AL7" s="14">
        <f t="shared" si="14"/>
        <v>0.45311242445643929</v>
      </c>
      <c r="AM7" s="14">
        <f t="shared" si="15"/>
        <v>-0.64649719850425202</v>
      </c>
      <c r="AN7" s="14">
        <f t="shared" si="16"/>
        <v>1.646497198504252</v>
      </c>
      <c r="AO7" s="14"/>
      <c r="AP7" s="14">
        <f>SUMPRODUCT(AD7:AF7,B7:D7)</f>
        <v>2.2094223724996503E-2</v>
      </c>
      <c r="AQ7" s="14">
        <f>SUMPRODUCT(AG7:AH7,E7:F7)</f>
        <v>-4.927177596712437E-2</v>
      </c>
      <c r="AR7" s="14"/>
      <c r="AS7" s="14">
        <f>SUMPRODUCT(AJ7:AL7,B7:D7)</f>
        <v>1.7489685425649892E-2</v>
      </c>
      <c r="AT7" s="14">
        <f>SUMPRODUCT(E7:F7,AM7:AN7)</f>
        <v>-0.16667552250514708</v>
      </c>
      <c r="AU7" s="14"/>
      <c r="AV7" s="14">
        <f t="shared" si="4"/>
        <v>1.8974182864749832E-3</v>
      </c>
      <c r="AW7" s="14">
        <f t="shared" si="5"/>
        <v>6.2736027454007243E-3</v>
      </c>
      <c r="AX7" s="14"/>
      <c r="AY7" s="14">
        <f t="shared" si="6"/>
        <v>-4.0624988300803355E-3</v>
      </c>
      <c r="AZ7" s="14">
        <f t="shared" si="7"/>
        <v>-1.382059618710795E-2</v>
      </c>
      <c r="BA7" s="14"/>
      <c r="BB7" s="14">
        <f t="shared" si="8"/>
        <v>-9.7120739853125779E-3</v>
      </c>
      <c r="BC7" s="14">
        <f t="shared" si="9"/>
        <v>0</v>
      </c>
      <c r="BE7" s="19">
        <f t="shared" si="10"/>
        <v>3.0221022826271691E-3</v>
      </c>
      <c r="BF7" s="19">
        <f t="shared" si="11"/>
        <v>-6.6899717026854093E-3</v>
      </c>
    </row>
    <row r="8" spans="1:58">
      <c r="A8" s="150">
        <v>44347</v>
      </c>
      <c r="B8" s="14">
        <v>-3.27E-2</v>
      </c>
      <c r="C8" s="14">
        <v>9.4666666666666666E-3</v>
      </c>
      <c r="D8" s="14">
        <v>3.966666666666667E-3</v>
      </c>
      <c r="E8" s="14">
        <v>8.0000000000000004E-4</v>
      </c>
      <c r="F8" s="14">
        <v>-6.7900000000000002E-2</v>
      </c>
      <c r="G8" s="14"/>
      <c r="H8" s="14">
        <v>0.1975624460712789</v>
      </c>
      <c r="I8" s="14">
        <v>0.14618694600528101</v>
      </c>
      <c r="J8" s="14">
        <v>0.42520599509176865</v>
      </c>
      <c r="K8" s="14">
        <v>8.3674575106909538E-2</v>
      </c>
      <c r="L8" s="14">
        <v>0.14737003772476204</v>
      </c>
      <c r="M8" s="14"/>
      <c r="N8" s="14">
        <v>0.21456078042774615</v>
      </c>
      <c r="O8" s="14">
        <v>0.28989283445752223</v>
      </c>
      <c r="P8" s="14">
        <v>0.47637671253755287</v>
      </c>
      <c r="Q8" s="14">
        <v>-3.3541720715963244E-2</v>
      </c>
      <c r="R8" s="14">
        <f t="shared" si="0"/>
        <v>5.2711393293142006E-2</v>
      </c>
      <c r="S8" s="14"/>
      <c r="T8" s="14">
        <f>SUMPRODUCT(H8:L8,B8:F8)</f>
        <v>-1.3329224351909292E-2</v>
      </c>
      <c r="U8" s="14">
        <f t="shared" si="1"/>
        <v>-5.9881280419009086E-3</v>
      </c>
      <c r="V8" s="14">
        <f>SUMPRODUCT(N8:R8,B8:F8)-T8</f>
        <v>7.3410963100083836E-3</v>
      </c>
      <c r="W8" s="14"/>
      <c r="X8" s="14">
        <f>SUM(H8:J8)</f>
        <v>0.76895538716832856</v>
      </c>
      <c r="Y8" s="14">
        <f>SUM(K8:L8)</f>
        <v>0.23104461283167158</v>
      </c>
      <c r="Z8" s="14"/>
      <c r="AA8" s="14">
        <f t="shared" si="2"/>
        <v>0.98083032742282128</v>
      </c>
      <c r="AB8" s="14">
        <f t="shared" si="3"/>
        <v>1.9169672577178762E-2</v>
      </c>
      <c r="AC8" s="14"/>
      <c r="AD8" s="14">
        <f>H8/$X8</f>
        <v>0.25692315753037492</v>
      </c>
      <c r="AE8" s="14">
        <f>I8/$X8</f>
        <v>0.19011108894576206</v>
      </c>
      <c r="AF8" s="14">
        <f>J8/$X8</f>
        <v>0.55296575352386301</v>
      </c>
      <c r="AG8" s="14">
        <f>K8/$Y8</f>
        <v>0.36215765466849886</v>
      </c>
      <c r="AH8" s="14">
        <f>L8/$Y8</f>
        <v>0.63784234533150108</v>
      </c>
      <c r="AI8" s="14"/>
      <c r="AJ8" s="14">
        <f t="shared" si="12"/>
        <v>0.2187542273407419</v>
      </c>
      <c r="AK8" s="14">
        <f t="shared" si="13"/>
        <v>0.29555859596963069</v>
      </c>
      <c r="AL8" s="14">
        <f t="shared" si="14"/>
        <v>0.48568717668962735</v>
      </c>
      <c r="AM8" s="14">
        <f t="shared" si="15"/>
        <v>-1.749728409857882</v>
      </c>
      <c r="AN8" s="14">
        <f t="shared" si="16"/>
        <v>2.749728409857882</v>
      </c>
      <c r="AO8" s="14"/>
      <c r="AP8" s="14">
        <f>SUMPRODUCT(AD8:AF8,B8:D8)</f>
        <v>-4.4082381202453901E-3</v>
      </c>
      <c r="AQ8" s="14">
        <f>SUMPRODUCT(AG8:AH8,E8:F8)</f>
        <v>-4.3019769124274125E-2</v>
      </c>
      <c r="AR8" s="14"/>
      <c r="AS8" s="14">
        <f>SUMPRODUCT(AJ8:AL8,B8:D8)</f>
        <v>-2.4287493913275676E-3</v>
      </c>
      <c r="AT8" s="14">
        <f>SUMPRODUCT(E8:F8,AM8:AN8)</f>
        <v>-0.18810634175723648</v>
      </c>
      <c r="AU8" s="14"/>
      <c r="AV8" s="14">
        <f t="shared" si="4"/>
        <v>1.8901334248449413E-3</v>
      </c>
      <c r="AW8" s="14">
        <f t="shared" si="5"/>
        <v>6.2906823997681428E-3</v>
      </c>
      <c r="AX8" s="14"/>
      <c r="AY8" s="14">
        <f t="shared" si="6"/>
        <v>1.9415425781142521E-3</v>
      </c>
      <c r="AZ8" s="14">
        <f t="shared" si="7"/>
        <v>-2.7812620927189528E-3</v>
      </c>
      <c r="BA8" s="14"/>
      <c r="BB8" s="14">
        <f t="shared" si="8"/>
        <v>7.3410963100083828E-3</v>
      </c>
      <c r="BC8" s="14">
        <f t="shared" si="9"/>
        <v>0</v>
      </c>
      <c r="BE8" s="19">
        <f t="shared" si="10"/>
        <v>-1.5829224351909293E-2</v>
      </c>
      <c r="BF8" s="19">
        <f t="shared" si="11"/>
        <v>-8.4881280419009091E-3</v>
      </c>
    </row>
    <row r="9" spans="1:58">
      <c r="A9" s="150">
        <v>44377</v>
      </c>
      <c r="B9" s="14">
        <v>3.8999999999999998E-3</v>
      </c>
      <c r="C9" s="14">
        <v>-3.9033333333333337E-2</v>
      </c>
      <c r="D9" s="14">
        <v>5.0066666666666669E-2</v>
      </c>
      <c r="E9" s="14">
        <v>-2.8999999999999998E-3</v>
      </c>
      <c r="F9" s="14">
        <v>-7.7700000000000005E-2</v>
      </c>
      <c r="G9" s="14"/>
      <c r="H9" s="14">
        <v>0.19597571040033596</v>
      </c>
      <c r="I9" s="14">
        <v>0.13881113820914745</v>
      </c>
      <c r="J9" s="14">
        <v>0.44118795803876776</v>
      </c>
      <c r="K9" s="14">
        <v>8.2440312721772449E-2</v>
      </c>
      <c r="L9" s="14">
        <v>0.14158488062997632</v>
      </c>
      <c r="M9" s="14"/>
      <c r="N9" s="14">
        <v>0.18053923542956124</v>
      </c>
      <c r="O9" s="14">
        <v>0.31506593209896805</v>
      </c>
      <c r="P9" s="14">
        <v>0.54043961311586386</v>
      </c>
      <c r="Q9" s="14">
        <v>-0.12029599728248423</v>
      </c>
      <c r="R9" s="14">
        <f t="shared" si="0"/>
        <v>8.4251216638091098E-2</v>
      </c>
      <c r="S9" s="14"/>
      <c r="T9" s="14">
        <f>SUMPRODUCT(H9:L9,B9:F9)</f>
        <v>6.1946321430962591E-3</v>
      </c>
      <c r="U9" s="14">
        <f t="shared" si="1"/>
        <v>9.2665782912526792E-3</v>
      </c>
      <c r="V9" s="14">
        <f>SUMPRODUCT(N9:R9,B9:F9)-T9</f>
        <v>3.0719461481564202E-3</v>
      </c>
      <c r="W9" s="14"/>
      <c r="X9" s="14">
        <f>SUM(H9:J9)</f>
        <v>0.77597480664825114</v>
      </c>
      <c r="Y9" s="14">
        <f>SUM(K9:L9)</f>
        <v>0.22402519335174875</v>
      </c>
      <c r="Z9" s="14"/>
      <c r="AA9" s="14">
        <f t="shared" si="2"/>
        <v>1.0360447806443931</v>
      </c>
      <c r="AB9" s="14">
        <f t="shared" si="3"/>
        <v>-3.6044780644393135E-2</v>
      </c>
      <c r="AC9" s="14"/>
      <c r="AD9" s="14">
        <f>H9/$X9</f>
        <v>0.25255421789636995</v>
      </c>
      <c r="AE9" s="14">
        <f>I9/$X9</f>
        <v>0.17888614040026488</v>
      </c>
      <c r="AF9" s="14">
        <f>J9/$X9</f>
        <v>0.56855964170336526</v>
      </c>
      <c r="AG9" s="14">
        <f>K9/$Y9</f>
        <v>0.36799572176835671</v>
      </c>
      <c r="AH9" s="14">
        <f>L9/$Y9</f>
        <v>0.6320042782316434</v>
      </c>
      <c r="AI9" s="14"/>
      <c r="AJ9" s="14">
        <f t="shared" si="12"/>
        <v>0.17425813903262993</v>
      </c>
      <c r="AK9" s="14">
        <f t="shared" si="13"/>
        <v>0.30410455029077527</v>
      </c>
      <c r="AL9" s="14">
        <f t="shared" si="14"/>
        <v>0.52163731067659491</v>
      </c>
      <c r="AM9" s="14">
        <f t="shared" si="15"/>
        <v>3.3374040605015196</v>
      </c>
      <c r="AN9" s="14">
        <f t="shared" si="16"/>
        <v>-2.3374040605015196</v>
      </c>
      <c r="AO9" s="14"/>
      <c r="AP9" s="14">
        <f>SUMPRODUCT(AD9:AF9,B9:D9)</f>
        <v>2.2468325164120659E-2</v>
      </c>
      <c r="AQ9" s="14">
        <f>SUMPRODUCT(AG9:AH9,E9:F9)</f>
        <v>-5.0173920011726929E-2</v>
      </c>
      <c r="AR9" s="14"/>
      <c r="AS9" s="14">
        <f>SUMPRODUCT(AJ9:AL9,B9:D9)</f>
        <v>1.4926033817085516E-2</v>
      </c>
      <c r="AT9" s="14">
        <f>SUMPRODUCT(E9:F9,AM9:AN9)</f>
        <v>0.17193782372551367</v>
      </c>
      <c r="AU9" s="14"/>
      <c r="AV9" s="14">
        <f t="shared" si="4"/>
        <v>4.2322989207990123E-3</v>
      </c>
      <c r="AW9" s="14">
        <f t="shared" si="5"/>
        <v>1.4659767893105033E-2</v>
      </c>
      <c r="AX9" s="14"/>
      <c r="AY9" s="14">
        <f t="shared" si="6"/>
        <v>-7.8141515841951299E-3</v>
      </c>
      <c r="AZ9" s="14">
        <f t="shared" si="7"/>
        <v>-8.0059690815524973E-3</v>
      </c>
      <c r="BA9" s="14"/>
      <c r="BB9" s="14">
        <f t="shared" si="8"/>
        <v>3.0719461481564202E-3</v>
      </c>
      <c r="BC9" s="14">
        <f t="shared" si="9"/>
        <v>0</v>
      </c>
      <c r="BE9" s="19">
        <f t="shared" si="10"/>
        <v>3.694632143096259E-3</v>
      </c>
      <c r="BF9" s="19">
        <f t="shared" si="11"/>
        <v>6.7665782912526787E-3</v>
      </c>
    </row>
    <row r="10" spans="1:58">
      <c r="A10" s="150">
        <v>44408</v>
      </c>
      <c r="B10" s="14">
        <v>9.2999999999999992E-3</v>
      </c>
      <c r="C10" s="14">
        <v>4.3866666666666665E-2</v>
      </c>
      <c r="D10" s="14">
        <v>-4.5733333333333334E-2</v>
      </c>
      <c r="E10" s="14">
        <v>8.8000000000000005E-3</v>
      </c>
      <c r="F10" s="14">
        <v>1.6199999999999992E-2</v>
      </c>
      <c r="G10" s="14"/>
      <c r="H10" s="14">
        <v>0.19822781366444089</v>
      </c>
      <c r="I10" s="14">
        <v>0.14521497864317884</v>
      </c>
      <c r="J10" s="14">
        <v>0.42192520906878106</v>
      </c>
      <c r="K10" s="14">
        <v>8.3346386262563923E-2</v>
      </c>
      <c r="L10" s="14">
        <v>0.15128561236103516</v>
      </c>
      <c r="M10" s="14"/>
      <c r="N10" s="14">
        <v>0.21430291994913844</v>
      </c>
      <c r="O10" s="14">
        <v>0.17402276432998282</v>
      </c>
      <c r="P10" s="14">
        <v>0.43255733749558622</v>
      </c>
      <c r="Q10" s="14">
        <v>8.7096196755000188E-3</v>
      </c>
      <c r="R10" s="14">
        <f t="shared" si="0"/>
        <v>0.1704073585497925</v>
      </c>
      <c r="S10" s="14"/>
      <c r="T10" s="14">
        <f>SUMPRODUCT(H10:L10,B10:F10)</f>
        <v>-7.8981553784928452E-3</v>
      </c>
      <c r="U10" s="14">
        <f t="shared" si="1"/>
        <v>-7.3182292890115403E-3</v>
      </c>
      <c r="V10" s="14">
        <f>SUMPRODUCT(N10:R10,B10:F10)-T10</f>
        <v>5.7992608948130488E-4</v>
      </c>
      <c r="W10" s="14"/>
      <c r="X10" s="14">
        <f>SUM(H10:J10)</f>
        <v>0.76536800137640082</v>
      </c>
      <c r="Y10" s="14">
        <f>SUM(K10:L10)</f>
        <v>0.23463199862359907</v>
      </c>
      <c r="Z10" s="14"/>
      <c r="AA10" s="14">
        <f t="shared" si="2"/>
        <v>0.82088302177470751</v>
      </c>
      <c r="AB10" s="14">
        <f t="shared" si="3"/>
        <v>0.17911697822529252</v>
      </c>
      <c r="AC10" s="14"/>
      <c r="AD10" s="14">
        <f>H10/$X10</f>
        <v>0.25899673530635925</v>
      </c>
      <c r="AE10" s="14">
        <f>I10/$X10</f>
        <v>0.18973223126918193</v>
      </c>
      <c r="AF10" s="14">
        <f>J10/$X10</f>
        <v>0.55127103342445871</v>
      </c>
      <c r="AG10" s="14">
        <f>K10/$Y10</f>
        <v>0.35522173766362414</v>
      </c>
      <c r="AH10" s="14">
        <f>L10/$Y10</f>
        <v>0.64477826233637592</v>
      </c>
      <c r="AI10" s="14"/>
      <c r="AJ10" s="14">
        <f t="shared" si="12"/>
        <v>0.26106389615152031</v>
      </c>
      <c r="AK10" s="14">
        <f t="shared" si="13"/>
        <v>0.21199459571444712</v>
      </c>
      <c r="AL10" s="14">
        <f t="shared" si="14"/>
        <v>0.52694150813403251</v>
      </c>
      <c r="AM10" s="14">
        <f t="shared" si="15"/>
        <v>4.8625316046506203E-2</v>
      </c>
      <c r="AN10" s="14">
        <f t="shared" si="16"/>
        <v>0.95137468395349378</v>
      </c>
      <c r="AO10" s="14"/>
      <c r="AP10" s="14">
        <f>SUMPRODUCT(AD10:AF10,B10:D10)</f>
        <v>-1.4479871745254655E-2</v>
      </c>
      <c r="AQ10" s="14">
        <f>SUMPRODUCT(AG10:AH10,E10:F10)</f>
        <v>1.3571359141289178E-2</v>
      </c>
      <c r="AR10" s="14"/>
      <c r="AS10" s="14">
        <f>SUMPRODUCT(AJ10:AL10,B10:D10)</f>
        <v>-1.2371401139113534E-2</v>
      </c>
      <c r="AT10" s="14">
        <f>SUMPRODUCT(E10:F10,AM10:AN10)</f>
        <v>1.5840172661255848E-2</v>
      </c>
      <c r="AU10" s="14"/>
      <c r="AV10" s="14">
        <f t="shared" si="4"/>
        <v>-3.6538411835665088E-4</v>
      </c>
      <c r="AW10" s="14">
        <f t="shared" si="5"/>
        <v>-1.1918805365074378E-3</v>
      </c>
      <c r="AX10" s="14"/>
      <c r="AY10" s="14">
        <f t="shared" si="6"/>
        <v>1.7308077224922726E-3</v>
      </c>
      <c r="AZ10" s="14">
        <f t="shared" si="7"/>
        <v>4.0638302185311932E-4</v>
      </c>
      <c r="BA10" s="14"/>
      <c r="BB10" s="14">
        <f t="shared" si="8"/>
        <v>5.7992608948130315E-4</v>
      </c>
      <c r="BC10" s="14">
        <f t="shared" si="9"/>
        <v>-1.7347234759768071E-18</v>
      </c>
      <c r="BE10" s="19">
        <f t="shared" si="10"/>
        <v>-1.0398155378492846E-2</v>
      </c>
      <c r="BF10" s="19">
        <f t="shared" si="11"/>
        <v>-9.8182292890115399E-3</v>
      </c>
    </row>
    <row r="11" spans="1:58">
      <c r="A11" s="150">
        <v>44439</v>
      </c>
      <c r="B11" s="14">
        <v>5.5800000000000002E-2</v>
      </c>
      <c r="C11" s="14">
        <v>6.9666666666666661E-3</v>
      </c>
      <c r="D11" s="14">
        <v>-4.4533333333333334E-2</v>
      </c>
      <c r="E11" s="14">
        <v>-7.22E-2</v>
      </c>
      <c r="F11" s="14">
        <v>4.02E-2</v>
      </c>
      <c r="G11" s="14"/>
      <c r="H11" s="14">
        <v>0.2090983547806366</v>
      </c>
      <c r="I11" s="14">
        <v>0.14609349432986424</v>
      </c>
      <c r="J11" s="14">
        <v>0.4027683925871901</v>
      </c>
      <c r="K11" s="14">
        <v>7.7258364401470436E-2</v>
      </c>
      <c r="L11" s="14">
        <v>0.16478139390083871</v>
      </c>
      <c r="M11" s="14"/>
      <c r="N11" s="14">
        <v>0.23492797364078916</v>
      </c>
      <c r="O11" s="14">
        <v>0.31217036038581947</v>
      </c>
      <c r="P11" s="14">
        <v>0.34434777242817693</v>
      </c>
      <c r="Q11" s="14">
        <v>4.8125137075586549E-3</v>
      </c>
      <c r="R11" s="14">
        <f t="shared" si="0"/>
        <v>0.10374137983765574</v>
      </c>
      <c r="S11" s="14"/>
      <c r="T11" s="14">
        <f>SUMPRODUCT(H11:L11,B11:F11)</f>
        <v>-4.2049880842644034E-3</v>
      </c>
      <c r="U11" s="14">
        <f t="shared" si="1"/>
        <v>3.7717536208304574E-3</v>
      </c>
      <c r="V11" s="14">
        <f>SUMPRODUCT(N11:R11,B11:F11)-T11</f>
        <v>7.97674170509486E-3</v>
      </c>
      <c r="W11" s="14"/>
      <c r="X11" s="14">
        <f>SUM(H11:J11)</f>
        <v>0.75796024169769094</v>
      </c>
      <c r="Y11" s="14">
        <f>SUM(K11:L11)</f>
        <v>0.24203975830230914</v>
      </c>
      <c r="Z11" s="14"/>
      <c r="AA11" s="14">
        <f t="shared" si="2"/>
        <v>0.89144610645478561</v>
      </c>
      <c r="AB11" s="14">
        <f t="shared" si="3"/>
        <v>0.1085538935452144</v>
      </c>
      <c r="AC11" s="14"/>
      <c r="AD11" s="14">
        <f>H11/$X11</f>
        <v>0.27586981912441066</v>
      </c>
      <c r="AE11" s="14">
        <f>I11/$X11</f>
        <v>0.19274559045820372</v>
      </c>
      <c r="AF11" s="14">
        <f>J11/$X11</f>
        <v>0.53138459041738562</v>
      </c>
      <c r="AG11" s="14">
        <f>K11/$Y11</f>
        <v>0.31919699863926598</v>
      </c>
      <c r="AH11" s="14">
        <f>L11/$Y11</f>
        <v>0.68080300136073402</v>
      </c>
      <c r="AI11" s="14"/>
      <c r="AJ11" s="14">
        <f t="shared" si="12"/>
        <v>0.26353581213684368</v>
      </c>
      <c r="AK11" s="14">
        <f t="shared" si="13"/>
        <v>0.35018422103754271</v>
      </c>
      <c r="AL11" s="14">
        <f t="shared" si="14"/>
        <v>0.38627996682561355</v>
      </c>
      <c r="AM11" s="14">
        <f t="shared" si="15"/>
        <v>4.4332944221426453E-2</v>
      </c>
      <c r="AN11" s="14">
        <f t="shared" si="16"/>
        <v>0.95566705577857358</v>
      </c>
      <c r="AO11" s="14"/>
      <c r="AP11" s="14">
        <f>SUMPRODUCT(AD11:AF11,B11:D11)</f>
        <v>-6.9279969059199698E-3</v>
      </c>
      <c r="AQ11" s="14">
        <f>SUMPRODUCT(AG11:AH11,E11:F11)</f>
        <v>4.3222573529465014E-3</v>
      </c>
      <c r="AR11" s="14"/>
      <c r="AS11" s="14">
        <f>SUMPRODUCT(AJ11:AL11,B11:D11)</f>
        <v>-5.7419465503232708E-5</v>
      </c>
      <c r="AT11" s="14">
        <f>SUMPRODUCT(E11:F11,AM11:AN11)</f>
        <v>3.5216977069511671E-2</v>
      </c>
      <c r="AU11" s="14"/>
      <c r="AV11" s="14">
        <f t="shared" si="4"/>
        <v>-3.6348318729989066E-4</v>
      </c>
      <c r="AW11" s="14">
        <f t="shared" si="5"/>
        <v>-1.1382667311820882E-3</v>
      </c>
      <c r="AX11" s="14"/>
      <c r="AY11" s="14">
        <f t="shared" si="6"/>
        <v>6.1247495083555873E-3</v>
      </c>
      <c r="AZ11" s="14">
        <f t="shared" si="7"/>
        <v>3.3537421152212516E-3</v>
      </c>
      <c r="BA11" s="14"/>
      <c r="BB11" s="14">
        <f t="shared" si="8"/>
        <v>7.97674170509486E-3</v>
      </c>
      <c r="BC11" s="14">
        <f t="shared" si="9"/>
        <v>0</v>
      </c>
      <c r="BE11" s="19">
        <f t="shared" si="10"/>
        <v>-6.704988084264403E-3</v>
      </c>
      <c r="BF11" s="19">
        <f t="shared" si="11"/>
        <v>1.2717536208304574E-3</v>
      </c>
    </row>
    <row r="12" spans="1:58">
      <c r="A12" s="150">
        <v>44469</v>
      </c>
      <c r="B12" s="14">
        <v>2.1000000000000001E-2</v>
      </c>
      <c r="C12" s="14">
        <v>2.9466666666666665E-2</v>
      </c>
      <c r="D12" s="14">
        <v>5.7666666666666665E-2</v>
      </c>
      <c r="E12" s="14">
        <v>4.0800000000000003E-2</v>
      </c>
      <c r="F12" s="14">
        <v>-7.7600000000000002E-2</v>
      </c>
      <c r="G12" s="14"/>
      <c r="H12" s="14">
        <v>0.20716539829861208</v>
      </c>
      <c r="I12" s="14">
        <v>0.14594325473918096</v>
      </c>
      <c r="J12" s="14">
        <v>0.41337581165141984</v>
      </c>
      <c r="K12" s="14">
        <v>7.8028571234559072E-2</v>
      </c>
      <c r="L12" s="14">
        <v>0.15548696407622806</v>
      </c>
      <c r="M12" s="14"/>
      <c r="N12" s="14">
        <v>0.20427888155602919</v>
      </c>
      <c r="O12" s="14">
        <v>0.3084810040621272</v>
      </c>
      <c r="P12" s="14">
        <v>0.43415755988949767</v>
      </c>
      <c r="Q12" s="14">
        <v>-1.2582503451025684E-2</v>
      </c>
      <c r="R12" s="14">
        <f t="shared" si="0"/>
        <v>6.5665057943371741E-2</v>
      </c>
      <c r="S12" s="14"/>
      <c r="T12" s="14">
        <f>SUMPRODUCT(H12:L12,B12:F12)</f>
        <v>2.3606717036538643E-2</v>
      </c>
      <c r="U12" s="14">
        <f t="shared" si="1"/>
        <v>3.2807208082127497E-2</v>
      </c>
      <c r="V12" s="14">
        <f>SUMPRODUCT(N12:R12,B12:F12)-T12</f>
        <v>9.2004910455888538E-3</v>
      </c>
      <c r="W12" s="14"/>
      <c r="X12" s="14">
        <f>SUM(H12:J12)</f>
        <v>0.76648446468921283</v>
      </c>
      <c r="Y12" s="14">
        <f>SUM(K12:L12)</f>
        <v>0.23351553531078711</v>
      </c>
      <c r="Z12" s="14"/>
      <c r="AA12" s="14">
        <f t="shared" si="2"/>
        <v>0.946917445507654</v>
      </c>
      <c r="AB12" s="14">
        <f t="shared" si="3"/>
        <v>5.3082554492346057E-2</v>
      </c>
      <c r="AC12" s="14"/>
      <c r="AD12" s="14">
        <f>H12/$X12</f>
        <v>0.27027997023085343</v>
      </c>
      <c r="AE12" s="14">
        <f>I12/$X12</f>
        <v>0.19040601794630854</v>
      </c>
      <c r="AF12" s="14">
        <f>J12/$X12</f>
        <v>0.53931401182283811</v>
      </c>
      <c r="AG12" s="14">
        <f>K12/$Y12</f>
        <v>0.33414723834416593</v>
      </c>
      <c r="AH12" s="14">
        <f>L12/$Y12</f>
        <v>0.66585276165583418</v>
      </c>
      <c r="AI12" s="14"/>
      <c r="AJ12" s="14">
        <f t="shared" si="12"/>
        <v>0.2157304023969194</v>
      </c>
      <c r="AK12" s="14">
        <f t="shared" si="13"/>
        <v>0.32577391569414665</v>
      </c>
      <c r="AL12" s="14">
        <f t="shared" si="14"/>
        <v>0.45849568190893397</v>
      </c>
      <c r="AM12" s="14">
        <f t="shared" si="15"/>
        <v>-0.23703650985447483</v>
      </c>
      <c r="AN12" s="14">
        <f t="shared" si="16"/>
        <v>1.2370365098544749</v>
      </c>
      <c r="AO12" s="14"/>
      <c r="AP12" s="14">
        <f>SUMPRODUCT(AD12:AF12,B12:D12)</f>
        <v>4.2386951385449477E-2</v>
      </c>
      <c r="AQ12" s="14">
        <f>SUMPRODUCT(AG12:AH12,E12:F12)</f>
        <v>-3.8036966980050768E-2</v>
      </c>
      <c r="AR12" s="14"/>
      <c r="AS12" s="14">
        <f>SUMPRODUCT(AJ12:AL12,B12:D12)</f>
        <v>4.0569727489538021E-2</v>
      </c>
      <c r="AT12" s="14">
        <f>SUMPRODUCT(E12:F12,AM12:AN12)</f>
        <v>-0.10566512276676983</v>
      </c>
      <c r="AU12" s="14"/>
      <c r="AV12" s="14">
        <f t="shared" si="4"/>
        <v>3.3885736640428587E-3</v>
      </c>
      <c r="AW12" s="14">
        <f t="shared" si="5"/>
        <v>1.1122553655743319E-2</v>
      </c>
      <c r="AX12" s="14"/>
      <c r="AY12" s="14">
        <f t="shared" si="6"/>
        <v>-1.7207610094319428E-3</v>
      </c>
      <c r="AZ12" s="14">
        <f t="shared" si="7"/>
        <v>-3.589875264765383E-3</v>
      </c>
      <c r="BA12" s="14"/>
      <c r="BB12" s="14">
        <f t="shared" si="8"/>
        <v>9.2004910455888538E-3</v>
      </c>
      <c r="BC12" s="14">
        <f t="shared" si="9"/>
        <v>0</v>
      </c>
      <c r="BE12" s="19">
        <f t="shared" si="10"/>
        <v>2.1106717036538644E-2</v>
      </c>
      <c r="BF12" s="19">
        <f t="shared" si="11"/>
        <v>3.0307208082127498E-2</v>
      </c>
    </row>
    <row r="13" spans="1:58">
      <c r="A13" s="150">
        <v>44500</v>
      </c>
      <c r="B13" s="14">
        <v>0.10100000000000001</v>
      </c>
      <c r="C13" s="14">
        <v>1.2666666666666668E-3</v>
      </c>
      <c r="D13" s="14">
        <v>7.2666666666666661E-3</v>
      </c>
      <c r="E13" s="14">
        <v>-5.04E-2</v>
      </c>
      <c r="F13" s="14">
        <v>2.7099999999999999E-2</v>
      </c>
      <c r="G13" s="14"/>
      <c r="H13" s="14">
        <v>0.22098063474116256</v>
      </c>
      <c r="I13" s="14">
        <v>0.14157398740686397</v>
      </c>
      <c r="J13" s="14">
        <v>0.40340307207656911</v>
      </c>
      <c r="K13" s="14">
        <v>7.1786708198400759E-2</v>
      </c>
      <c r="L13" s="14">
        <v>0.16225559757700372</v>
      </c>
      <c r="M13" s="14"/>
      <c r="N13" s="14">
        <v>0.1926023230125696</v>
      </c>
      <c r="O13" s="14">
        <v>0.29161480204273171</v>
      </c>
      <c r="P13" s="14">
        <v>0.41330362570263568</v>
      </c>
      <c r="Q13" s="14">
        <v>-3.7042056954465497E-2</v>
      </c>
      <c r="R13" s="14">
        <f t="shared" si="0"/>
        <v>0.13952130619652847</v>
      </c>
      <c r="S13" s="14"/>
      <c r="T13" s="14">
        <f>SUMPRODUCT(H13:L13,B13:F13)</f>
        <v>2.6208843417799922E-2</v>
      </c>
      <c r="U13" s="14">
        <f t="shared" si="1"/>
        <v>2.8473500122060458E-2</v>
      </c>
      <c r="V13" s="14">
        <f>SUMPRODUCT(N13:R13,B13:F13)-T13</f>
        <v>2.2646567042605356E-3</v>
      </c>
      <c r="W13" s="14"/>
      <c r="X13" s="14">
        <f>SUM(H13:J13)</f>
        <v>0.76595769422459559</v>
      </c>
      <c r="Y13" s="14">
        <f>SUM(K13:L13)</f>
        <v>0.23404230577540447</v>
      </c>
      <c r="Z13" s="14"/>
      <c r="AA13" s="14">
        <f t="shared" si="2"/>
        <v>0.89752075075793702</v>
      </c>
      <c r="AB13" s="14">
        <f t="shared" si="3"/>
        <v>0.10247924924206298</v>
      </c>
      <c r="AC13" s="14"/>
      <c r="AD13" s="14">
        <f>H13/$X13</f>
        <v>0.28850240216578621</v>
      </c>
      <c r="AE13" s="14">
        <f>I13/$X13</f>
        <v>0.18483264607738423</v>
      </c>
      <c r="AF13" s="14">
        <f>J13/$X13</f>
        <v>0.5266649517568297</v>
      </c>
      <c r="AG13" s="14">
        <f>K13/$Y13</f>
        <v>0.30672535019070402</v>
      </c>
      <c r="AH13" s="14">
        <f>L13/$Y13</f>
        <v>0.6932746498092961</v>
      </c>
      <c r="AI13" s="14"/>
      <c r="AJ13" s="14">
        <f t="shared" si="12"/>
        <v>0.21459372705301918</v>
      </c>
      <c r="AK13" s="14">
        <f t="shared" si="13"/>
        <v>0.32491148733493824</v>
      </c>
      <c r="AL13" s="14">
        <f t="shared" si="14"/>
        <v>0.46049478561204255</v>
      </c>
      <c r="AM13" s="14">
        <f t="shared" si="15"/>
        <v>-0.36145909760686901</v>
      </c>
      <c r="AN13" s="14">
        <f t="shared" si="16"/>
        <v>1.361459097606869</v>
      </c>
      <c r="AO13" s="14"/>
      <c r="AP13" s="14">
        <f>SUMPRODUCT(AD13:AF13,B13:D13)</f>
        <v>3.3199962619875394E-2</v>
      </c>
      <c r="AQ13" s="14">
        <f>SUMPRODUCT(AG13:AH13,E13:F13)</f>
        <v>3.3287853602204393E-3</v>
      </c>
      <c r="AR13" s="14"/>
      <c r="AS13" s="14">
        <f>SUMPRODUCT(AJ13:AL13,B13:D13)</f>
        <v>2.5431783091760037E-2</v>
      </c>
      <c r="AT13" s="14">
        <f>SUMPRODUCT(E13:F13,AM13:AN13)</f>
        <v>5.5113080064532347E-2</v>
      </c>
      <c r="AU13" s="14"/>
      <c r="AV13" s="14">
        <f t="shared" si="4"/>
        <v>9.1977301081398418E-4</v>
      </c>
      <c r="AW13" s="14">
        <f t="shared" si="5"/>
        <v>3.0101703717154652E-3</v>
      </c>
      <c r="AX13" s="14"/>
      <c r="AY13" s="14">
        <f t="shared" si="6"/>
        <v>-6.9721023220965326E-3</v>
      </c>
      <c r="AZ13" s="14">
        <f t="shared" si="7"/>
        <v>5.3068156438276217E-3</v>
      </c>
      <c r="BA13" s="14"/>
      <c r="BB13" s="14">
        <f t="shared" si="8"/>
        <v>2.2646567042605382E-3</v>
      </c>
      <c r="BC13" s="14">
        <f t="shared" si="9"/>
        <v>0</v>
      </c>
      <c r="BE13" s="19">
        <f t="shared" si="10"/>
        <v>2.3708843417799923E-2</v>
      </c>
      <c r="BF13" s="19">
        <f t="shared" si="11"/>
        <v>2.5973500122060459E-2</v>
      </c>
    </row>
    <row r="14" spans="1:58">
      <c r="A14" s="150">
        <v>44530</v>
      </c>
      <c r="B14" s="14">
        <v>1.55E-2</v>
      </c>
      <c r="C14" s="14">
        <v>4.4566666666666664E-2</v>
      </c>
      <c r="D14" s="14">
        <v>3.8866666666666667E-2</v>
      </c>
      <c r="E14" s="14">
        <v>4.7E-2</v>
      </c>
      <c r="F14" s="14">
        <v>-6.3500000000000001E-2</v>
      </c>
      <c r="G14" s="14"/>
      <c r="H14" s="14">
        <v>0.21859191524492591</v>
      </c>
      <c r="I14" s="14">
        <v>0.14405209467160709</v>
      </c>
      <c r="J14" s="14">
        <v>0.40822440400436782</v>
      </c>
      <c r="K14" s="14">
        <v>7.3213416151146252E-2</v>
      </c>
      <c r="L14" s="14">
        <v>0.1559181699279529</v>
      </c>
      <c r="M14" s="14"/>
      <c r="N14" s="14">
        <v>0.21966181414189298</v>
      </c>
      <c r="O14" s="14">
        <v>0.11732295063669988</v>
      </c>
      <c r="P14" s="14">
        <v>0.47517108012289999</v>
      </c>
      <c r="Q14" s="14">
        <v>-1.8314883941176502E-2</v>
      </c>
      <c r="R14" s="14">
        <f t="shared" si="0"/>
        <v>0.20615903903968369</v>
      </c>
      <c r="S14" s="14"/>
      <c r="T14" s="14">
        <f>SUMPRODUCT(H14:L14,B14:F14)</f>
        <v>1.9214644976476271E-2</v>
      </c>
      <c r="U14" s="14">
        <f t="shared" si="1"/>
        <v>1.3149868409096434E-2</v>
      </c>
      <c r="V14" s="14">
        <f>SUMPRODUCT(N14:R14,B14:F14)-T14</f>
        <v>-6.0647765673798367E-3</v>
      </c>
      <c r="W14" s="14"/>
      <c r="X14" s="14">
        <f>SUM(H14:J14)</f>
        <v>0.77086841392090077</v>
      </c>
      <c r="Y14" s="14">
        <f>SUM(K14:L14)</f>
        <v>0.22913158607909917</v>
      </c>
      <c r="Z14" s="14"/>
      <c r="AA14" s="14">
        <f t="shared" si="2"/>
        <v>0.81215584490149284</v>
      </c>
      <c r="AB14" s="14">
        <f t="shared" si="3"/>
        <v>0.18784415509850719</v>
      </c>
      <c r="AC14" s="14"/>
      <c r="AD14" s="14">
        <f>H14/$X14</f>
        <v>0.28356579579268604</v>
      </c>
      <c r="AE14" s="14">
        <f>I14/$X14</f>
        <v>0.18686988864793252</v>
      </c>
      <c r="AF14" s="14">
        <f>J14/$X14</f>
        <v>0.52956431555938155</v>
      </c>
      <c r="AG14" s="14">
        <f>K14/$Y14</f>
        <v>0.31952563766512765</v>
      </c>
      <c r="AH14" s="14">
        <f>L14/$Y14</f>
        <v>0.68047436233487224</v>
      </c>
      <c r="AI14" s="14"/>
      <c r="AJ14" s="14">
        <f t="shared" si="12"/>
        <v>0.27046756545664702</v>
      </c>
      <c r="AK14" s="14">
        <f t="shared" si="13"/>
        <v>0.14445866685959774</v>
      </c>
      <c r="AL14" s="14">
        <f t="shared" si="14"/>
        <v>0.5850737676837553</v>
      </c>
      <c r="AM14" s="14">
        <f t="shared" si="15"/>
        <v>-9.750041959821433E-2</v>
      </c>
      <c r="AN14" s="14">
        <f t="shared" si="16"/>
        <v>1.0975004195982143</v>
      </c>
      <c r="AO14" s="14"/>
      <c r="AP14" s="14">
        <f>SUMPRODUCT(AD14:AF14,B14:D14)</f>
        <v>3.3305837603604123E-2</v>
      </c>
      <c r="AQ14" s="14">
        <f>SUMPRODUCT(AG14:AH14,E14:F14)</f>
        <v>-2.8192417038003386E-2</v>
      </c>
      <c r="AR14" s="14"/>
      <c r="AS14" s="14">
        <f>SUMPRODUCT(AJ14:AL14,B14:D14)</f>
        <v>3.3370155621596058E-2</v>
      </c>
      <c r="AT14" s="14">
        <f>SUMPRODUCT(E14:F14,AM14:AN14)</f>
        <v>-7.427379636560269E-2</v>
      </c>
      <c r="AU14" s="14"/>
      <c r="AV14" s="14">
        <f t="shared" si="4"/>
        <v>5.8178914302676901E-4</v>
      </c>
      <c r="AW14" s="14">
        <f t="shared" si="5"/>
        <v>1.9573158009154727E-3</v>
      </c>
      <c r="AX14" s="14"/>
      <c r="AY14" s="14">
        <f t="shared" si="6"/>
        <v>5.2236254244629418E-5</v>
      </c>
      <c r="AZ14" s="14">
        <f t="shared" si="7"/>
        <v>-8.6561177655667051E-3</v>
      </c>
      <c r="BA14" s="14"/>
      <c r="BB14" s="14">
        <f t="shared" si="8"/>
        <v>-6.0647765673798341E-3</v>
      </c>
      <c r="BC14" s="14">
        <f t="shared" si="9"/>
        <v>0</v>
      </c>
      <c r="BE14" s="19">
        <f t="shared" si="10"/>
        <v>1.6714644976476272E-2</v>
      </c>
      <c r="BF14" s="19">
        <f t="shared" si="11"/>
        <v>1.0649868409096434E-2</v>
      </c>
    </row>
    <row r="15" spans="1:58">
      <c r="A15" s="150">
        <v>44561</v>
      </c>
      <c r="B15" s="14">
        <v>3.7900000000000003E-2</v>
      </c>
      <c r="C15" s="14">
        <v>2.2966666666666666E-2</v>
      </c>
      <c r="D15" s="14">
        <v>4.4866666666666666E-2</v>
      </c>
      <c r="E15" s="14">
        <v>4.2599999999999999E-2</v>
      </c>
      <c r="F15" s="14">
        <v>-4.7800000000000002E-2</v>
      </c>
      <c r="G15" s="14"/>
      <c r="H15" s="14">
        <v>0.21955003043753279</v>
      </c>
      <c r="I15" s="14">
        <v>0.14260178266776033</v>
      </c>
      <c r="J15" s="14">
        <v>0.41276582498373371</v>
      </c>
      <c r="K15" s="14">
        <v>7.3867310484741058E-2</v>
      </c>
      <c r="L15" s="14">
        <v>0.15121505142623193</v>
      </c>
      <c r="M15" s="14"/>
      <c r="N15" s="14">
        <v>0.23444779583078529</v>
      </c>
      <c r="O15" s="14">
        <v>0.13517775507162563</v>
      </c>
      <c r="P15" s="14">
        <v>0.52375596437873229</v>
      </c>
      <c r="Q15" s="14">
        <v>-3.6373217818952225E-2</v>
      </c>
      <c r="R15" s="14">
        <f t="shared" si="0"/>
        <v>0.14299170253780902</v>
      </c>
      <c r="S15" s="14"/>
      <c r="T15" s="14">
        <f>SUMPRODUCT(H15:L15,B15:F15)</f>
        <v>2.6034128411598322E-2</v>
      </c>
      <c r="U15" s="14">
        <f t="shared" si="1"/>
        <v>2.7104835711529586E-2</v>
      </c>
      <c r="V15" s="14">
        <f>SUMPRODUCT(N15:R15,B15:F15)-T15</f>
        <v>1.0707072999312645E-3</v>
      </c>
      <c r="W15" s="14"/>
      <c r="X15" s="14">
        <f>SUM(H15:J15)</f>
        <v>0.77491763808902681</v>
      </c>
      <c r="Y15" s="14">
        <f>SUM(K15:L15)</f>
        <v>0.22508236191097297</v>
      </c>
      <c r="Z15" s="14"/>
      <c r="AA15" s="14">
        <f t="shared" si="2"/>
        <v>0.89338151528114318</v>
      </c>
      <c r="AB15" s="14">
        <f t="shared" si="3"/>
        <v>0.10661848471885679</v>
      </c>
      <c r="AC15" s="14"/>
      <c r="AD15" s="14">
        <f>H15/$X15</f>
        <v>0.28332047129415022</v>
      </c>
      <c r="AE15" s="14">
        <f>I15/$X15</f>
        <v>0.18402185685103409</v>
      </c>
      <c r="AF15" s="14">
        <f>J15/$X15</f>
        <v>0.53265767185481572</v>
      </c>
      <c r="AG15" s="14">
        <f>K15/$Y15</f>
        <v>0.32817902681311767</v>
      </c>
      <c r="AH15" s="14">
        <f>L15/$Y15</f>
        <v>0.67182097318688239</v>
      </c>
      <c r="AI15" s="14"/>
      <c r="AJ15" s="14">
        <f t="shared" si="12"/>
        <v>0.26242740847061918</v>
      </c>
      <c r="AK15" s="14">
        <f t="shared" si="13"/>
        <v>0.15131022162360924</v>
      </c>
      <c r="AL15" s="14">
        <f t="shared" si="14"/>
        <v>0.58626236990577163</v>
      </c>
      <c r="AM15" s="14">
        <f t="shared" si="15"/>
        <v>-0.34115301783611984</v>
      </c>
      <c r="AN15" s="14">
        <f t="shared" si="16"/>
        <v>1.34115301783612</v>
      </c>
      <c r="AO15" s="14"/>
      <c r="AP15" s="14">
        <f>SUMPRODUCT(AD15:AF15,B15:D15)</f>
        <v>3.8862788718279778E-2</v>
      </c>
      <c r="AQ15" s="14">
        <f>SUMPRODUCT(AG15:AH15,E15:F15)</f>
        <v>-1.8132615976094169E-2</v>
      </c>
      <c r="AR15" s="14"/>
      <c r="AS15" s="14">
        <f>SUMPRODUCT(AJ15:AL15,B15:D15)</f>
        <v>3.9724728534097642E-2</v>
      </c>
      <c r="AT15" s="14">
        <f>SUMPRODUCT(E15:F15,AM15:AN15)</f>
        <v>-7.8640232812385233E-2</v>
      </c>
      <c r="AU15" s="14"/>
      <c r="AV15" s="14">
        <f t="shared" si="4"/>
        <v>1.51973283911009E-3</v>
      </c>
      <c r="AW15" s="14">
        <f t="shared" si="5"/>
        <v>5.2321637831191899E-3</v>
      </c>
      <c r="AX15" s="14"/>
      <c r="AY15" s="14">
        <f t="shared" si="6"/>
        <v>7.7004109873651252E-4</v>
      </c>
      <c r="AZ15" s="14">
        <f t="shared" si="7"/>
        <v>-6.4512304210345411E-3</v>
      </c>
      <c r="BA15" s="14"/>
      <c r="BB15" s="14">
        <f t="shared" si="8"/>
        <v>1.0707072999312514E-3</v>
      </c>
      <c r="BC15" s="14">
        <f t="shared" si="9"/>
        <v>-1.3010426069826053E-17</v>
      </c>
      <c r="BE15" s="19">
        <f t="shared" si="10"/>
        <v>2.3534128411598323E-2</v>
      </c>
      <c r="BF15" s="19">
        <f t="shared" si="11"/>
        <v>2.4604835711529587E-2</v>
      </c>
    </row>
    <row r="16" spans="1:58">
      <c r="A16" s="150">
        <v>44592</v>
      </c>
      <c r="B16" s="14">
        <v>2.3300000000000001E-2</v>
      </c>
      <c r="C16" s="14">
        <v>3.7266666666666663E-2</v>
      </c>
      <c r="D16" s="14">
        <v>3.5966666666666668E-2</v>
      </c>
      <c r="E16" s="14">
        <v>3.7100000000000001E-2</v>
      </c>
      <c r="F16" s="14">
        <v>-5.4100000000000002E-2</v>
      </c>
      <c r="G16" s="14"/>
      <c r="H16" s="14">
        <v>0.21867470864678992</v>
      </c>
      <c r="I16" s="14">
        <v>0.14397180754957106</v>
      </c>
      <c r="J16" s="14">
        <v>0.4162091227657701</v>
      </c>
      <c r="K16" s="14">
        <v>7.4564996473675871E-2</v>
      </c>
      <c r="L16" s="14">
        <v>0.1465793645641931</v>
      </c>
      <c r="M16" s="14"/>
      <c r="N16" s="14">
        <v>0.24867386049248538</v>
      </c>
      <c r="O16" s="14">
        <v>0.3096735070410449</v>
      </c>
      <c r="P16" s="14">
        <v>0.52402630799469341</v>
      </c>
      <c r="Q16" s="14">
        <v>-4.9171012118856147E-2</v>
      </c>
      <c r="R16" s="14">
        <f t="shared" si="0"/>
        <v>-3.3202663409367394E-2</v>
      </c>
      <c r="S16" s="14"/>
      <c r="T16" s="14">
        <f>SUMPRODUCT(H16:L16,B16:F16)</f>
        <v>2.0266542601210281E-2</v>
      </c>
      <c r="U16" s="14">
        <f t="shared" si="1"/>
        <v>3.6154099396917536E-2</v>
      </c>
      <c r="V16" s="14">
        <f>SUMPRODUCT(N16:R16,B16:F16)-T16</f>
        <v>1.5887556795707254E-2</v>
      </c>
      <c r="W16" s="14"/>
      <c r="X16" s="14">
        <f>SUM(H16:J16)</f>
        <v>0.77885563896213106</v>
      </c>
      <c r="Y16" s="14">
        <f>SUM(K16:L16)</f>
        <v>0.22114436103786897</v>
      </c>
      <c r="Z16" s="14"/>
      <c r="AA16" s="14">
        <f t="shared" si="2"/>
        <v>1.0823736755282236</v>
      </c>
      <c r="AB16" s="14">
        <f t="shared" si="3"/>
        <v>-8.2373675528223542E-2</v>
      </c>
      <c r="AC16" s="14"/>
      <c r="AD16" s="14">
        <f>H16/$X16</f>
        <v>0.28076410788806289</v>
      </c>
      <c r="AE16" s="14">
        <f>I16/$X16</f>
        <v>0.18485043998836753</v>
      </c>
      <c r="AF16" s="14">
        <f>J16/$X16</f>
        <v>0.53438545212356958</v>
      </c>
      <c r="AG16" s="14">
        <f>K16/$Y16</f>
        <v>0.33717792361392063</v>
      </c>
      <c r="AH16" s="14">
        <f>L16/$Y16</f>
        <v>0.66282207638607937</v>
      </c>
      <c r="AI16" s="14"/>
      <c r="AJ16" s="14">
        <f t="shared" si="12"/>
        <v>0.22974862204693469</v>
      </c>
      <c r="AK16" s="14">
        <f t="shared" si="13"/>
        <v>0.28610591151888187</v>
      </c>
      <c r="AL16" s="14">
        <f t="shared" si="14"/>
        <v>0.48414546643418349</v>
      </c>
      <c r="AM16" s="14">
        <f t="shared" si="15"/>
        <v>0.59692628504853806</v>
      </c>
      <c r="AN16" s="14">
        <f t="shared" si="16"/>
        <v>0.40307371495146199</v>
      </c>
      <c r="AO16" s="14"/>
      <c r="AP16" s="14">
        <f>SUMPRODUCT(AD16:AF16,B16:D16)</f>
        <v>3.2650626872069419E-2</v>
      </c>
      <c r="AQ16" s="14">
        <f>SUMPRODUCT(AG16:AH16,E16:F16)</f>
        <v>-2.3349373366410436E-2</v>
      </c>
      <c r="AR16" s="14"/>
      <c r="AS16" s="14">
        <f>SUMPRODUCT(AJ16:AL16,B16:D16)</f>
        <v>3.3428455139046707E-2</v>
      </c>
      <c r="AT16" s="14">
        <f>SUMPRODUCT(E16:F16,AM16:AN16)</f>
        <v>3.396771964266701E-4</v>
      </c>
      <c r="AU16" s="14"/>
      <c r="AV16" s="14">
        <f t="shared" si="4"/>
        <v>3.7587929425601952E-3</v>
      </c>
      <c r="AW16" s="14">
        <f t="shared" si="5"/>
        <v>1.3238217177523923E-2</v>
      </c>
      <c r="AX16" s="14"/>
      <c r="AY16" s="14">
        <f t="shared" si="6"/>
        <v>8.4190084025795645E-4</v>
      </c>
      <c r="AZ16" s="14">
        <f t="shared" si="7"/>
        <v>-1.9513541646348251E-3</v>
      </c>
      <c r="BA16" s="14"/>
      <c r="BB16" s="14">
        <f t="shared" si="8"/>
        <v>1.5887556795707247E-2</v>
      </c>
      <c r="BC16" s="14">
        <f t="shared" si="9"/>
        <v>0</v>
      </c>
      <c r="BE16" s="19">
        <f t="shared" si="10"/>
        <v>1.7766542601210283E-2</v>
      </c>
      <c r="BF16" s="19">
        <f t="shared" si="11"/>
        <v>3.3654099396917533E-2</v>
      </c>
    </row>
    <row r="17" spans="1:58">
      <c r="A17" s="150">
        <v>44620</v>
      </c>
      <c r="B17" s="14">
        <v>1.12E-2</v>
      </c>
      <c r="C17" s="14">
        <v>1.3966666666666665E-2</v>
      </c>
      <c r="D17" s="14">
        <v>4.6566666666666666E-2</v>
      </c>
      <c r="E17" s="14">
        <v>3.9399999999999998E-2</v>
      </c>
      <c r="F17" s="14">
        <v>-7.0900000000000005E-2</v>
      </c>
      <c r="G17" s="14"/>
      <c r="H17" s="14">
        <v>0.21600122639159061</v>
      </c>
      <c r="I17" s="14">
        <v>0.14260072542086918</v>
      </c>
      <c r="J17" s="14">
        <v>0.42549953800436341</v>
      </c>
      <c r="K17" s="14">
        <v>7.5707396866060192E-2</v>
      </c>
      <c r="L17" s="14">
        <v>0.14019111331711648</v>
      </c>
      <c r="M17" s="14"/>
      <c r="N17" s="14">
        <v>0.24088169658097294</v>
      </c>
      <c r="O17" s="14">
        <v>0.28686840875039554</v>
      </c>
      <c r="P17" s="14">
        <v>0.51286809910597508</v>
      </c>
      <c r="Q17" s="14">
        <v>1.9363354059174054E-2</v>
      </c>
      <c r="R17" s="14">
        <f t="shared" si="0"/>
        <v>-5.998155849651754E-2</v>
      </c>
      <c r="S17" s="14"/>
      <c r="T17" s="14">
        <f>SUMPRODUCT(H17:L17,B17:F17)</f>
        <v>1.7268287189373021E-2</v>
      </c>
      <c r="U17" s="14">
        <f t="shared" si="1"/>
        <v>3.560263690629021E-2</v>
      </c>
      <c r="V17" s="14">
        <f>SUMPRODUCT(N17:R17,B17:F17)-T17</f>
        <v>1.8334349716917189E-2</v>
      </c>
      <c r="W17" s="14"/>
      <c r="X17" s="14">
        <f>SUM(H17:J17)</f>
        <v>0.78410148981682326</v>
      </c>
      <c r="Y17" s="14">
        <f>SUM(K17:L17)</f>
        <v>0.21589851018317668</v>
      </c>
      <c r="Z17" s="14"/>
      <c r="AA17" s="14">
        <f t="shared" si="2"/>
        <v>1.0406182044373435</v>
      </c>
      <c r="AB17" s="14">
        <f t="shared" si="3"/>
        <v>-4.0618204437343486E-2</v>
      </c>
      <c r="AC17" s="14"/>
      <c r="AD17" s="14">
        <f>H17/$X17</f>
        <v>0.27547610761720581</v>
      </c>
      <c r="AE17" s="14">
        <f>I17/$X17</f>
        <v>0.18186513770581236</v>
      </c>
      <c r="AF17" s="14">
        <f>J17/$X17</f>
        <v>0.54265875467698177</v>
      </c>
      <c r="AG17" s="14">
        <f>K17/$Y17</f>
        <v>0.35066196983863895</v>
      </c>
      <c r="AH17" s="14">
        <f>L17/$Y17</f>
        <v>0.64933803016136094</v>
      </c>
      <c r="AI17" s="14"/>
      <c r="AJ17" s="14">
        <f t="shared" si="12"/>
        <v>0.23147941824755636</v>
      </c>
      <c r="AK17" s="14">
        <f t="shared" si="13"/>
        <v>0.27567114194922593</v>
      </c>
      <c r="AL17" s="14">
        <f t="shared" si="14"/>
        <v>0.49284943980321777</v>
      </c>
      <c r="AM17" s="14">
        <f t="shared" si="15"/>
        <v>-0.4767161504897004</v>
      </c>
      <c r="AN17" s="14">
        <f t="shared" si="16"/>
        <v>1.4767161504897004</v>
      </c>
      <c r="AO17" s="14"/>
      <c r="AP17" s="14">
        <f>SUMPRODUCT(AD17:AF17,B17:D17)</f>
        <v>3.0895191504728671E-2</v>
      </c>
      <c r="AQ17" s="14">
        <f>SUMPRODUCT(AG17:AH17,E17:F17)</f>
        <v>-3.2221984726798117E-2</v>
      </c>
      <c r="AR17" s="14"/>
      <c r="AS17" s="14">
        <f>SUMPRODUCT(AJ17:AL17,B17:D17)</f>
        <v>2.939313201376666E-2</v>
      </c>
      <c r="AT17" s="14">
        <f>SUMPRODUCT(E17:F17,AM17:AN17)</f>
        <v>-0.12348179139901395</v>
      </c>
      <c r="AU17" s="14"/>
      <c r="AV17" s="14">
        <f t="shared" si="4"/>
        <v>3.4955287254232214E-3</v>
      </c>
      <c r="AW17" s="14">
        <f t="shared" si="5"/>
        <v>1.2695081957612417E-2</v>
      </c>
      <c r="AX17" s="14"/>
      <c r="AY17" s="14">
        <f t="shared" si="6"/>
        <v>-1.5630704504429578E-3</v>
      </c>
      <c r="AZ17" s="14">
        <f t="shared" si="7"/>
        <v>3.706809484324506E-3</v>
      </c>
      <c r="BA17" s="14"/>
      <c r="BB17" s="14">
        <f t="shared" si="8"/>
        <v>1.8334349716917189E-2</v>
      </c>
      <c r="BC17" s="14">
        <f t="shared" si="9"/>
        <v>0</v>
      </c>
      <c r="BE17" s="19">
        <f t="shared" si="10"/>
        <v>1.476828718937302E-2</v>
      </c>
      <c r="BF17" s="19">
        <f t="shared" si="11"/>
        <v>3.3102636906290207E-2</v>
      </c>
    </row>
    <row r="18" spans="1:58">
      <c r="A18" s="150">
        <v>44651</v>
      </c>
      <c r="B18" s="14">
        <v>0.1138</v>
      </c>
      <c r="C18" s="14">
        <v>6.6666666666666263E-5</v>
      </c>
      <c r="D18" s="14">
        <v>5.2666666666666669E-3</v>
      </c>
      <c r="E18" s="14">
        <v>-5.5599999999999997E-2</v>
      </c>
      <c r="F18" s="14">
        <v>3.7900000000000003E-2</v>
      </c>
      <c r="G18" s="14"/>
      <c r="H18" s="14">
        <v>0.23245891742086547</v>
      </c>
      <c r="I18" s="14">
        <v>0.13779500256746446</v>
      </c>
      <c r="J18" s="14">
        <v>0.4132978589355879</v>
      </c>
      <c r="K18" s="14">
        <v>6.9083935881786962E-2</v>
      </c>
      <c r="L18" s="14">
        <v>0.14736428519429509</v>
      </c>
      <c r="M18" s="14"/>
      <c r="N18" s="14">
        <v>0.20461629807161677</v>
      </c>
      <c r="O18" s="14">
        <v>0.25106355943123249</v>
      </c>
      <c r="P18" s="14">
        <v>0.41923917748852901</v>
      </c>
      <c r="Q18" s="14">
        <v>7.9486749859610378E-3</v>
      </c>
      <c r="R18" s="14">
        <f t="shared" si="0"/>
        <v>0.11713229002266068</v>
      </c>
      <c r="S18" s="14"/>
      <c r="T18" s="14">
        <f>SUMPRODUCT(H18:L18,B18:F18)</f>
        <v>3.0383752766896178E-2</v>
      </c>
      <c r="U18" s="14">
        <f t="shared" si="1"/>
        <v>2.9507432755257728E-2</v>
      </c>
      <c r="V18" s="14">
        <f>SUMPRODUCT(N18:R18,B18:F18)-T18</f>
        <v>-8.763200116384505E-4</v>
      </c>
      <c r="W18" s="14"/>
      <c r="X18" s="14">
        <f>SUM(H18:J18)</f>
        <v>0.78355177892391781</v>
      </c>
      <c r="Y18" s="14">
        <f>SUM(K18:L18)</f>
        <v>0.21644822107608205</v>
      </c>
      <c r="Z18" s="14"/>
      <c r="AA18" s="14">
        <f t="shared" si="2"/>
        <v>0.87491903499137824</v>
      </c>
      <c r="AB18" s="14">
        <f t="shared" si="3"/>
        <v>0.1250809650086217</v>
      </c>
      <c r="AC18" s="14"/>
      <c r="AD18" s="14">
        <f>H18/$X18</f>
        <v>0.29667333247601119</v>
      </c>
      <c r="AE18" s="14">
        <f>I18/$X18</f>
        <v>0.17585947256313261</v>
      </c>
      <c r="AF18" s="14">
        <f>J18/$X18</f>
        <v>0.52746719496085626</v>
      </c>
      <c r="AG18" s="14">
        <f>K18/$Y18</f>
        <v>0.31917072609020797</v>
      </c>
      <c r="AH18" s="14">
        <f>L18/$Y18</f>
        <v>0.68082927390979209</v>
      </c>
      <c r="AI18" s="14"/>
      <c r="AJ18" s="14">
        <f t="shared" si="12"/>
        <v>0.23386883801611782</v>
      </c>
      <c r="AK18" s="14">
        <f t="shared" si="13"/>
        <v>0.2869563346895368</v>
      </c>
      <c r="AL18" s="14">
        <f t="shared" si="14"/>
        <v>0.47917482729434541</v>
      </c>
      <c r="AM18" s="14">
        <f t="shared" si="15"/>
        <v>6.3548238418316833E-2</v>
      </c>
      <c r="AN18" s="14">
        <f t="shared" si="16"/>
        <v>0.93645176158168331</v>
      </c>
      <c r="AO18" s="14"/>
      <c r="AP18" s="14">
        <f>SUMPRODUCT(AD18:AF18,B18:D18)</f>
        <v>3.6551143094068123E-2</v>
      </c>
      <c r="AQ18" s="14">
        <f>SUMPRODUCT(AG18:AH18,E18:F18)</f>
        <v>8.0575371105655602E-3</v>
      </c>
      <c r="AR18" s="14"/>
      <c r="AS18" s="14">
        <f>SUMPRODUCT(AJ18:AL18,B18:D18)</f>
        <v>2.915705827896373E-2</v>
      </c>
      <c r="AT18" s="14">
        <f>SUMPRODUCT(E18:F18,AM18:AN18)</f>
        <v>3.1958239707887387E-2</v>
      </c>
      <c r="AU18" s="14"/>
      <c r="AV18" s="14">
        <f t="shared" si="4"/>
        <v>5.6349753129069757E-4</v>
      </c>
      <c r="AW18" s="14">
        <f t="shared" si="5"/>
        <v>2.0398850628893018E-3</v>
      </c>
      <c r="AX18" s="14"/>
      <c r="AY18" s="14">
        <f t="shared" si="6"/>
        <v>-6.4692255510755388E-3</v>
      </c>
      <c r="AZ18" s="14">
        <f t="shared" si="7"/>
        <v>2.9895229452570854E-3</v>
      </c>
      <c r="BA18" s="14"/>
      <c r="BB18" s="14">
        <f t="shared" si="8"/>
        <v>-8.7632001163845397E-4</v>
      </c>
      <c r="BC18" s="14">
        <f t="shared" si="9"/>
        <v>-3.4694469519536142E-18</v>
      </c>
      <c r="BE18" s="19">
        <f t="shared" si="10"/>
        <v>2.788375276689618E-2</v>
      </c>
      <c r="BF18" s="19">
        <f t="shared" si="11"/>
        <v>2.7007432755257729E-2</v>
      </c>
    </row>
    <row r="19" spans="1:58">
      <c r="A19" s="150">
        <v>44681</v>
      </c>
      <c r="B19" s="14">
        <v>-2.9700000000000001E-2</v>
      </c>
      <c r="C19" s="14">
        <v>-2.4833333333333336E-2</v>
      </c>
      <c r="D19" s="14">
        <v>-7.9333333333333339E-3</v>
      </c>
      <c r="E19" s="14">
        <v>-4.41E-2</v>
      </c>
      <c r="F19" s="14">
        <v>-5.67E-2</v>
      </c>
      <c r="G19" s="14"/>
      <c r="H19" s="14">
        <v>0.2296048206588959</v>
      </c>
      <c r="I19" s="14">
        <v>0.13678581887072994</v>
      </c>
      <c r="J19" s="14">
        <v>0.41738109376191868</v>
      </c>
      <c r="K19" s="14">
        <v>6.7223062483905527E-2</v>
      </c>
      <c r="L19" s="14">
        <v>0.14900520422454983</v>
      </c>
      <c r="M19" s="14"/>
      <c r="N19" s="14">
        <v>0.23907615412612285</v>
      </c>
      <c r="O19" s="14">
        <v>0.25464416348436258</v>
      </c>
      <c r="P19" s="14">
        <v>0.43328779123692085</v>
      </c>
      <c r="Q19" s="14">
        <v>-2.3999078954432915E-2</v>
      </c>
      <c r="R19" s="14">
        <f t="shared" si="0"/>
        <v>9.6990970107026619E-2</v>
      </c>
      <c r="S19" s="14"/>
      <c r="T19" s="14">
        <f>SUMPRODUCT(H19:L19,B19:F19)</f>
        <v>-2.4940466487775766E-2</v>
      </c>
      <c r="U19" s="14">
        <f t="shared" si="1"/>
        <v>-2.130267027106501E-2</v>
      </c>
      <c r="V19" s="14">
        <f>SUMPRODUCT(N19:R19,B19:F19)-T19</f>
        <v>3.6377962167107557E-3</v>
      </c>
      <c r="W19" s="14"/>
      <c r="X19" s="14">
        <f>SUM(H19:J19)</f>
        <v>0.78377173329154448</v>
      </c>
      <c r="Y19" s="14">
        <f>SUM(K19:L19)</f>
        <v>0.21622826670845535</v>
      </c>
      <c r="Z19" s="14"/>
      <c r="AA19" s="14">
        <f t="shared" si="2"/>
        <v>0.92700810884740625</v>
      </c>
      <c r="AB19" s="14">
        <f t="shared" si="3"/>
        <v>7.2991891152593705E-2</v>
      </c>
      <c r="AC19" s="14"/>
      <c r="AD19" s="14">
        <f>H19/$X19</f>
        <v>0.29294858554625669</v>
      </c>
      <c r="AE19" s="14">
        <f>I19/$X19</f>
        <v>0.17452252111246894</v>
      </c>
      <c r="AF19" s="14">
        <f>J19/$X19</f>
        <v>0.5325288933412744</v>
      </c>
      <c r="AG19" s="14">
        <f>K19/$Y19</f>
        <v>0.31088933702892624</v>
      </c>
      <c r="AH19" s="14">
        <f>L19/$Y19</f>
        <v>0.68911066297107382</v>
      </c>
      <c r="AI19" s="14"/>
      <c r="AJ19" s="14">
        <f t="shared" si="12"/>
        <v>0.25790082292093186</v>
      </c>
      <c r="AK19" s="14">
        <f t="shared" si="13"/>
        <v>0.27469464512125347</v>
      </c>
      <c r="AL19" s="14">
        <f t="shared" si="14"/>
        <v>0.46740453195781467</v>
      </c>
      <c r="AM19" s="14">
        <f t="shared" si="15"/>
        <v>-0.32879102836589719</v>
      </c>
      <c r="AN19" s="14">
        <f t="shared" si="16"/>
        <v>1.3287910283658972</v>
      </c>
      <c r="AO19" s="14"/>
      <c r="AP19" s="14">
        <f>SUMPRODUCT(AD19:AF19,B19:D19)</f>
        <v>-1.7259278152190916E-2</v>
      </c>
      <c r="AQ19" s="14">
        <f>SUMPRODUCT(AG19:AH19,E19:F19)</f>
        <v>-5.2782794353435539E-2</v>
      </c>
      <c r="AR19" s="14"/>
      <c r="AS19" s="14">
        <f>SUMPRODUCT(AJ19:AL19,B19:D19)</f>
        <v>-1.8189314081461468E-2</v>
      </c>
      <c r="AT19" s="14">
        <f>SUMPRODUCT(E19:F19,AM19:AN19)</f>
        <v>-6.0842766957410317E-2</v>
      </c>
      <c r="AU19" s="14"/>
      <c r="AV19" s="14">
        <f t="shared" si="4"/>
        <v>1.1002255771511364E-3</v>
      </c>
      <c r="AW19" s="14">
        <f t="shared" si="5"/>
        <v>3.9880341305150759E-3</v>
      </c>
      <c r="AX19" s="14"/>
      <c r="AY19" s="14">
        <f t="shared" si="6"/>
        <v>-8.6215084795323454E-4</v>
      </c>
      <c r="AZ19" s="14">
        <f t="shared" si="7"/>
        <v>-5.8831264300221431E-4</v>
      </c>
      <c r="BA19" s="14"/>
      <c r="BB19" s="14">
        <f t="shared" si="8"/>
        <v>3.6377962167107635E-3</v>
      </c>
      <c r="BC19" s="14">
        <f t="shared" si="9"/>
        <v>7.8062556418956319E-18</v>
      </c>
      <c r="BE19" s="19">
        <f t="shared" si="10"/>
        <v>-2.7440466487775764E-2</v>
      </c>
      <c r="BF19" s="19">
        <f t="shared" si="11"/>
        <v>-2.3802670271065009E-2</v>
      </c>
    </row>
    <row r="20" spans="1:58">
      <c r="A20" s="150">
        <v>44712</v>
      </c>
      <c r="B20" s="14">
        <v>6.3899999999999998E-2</v>
      </c>
      <c r="C20" s="14">
        <v>3.1766666666666665E-2</v>
      </c>
      <c r="D20" s="14">
        <v>2.7266666666666665E-2</v>
      </c>
      <c r="E20" s="14">
        <v>3.5999999999999999E-3</v>
      </c>
      <c r="F20" s="14">
        <v>-2.0500000000000004E-2</v>
      </c>
      <c r="G20" s="14"/>
      <c r="H20" s="14">
        <v>0.23600797609362939</v>
      </c>
      <c r="I20" s="14">
        <v>0.1363538601772733</v>
      </c>
      <c r="J20" s="14">
        <v>0.41424839894814947</v>
      </c>
      <c r="K20" s="14">
        <v>6.5181419784010847E-2</v>
      </c>
      <c r="L20" s="14">
        <v>0.14820834499693714</v>
      </c>
      <c r="M20" s="14"/>
      <c r="N20" s="14">
        <v>0.26103414733423574</v>
      </c>
      <c r="O20" s="14">
        <v>0.24015171228727455</v>
      </c>
      <c r="P20" s="14">
        <v>0.43199354901331544</v>
      </c>
      <c r="Q20" s="14">
        <v>1.4005694306787095E-2</v>
      </c>
      <c r="R20" s="14">
        <f t="shared" si="0"/>
        <v>5.2814897058387156E-2</v>
      </c>
      <c r="S20" s="14"/>
      <c r="T20" s="14">
        <f>SUMPRODUCT(H20:L20,B20:F20)</f>
        <v>2.7903972347452403E-2</v>
      </c>
      <c r="U20" s="14">
        <f t="shared" si="1"/>
        <v>3.5055640621220643E-2</v>
      </c>
      <c r="V20" s="14">
        <f>SUMPRODUCT(N20:R20,B20:F20)-T20</f>
        <v>7.1516682737682406E-3</v>
      </c>
      <c r="W20" s="14"/>
      <c r="X20" s="14">
        <f>SUM(H20:J20)</f>
        <v>0.78661023521905216</v>
      </c>
      <c r="Y20" s="14">
        <f>SUM(K20:L20)</f>
        <v>0.21338976478094798</v>
      </c>
      <c r="Z20" s="14"/>
      <c r="AA20" s="14">
        <f t="shared" si="2"/>
        <v>0.93317940863482574</v>
      </c>
      <c r="AB20" s="14">
        <f t="shared" si="3"/>
        <v>6.6820591365174251E-2</v>
      </c>
      <c r="AC20" s="14"/>
      <c r="AD20" s="14">
        <f>H20/$X20</f>
        <v>0.30003166184064056</v>
      </c>
      <c r="AE20" s="14">
        <f>I20/$X20</f>
        <v>0.17334361297663767</v>
      </c>
      <c r="AF20" s="14">
        <f>J20/$X20</f>
        <v>0.52662472518272174</v>
      </c>
      <c r="AG20" s="14">
        <f>K20/$Y20</f>
        <v>0.30545710498777595</v>
      </c>
      <c r="AH20" s="14">
        <f>L20/$Y20</f>
        <v>0.69454289501222399</v>
      </c>
      <c r="AI20" s="14"/>
      <c r="AJ20" s="14">
        <f t="shared" si="12"/>
        <v>0.2797255757240828</v>
      </c>
      <c r="AK20" s="14">
        <f t="shared" si="13"/>
        <v>0.25734784765407459</v>
      </c>
      <c r="AL20" s="14">
        <f t="shared" si="14"/>
        <v>0.46292657662184261</v>
      </c>
      <c r="AM20" s="14">
        <f t="shared" si="15"/>
        <v>0.20960147195115403</v>
      </c>
      <c r="AN20" s="14">
        <f t="shared" si="16"/>
        <v>0.79039852804884603</v>
      </c>
      <c r="AO20" s="14"/>
      <c r="AP20" s="14">
        <f>SUMPRODUCT(AD20:AF20,B20:D20)</f>
        <v>3.9037872803823669E-2</v>
      </c>
      <c r="AQ20" s="14">
        <f>SUMPRODUCT(AG20:AH20,E20:F20)</f>
        <v>-1.3138483769794601E-2</v>
      </c>
      <c r="AR20" s="14"/>
      <c r="AS20" s="14">
        <f>SUMPRODUCT(AJ20:AL20,B20:D20)</f>
        <v>3.8672012238468896E-2</v>
      </c>
      <c r="AT20" s="14">
        <f>SUMPRODUCT(E20:F20,AM20:AN20)</f>
        <v>-1.5448604525977194E-2</v>
      </c>
      <c r="AU20" s="14"/>
      <c r="AV20" s="14">
        <f t="shared" si="4"/>
        <v>1.6318865867838406E-3</v>
      </c>
      <c r="AW20" s="14">
        <f t="shared" si="5"/>
        <v>6.0155588680580602E-3</v>
      </c>
      <c r="AX20" s="14"/>
      <c r="AY20" s="14">
        <f t="shared" si="6"/>
        <v>-3.4141354602056963E-4</v>
      </c>
      <c r="AZ20" s="14">
        <f t="shared" si="7"/>
        <v>-1.5436363505308436E-4</v>
      </c>
      <c r="BA20" s="14"/>
      <c r="BB20" s="14">
        <f t="shared" si="8"/>
        <v>7.1516682737682476E-3</v>
      </c>
      <c r="BC20" s="14">
        <f t="shared" si="9"/>
        <v>6.9388939039072284E-18</v>
      </c>
      <c r="BE20" s="19">
        <f t="shared" si="10"/>
        <v>2.5403972347452404E-2</v>
      </c>
      <c r="BF20" s="19">
        <f t="shared" si="11"/>
        <v>3.2555640621220641E-2</v>
      </c>
    </row>
    <row r="21" spans="1:58">
      <c r="A21" s="150">
        <v>44742</v>
      </c>
      <c r="B21" s="14">
        <v>2E-3</v>
      </c>
      <c r="C21" s="14">
        <v>-1.4633333333333335E-2</v>
      </c>
      <c r="D21" s="14">
        <v>3.6366666666666665E-2</v>
      </c>
      <c r="E21" s="14">
        <v>3.2599999999999997E-2</v>
      </c>
      <c r="F21" s="14">
        <v>-5.9900000000000002E-2</v>
      </c>
      <c r="G21" s="14"/>
      <c r="H21" s="14">
        <v>0.23316917867449913</v>
      </c>
      <c r="I21" s="14">
        <v>0.13247747589520489</v>
      </c>
      <c r="J21" s="14">
        <v>0.42330267742504146</v>
      </c>
      <c r="K21" s="14">
        <v>6.6364018785202428E-2</v>
      </c>
      <c r="L21" s="14">
        <v>0.14468664922005209</v>
      </c>
      <c r="M21" s="14"/>
      <c r="N21" s="14">
        <v>0.2344683839231507</v>
      </c>
      <c r="O21" s="14">
        <v>0.22905910145556166</v>
      </c>
      <c r="P21" s="14">
        <v>0.41121806109988612</v>
      </c>
      <c r="Q21" s="14">
        <v>2.28876207058374E-2</v>
      </c>
      <c r="R21" s="14">
        <f t="shared" si="0"/>
        <v>0.10236683281556413</v>
      </c>
      <c r="S21" s="14"/>
      <c r="T21" s="14">
        <f>SUMPRODUCT(H21:L21,B21:F21)</f>
        <v>7.41859538655632E-3</v>
      </c>
      <c r="U21" s="14">
        <f t="shared" si="1"/>
        <v>6.686031887903782E-3</v>
      </c>
      <c r="V21" s="14">
        <f>SUMPRODUCT(N21:R21,B21:F21)-T21</f>
        <v>-7.3256349865253798E-4</v>
      </c>
      <c r="W21" s="14"/>
      <c r="X21" s="14">
        <f>SUM(H21:J21)</f>
        <v>0.78894933199474548</v>
      </c>
      <c r="Y21" s="14">
        <f>SUM(K21:L21)</f>
        <v>0.21105066800525452</v>
      </c>
      <c r="Z21" s="14"/>
      <c r="AA21" s="14">
        <f t="shared" si="2"/>
        <v>0.87474554647859848</v>
      </c>
      <c r="AB21" s="14">
        <f t="shared" si="3"/>
        <v>0.12525445352140152</v>
      </c>
      <c r="AC21" s="14"/>
      <c r="AD21" s="14">
        <f>H21/$X21</f>
        <v>0.29554392052651118</v>
      </c>
      <c r="AE21" s="14">
        <f>I21/$X21</f>
        <v>0.16791632937980258</v>
      </c>
      <c r="AF21" s="14">
        <f>J21/$X21</f>
        <v>0.53653975009368626</v>
      </c>
      <c r="AG21" s="14">
        <f>K21/$Y21</f>
        <v>0.31444590729061406</v>
      </c>
      <c r="AH21" s="14">
        <f>L21/$Y21</f>
        <v>0.68555409270938594</v>
      </c>
      <c r="AI21" s="14"/>
      <c r="AJ21" s="14">
        <f t="shared" si="12"/>
        <v>0.26804181497926288</v>
      </c>
      <c r="AK21" s="14">
        <f t="shared" si="13"/>
        <v>0.26185797958922885</v>
      </c>
      <c r="AL21" s="14">
        <f t="shared" si="14"/>
        <v>0.47010020543150827</v>
      </c>
      <c r="AM21" s="14">
        <f t="shared" si="15"/>
        <v>0.18272899735199213</v>
      </c>
      <c r="AN21" s="14">
        <f t="shared" si="16"/>
        <v>0.817271002648008</v>
      </c>
      <c r="AO21" s="14"/>
      <c r="AP21" s="14">
        <f>SUMPRODUCT(AD21:AF21,B21:D21)</f>
        <v>1.76460744662023E-2</v>
      </c>
      <c r="AQ21" s="14">
        <f>SUMPRODUCT(AG21:AH21,E21:F21)</f>
        <v>-3.0813753575618205E-2</v>
      </c>
      <c r="AR21" s="14"/>
      <c r="AS21" s="14">
        <f>SUMPRODUCT(AJ21:AL21,B21:D21)</f>
        <v>1.3800205999495326E-2</v>
      </c>
      <c r="AT21" s="14">
        <f>SUMPRODUCT(E21:F21,AM21:AN21)</f>
        <v>-4.2997567744940741E-2</v>
      </c>
      <c r="AU21" s="14"/>
      <c r="AV21" s="14">
        <f t="shared" si="4"/>
        <v>8.7747898874642599E-4</v>
      </c>
      <c r="AW21" s="14">
        <f t="shared" si="5"/>
        <v>3.2801908117802404E-3</v>
      </c>
      <c r="AX21" s="14"/>
      <c r="AY21" s="14">
        <f t="shared" si="6"/>
        <v>-3.3641563135944014E-3</v>
      </c>
      <c r="AZ21" s="14">
        <f t="shared" si="7"/>
        <v>-1.5260769855848029E-3</v>
      </c>
      <c r="BA21" s="14"/>
      <c r="BB21" s="14">
        <f t="shared" si="8"/>
        <v>-7.3256349865253754E-4</v>
      </c>
      <c r="BC21" s="14">
        <f t="shared" si="9"/>
        <v>0</v>
      </c>
      <c r="BE21" s="19">
        <f t="shared" si="10"/>
        <v>4.9185953865563195E-3</v>
      </c>
      <c r="BF21" s="19">
        <f t="shared" si="11"/>
        <v>4.1860318879037815E-3</v>
      </c>
    </row>
    <row r="22" spans="1:58">
      <c r="A22" s="150">
        <v>44773</v>
      </c>
      <c r="B22" s="14">
        <v>1.35E-2</v>
      </c>
      <c r="C22" s="14">
        <v>1.6366666666666668E-2</v>
      </c>
      <c r="D22" s="14">
        <v>-6.7333333333333334E-3</v>
      </c>
      <c r="E22" s="14">
        <v>-3.6200000000000003E-2</v>
      </c>
      <c r="F22" s="14">
        <v>-3.0200000000000001E-2</v>
      </c>
      <c r="G22" s="14"/>
      <c r="H22" s="14">
        <v>0.23562700459940888</v>
      </c>
      <c r="I22" s="14">
        <v>0.13425257504697855</v>
      </c>
      <c r="J22" s="14">
        <v>0.41922487403050285</v>
      </c>
      <c r="K22" s="14">
        <v>6.3774897007140258E-2</v>
      </c>
      <c r="L22" s="14">
        <v>0.14712064931596935</v>
      </c>
      <c r="M22" s="14"/>
      <c r="N22" s="14">
        <v>0.25655130926028424</v>
      </c>
      <c r="O22" s="14">
        <v>0.34046339592909408</v>
      </c>
      <c r="P22" s="14">
        <v>0.42085818902955607</v>
      </c>
      <c r="Q22" s="14">
        <v>5.0504068528869114E-2</v>
      </c>
      <c r="R22" s="14">
        <f t="shared" si="0"/>
        <v>-6.8376962747803693E-2</v>
      </c>
      <c r="S22" s="14"/>
      <c r="T22" s="14">
        <f>SUMPRODUCT(H22:L22,B22:F22)</f>
        <v>-4.1962439924452359E-3</v>
      </c>
      <c r="U22" s="14">
        <f t="shared" si="1"/>
        <v>6.4386521098262761E-3</v>
      </c>
      <c r="V22" s="14">
        <f>SUMPRODUCT(N22:R22,B22:F22)-T22</f>
        <v>1.0634896102271512E-2</v>
      </c>
      <c r="W22" s="14"/>
      <c r="X22" s="14">
        <f>SUM(H22:J22)</f>
        <v>0.78910445367689031</v>
      </c>
      <c r="Y22" s="14">
        <f>SUM(K22:L22)</f>
        <v>0.21089554632310961</v>
      </c>
      <c r="Z22" s="14"/>
      <c r="AA22" s="14">
        <f t="shared" si="2"/>
        <v>1.0178728942189346</v>
      </c>
      <c r="AB22" s="14">
        <f t="shared" si="3"/>
        <v>-1.7872894218934579E-2</v>
      </c>
      <c r="AC22" s="14"/>
      <c r="AD22" s="14">
        <f>H22/$X22</f>
        <v>0.29860052557235928</v>
      </c>
      <c r="AE22" s="14">
        <f>I22/$X22</f>
        <v>0.1701328314919765</v>
      </c>
      <c r="AF22" s="14">
        <f>J22/$X22</f>
        <v>0.53126664293566417</v>
      </c>
      <c r="AG22" s="14">
        <f>K22/$Y22</f>
        <v>0.30240039734851387</v>
      </c>
      <c r="AH22" s="14">
        <f>L22/$Y22</f>
        <v>0.69759960265148613</v>
      </c>
      <c r="AI22" s="14"/>
      <c r="AJ22" s="14">
        <f t="shared" si="12"/>
        <v>0.25204650867252837</v>
      </c>
      <c r="AK22" s="14">
        <f t="shared" si="13"/>
        <v>0.33448517772972913</v>
      </c>
      <c r="AL22" s="14">
        <f t="shared" si="14"/>
        <v>0.41346831359774239</v>
      </c>
      <c r="AM22" s="14">
        <f t="shared" si="15"/>
        <v>-2.8257353235697553</v>
      </c>
      <c r="AN22" s="14">
        <f t="shared" si="16"/>
        <v>3.8257353235697553</v>
      </c>
      <c r="AO22" s="14"/>
      <c r="AP22" s="14">
        <f>SUMPRODUCT(AD22:AF22,B22:D22)</f>
        <v>3.2384190415453936E-3</v>
      </c>
      <c r="AQ22" s="14">
        <f>SUMPRODUCT(AG22:AH22,E22:F22)</f>
        <v>-3.201440238409109E-2</v>
      </c>
      <c r="AR22" s="14"/>
      <c r="AS22" s="14">
        <f>SUMPRODUCT(AJ22:AL22,B22:D22)</f>
        <v>6.0930152976975682E-3</v>
      </c>
      <c r="AT22" s="14">
        <f>SUMPRODUCT(E22:F22,AM22:AN22)</f>
        <v>-1.3245588058581462E-2</v>
      </c>
      <c r="AU22" s="14"/>
      <c r="AV22" s="14">
        <f t="shared" si="4"/>
        <v>1.7008162682416196E-3</v>
      </c>
      <c r="AW22" s="14">
        <f t="shared" si="5"/>
        <v>6.3639167140084026E-3</v>
      </c>
      <c r="AX22" s="14"/>
      <c r="AY22" s="14">
        <f t="shared" si="6"/>
        <v>2.9056161530761492E-3</v>
      </c>
      <c r="AZ22" s="14">
        <f t="shared" si="7"/>
        <v>-3.3545303305465752E-4</v>
      </c>
      <c r="BA22" s="14"/>
      <c r="BB22" s="14">
        <f t="shared" si="8"/>
        <v>1.0634896102271514E-2</v>
      </c>
      <c r="BC22" s="14">
        <f t="shared" si="9"/>
        <v>0</v>
      </c>
      <c r="BE22" s="19">
        <f t="shared" si="10"/>
        <v>-6.6962439924452364E-3</v>
      </c>
      <c r="BF22" s="19">
        <f t="shared" si="11"/>
        <v>3.9386521098262756E-3</v>
      </c>
    </row>
    <row r="23" spans="1:58">
      <c r="A23" s="150">
        <v>44804</v>
      </c>
      <c r="B23" s="14">
        <v>2.12E-2</v>
      </c>
      <c r="C23" s="14">
        <v>1.3466666666666665E-2</v>
      </c>
      <c r="D23" s="14">
        <v>-2.8333333333333335E-2</v>
      </c>
      <c r="E23" s="14">
        <v>-5.5100000000000003E-2</v>
      </c>
      <c r="F23" s="14">
        <v>-3.4000000000000002E-3</v>
      </c>
      <c r="G23" s="14"/>
      <c r="H23" s="14">
        <v>0.24104001594698796</v>
      </c>
      <c r="I23" s="14">
        <v>0.13629670994490534</v>
      </c>
      <c r="J23" s="14">
        <v>0.40805398757244654</v>
      </c>
      <c r="K23" s="14">
        <v>6.0365512739702629E-2</v>
      </c>
      <c r="L23" s="14">
        <v>0.15424377379595747</v>
      </c>
      <c r="M23" s="14"/>
      <c r="N23" s="14">
        <v>0.22331798079065787</v>
      </c>
      <c r="O23" s="14">
        <v>0.35631420609675502</v>
      </c>
      <c r="P23" s="14">
        <v>0.45329175275542033</v>
      </c>
      <c r="Q23" s="14">
        <v>-1.7478473226325786E-2</v>
      </c>
      <c r="R23" s="14">
        <f t="shared" si="0"/>
        <v>-1.5445466416507347E-2</v>
      </c>
      <c r="S23" s="14"/>
      <c r="T23" s="14">
        <f>SUMPRODUCT(H23:L23,B23:F23)</f>
        <v>-8.4665875320823203E-3</v>
      </c>
      <c r="U23" s="14">
        <f t="shared" si="1"/>
        <v>-2.2949820326186557E-3</v>
      </c>
      <c r="V23" s="14">
        <f>SUMPRODUCT(N23:R23,B23:F23)-T23</f>
        <v>6.171605499463665E-3</v>
      </c>
      <c r="W23" s="14"/>
      <c r="X23" s="14">
        <f>SUM(H23:J23)</f>
        <v>0.78539071346433986</v>
      </c>
      <c r="Y23" s="14">
        <f>SUM(K23:L23)</f>
        <v>0.21460928653566008</v>
      </c>
      <c r="Z23" s="14"/>
      <c r="AA23" s="14">
        <f t="shared" si="2"/>
        <v>1.0329239396428331</v>
      </c>
      <c r="AB23" s="14">
        <f t="shared" si="3"/>
        <v>-3.2923939642833133E-2</v>
      </c>
      <c r="AC23" s="14"/>
      <c r="AD23" s="14">
        <f>H23/$X23</f>
        <v>0.30690459132597347</v>
      </c>
      <c r="AE23" s="14">
        <f>I23/$X23</f>
        <v>0.17354000704146827</v>
      </c>
      <c r="AF23" s="14">
        <f>J23/$X23</f>
        <v>0.5195554016325582</v>
      </c>
      <c r="AG23" s="14">
        <f>K23/$Y23</f>
        <v>0.28128099074441554</v>
      </c>
      <c r="AH23" s="14">
        <f>L23/$Y23</f>
        <v>0.71871900925558452</v>
      </c>
      <c r="AI23" s="14"/>
      <c r="AJ23" s="14">
        <f t="shared" si="12"/>
        <v>0.21619983061664472</v>
      </c>
      <c r="AK23" s="14">
        <f t="shared" si="13"/>
        <v>0.34495686702736522</v>
      </c>
      <c r="AL23" s="14">
        <f t="shared" si="14"/>
        <v>0.43884330235599012</v>
      </c>
      <c r="AM23" s="14">
        <f t="shared" si="15"/>
        <v>0.53087429438689582</v>
      </c>
      <c r="AN23" s="14">
        <f t="shared" si="16"/>
        <v>0.46912570561310418</v>
      </c>
      <c r="AO23" s="14"/>
      <c r="AP23" s="14">
        <f>SUMPRODUCT(AD23:AF23,B23:D23)</f>
        <v>-5.8773536153200745E-3</v>
      </c>
      <c r="AQ23" s="14">
        <f>SUMPRODUCT(AG23:AH23,E23:F23)</f>
        <v>-1.7942227221486286E-2</v>
      </c>
      <c r="AR23" s="14"/>
      <c r="AS23" s="14">
        <f>SUMPRODUCT(AJ23:AL23,B23:D23)</f>
        <v>-3.205038015045002E-3</v>
      </c>
      <c r="AT23" s="14">
        <f>SUMPRODUCT(E23:F23,AM23:AN23)</f>
        <v>-3.0846201019802517E-2</v>
      </c>
      <c r="AU23" s="14"/>
      <c r="AV23" s="14">
        <f t="shared" si="4"/>
        <v>6.4092142474693502E-4</v>
      </c>
      <c r="AW23" s="14">
        <f t="shared" si="5"/>
        <v>2.3455356624231391E-3</v>
      </c>
      <c r="AX23" s="14"/>
      <c r="AY23" s="14">
        <f t="shared" si="6"/>
        <v>2.7602987578051303E-3</v>
      </c>
      <c r="AZ23" s="14">
        <f t="shared" si="7"/>
        <v>4.2484965448846384E-4</v>
      </c>
      <c r="BA23" s="14"/>
      <c r="BB23" s="14">
        <f t="shared" si="8"/>
        <v>6.1716054994636685E-3</v>
      </c>
      <c r="BC23" s="14">
        <f t="shared" si="9"/>
        <v>0</v>
      </c>
      <c r="BE23" s="19">
        <f t="shared" si="10"/>
        <v>-1.0966587532082321E-2</v>
      </c>
      <c r="BF23" s="19">
        <f t="shared" si="11"/>
        <v>-4.7949820326186558E-3</v>
      </c>
    </row>
    <row r="24" spans="1:58">
      <c r="A24" s="150">
        <v>44834</v>
      </c>
      <c r="B24" s="14">
        <v>-3.8100000000000002E-2</v>
      </c>
      <c r="C24" s="14">
        <v>-5.3233333333333334E-2</v>
      </c>
      <c r="D24" s="14">
        <v>3.386666666666667E-2</v>
      </c>
      <c r="E24" s="14">
        <v>-7.9000000000000008E-3</v>
      </c>
      <c r="F24" s="14">
        <v>-9.240000000000001E-2</v>
      </c>
      <c r="G24" s="14"/>
      <c r="H24" s="14">
        <v>0.23411242697484913</v>
      </c>
      <c r="I24" s="14">
        <v>0.1302967930501418</v>
      </c>
      <c r="J24" s="14">
        <v>0.42597837702050217</v>
      </c>
      <c r="K24" s="14">
        <v>6.0471360354579291E-2</v>
      </c>
      <c r="L24" s="14">
        <v>0.14914104259992753</v>
      </c>
      <c r="M24" s="14"/>
      <c r="N24" s="14">
        <v>0.2937541029891384</v>
      </c>
      <c r="O24" s="14">
        <v>0.31666253048904225</v>
      </c>
      <c r="P24" s="14">
        <v>0.42204838114091303</v>
      </c>
      <c r="Q24" s="14">
        <v>-3.4468226990418273E-2</v>
      </c>
      <c r="R24" s="14">
        <f t="shared" si="0"/>
        <v>2.0032123713246142E-3</v>
      </c>
      <c r="S24" s="14"/>
      <c r="T24" s="14">
        <f>SUMPRODUCT(H24:L24,B24:F24)</f>
        <v>-1.5687704465717774E-2</v>
      </c>
      <c r="U24" s="14">
        <f t="shared" si="1"/>
        <v>-1.3668459352166692E-2</v>
      </c>
      <c r="V24" s="14">
        <f>SUMPRODUCT(N24:R24,B24:F24)-T24</f>
        <v>2.0192451135510811E-3</v>
      </c>
      <c r="W24" s="14"/>
      <c r="X24" s="14">
        <f>SUM(H24:J24)</f>
        <v>0.79038759704549311</v>
      </c>
      <c r="Y24" s="14">
        <f>SUM(K24:L24)</f>
        <v>0.20961240295450681</v>
      </c>
      <c r="Z24" s="14"/>
      <c r="AA24" s="14">
        <f t="shared" si="2"/>
        <v>1.0324650146190937</v>
      </c>
      <c r="AB24" s="14">
        <f t="shared" si="3"/>
        <v>-3.2465014619093659E-2</v>
      </c>
      <c r="AC24" s="14"/>
      <c r="AD24" s="14">
        <f>H24/$X24</f>
        <v>0.29619952014678957</v>
      </c>
      <c r="AE24" s="14">
        <f>I24/$X24</f>
        <v>0.16485176834403462</v>
      </c>
      <c r="AF24" s="14">
        <f>J24/$X24</f>
        <v>0.53894871150917578</v>
      </c>
      <c r="AG24" s="14">
        <f>K24/$Y24</f>
        <v>0.28849132733669242</v>
      </c>
      <c r="AH24" s="14">
        <f>L24/$Y24</f>
        <v>0.71150867266330764</v>
      </c>
      <c r="AI24" s="14"/>
      <c r="AJ24" s="14">
        <f t="shared" si="12"/>
        <v>0.28451724642458015</v>
      </c>
      <c r="AK24" s="14">
        <f t="shared" si="13"/>
        <v>0.30670533723204968</v>
      </c>
      <c r="AL24" s="14">
        <f t="shared" si="14"/>
        <v>0.40877741634337017</v>
      </c>
      <c r="AM24" s="14">
        <f t="shared" si="15"/>
        <v>1.0617037261442188</v>
      </c>
      <c r="AN24" s="14">
        <f t="shared" si="16"/>
        <v>-6.1703726144218776E-2</v>
      </c>
      <c r="AO24" s="14"/>
      <c r="AP24" s="14">
        <f>SUMPRODUCT(AD24:AF24,B24:D24)</f>
        <v>-1.8084144893293699E-3</v>
      </c>
      <c r="AQ24" s="14">
        <f>SUMPRODUCT(AG24:AH24,E24:F24)</f>
        <v>-6.8022482840049511E-2</v>
      </c>
      <c r="AR24" s="14"/>
      <c r="AS24" s="14">
        <f>SUMPRODUCT(AJ24:AL24,B24:D24)</f>
        <v>-1.3323126040600481E-2</v>
      </c>
      <c r="AT24" s="14">
        <f>SUMPRODUCT(E24:F24,AM24:AN24)</f>
        <v>-2.6860351408135134E-3</v>
      </c>
      <c r="AU24" s="14"/>
      <c r="AV24" s="14">
        <f t="shared" si="4"/>
        <v>3.3598626752392646E-3</v>
      </c>
      <c r="AW24" s="14">
        <f t="shared" si="5"/>
        <v>1.2669067998144939E-2</v>
      </c>
      <c r="AX24" s="14"/>
      <c r="AY24" s="14">
        <f t="shared" si="6"/>
        <v>-1.1888536830117775E-2</v>
      </c>
      <c r="AZ24" s="14">
        <f t="shared" si="7"/>
        <v>-2.1211487297153448E-3</v>
      </c>
      <c r="BA24" s="14"/>
      <c r="BB24" s="14">
        <f t="shared" si="8"/>
        <v>2.0192451135510833E-3</v>
      </c>
      <c r="BC24" s="14">
        <f t="shared" si="9"/>
        <v>0</v>
      </c>
      <c r="BE24" s="19">
        <f t="shared" si="10"/>
        <v>-1.8187704465717772E-2</v>
      </c>
      <c r="BF24" s="19">
        <f t="shared" si="11"/>
        <v>-1.6168459352166691E-2</v>
      </c>
    </row>
    <row r="25" spans="1:58">
      <c r="A25" s="150">
        <v>44865</v>
      </c>
      <c r="B25" s="14">
        <v>6.7900000000000002E-2</v>
      </c>
      <c r="C25" s="14">
        <v>5.5766666666666666E-2</v>
      </c>
      <c r="D25" s="14">
        <v>-2.3333333333333366E-4</v>
      </c>
      <c r="E25" s="14">
        <v>2.41E-2</v>
      </c>
      <c r="F25" s="14">
        <v>1.3200000000000003E-2</v>
      </c>
      <c r="G25" s="14"/>
      <c r="H25" s="14">
        <v>0.24180047047937722</v>
      </c>
      <c r="I25" s="14">
        <v>0.13304659385951281</v>
      </c>
      <c r="J25" s="14">
        <v>0.41189668355931958</v>
      </c>
      <c r="K25" s="14">
        <v>5.9895499699568949E-2</v>
      </c>
      <c r="L25" s="14">
        <v>0.15336075240222141</v>
      </c>
      <c r="M25" s="14"/>
      <c r="N25" s="14">
        <v>0.21013651819115939</v>
      </c>
      <c r="O25" s="14">
        <v>0.31153437914112631</v>
      </c>
      <c r="P25" s="14">
        <v>0.53048073991624134</v>
      </c>
      <c r="Q25" s="14">
        <v>3.1861753222119635E-2</v>
      </c>
      <c r="R25" s="14">
        <f t="shared" si="0"/>
        <v>-8.401339047064682E-2</v>
      </c>
      <c r="S25" s="14"/>
      <c r="T25" s="14">
        <f>SUMPRODUCT(H25:L25,B25:F25)</f>
        <v>2.7209551244753636E-2</v>
      </c>
      <c r="U25" s="14">
        <f t="shared" si="1"/>
        <v>3.1176616121076625E-2</v>
      </c>
      <c r="V25" s="14">
        <f>SUMPRODUCT(N25:R25,B25:F25)-T25</f>
        <v>3.9670648763229892E-3</v>
      </c>
      <c r="W25" s="14"/>
      <c r="X25" s="14">
        <f>SUM(H25:J25)</f>
        <v>0.78674374789820956</v>
      </c>
      <c r="Y25" s="14">
        <f>SUM(K25:L25)</f>
        <v>0.21325625210179036</v>
      </c>
      <c r="Z25" s="14"/>
      <c r="AA25" s="14">
        <f t="shared" si="2"/>
        <v>1.0521516372485271</v>
      </c>
      <c r="AB25" s="14">
        <f t="shared" si="3"/>
        <v>-5.2151637248527186E-2</v>
      </c>
      <c r="AC25" s="14"/>
      <c r="AD25" s="14">
        <f>H25/$X25</f>
        <v>0.3073433645012732</v>
      </c>
      <c r="AE25" s="14">
        <f>I25/$X25</f>
        <v>0.16911045586945883</v>
      </c>
      <c r="AF25" s="14">
        <f>J25/$X25</f>
        <v>0.52354617962926797</v>
      </c>
      <c r="AG25" s="14">
        <f>K25/$Y25</f>
        <v>0.2808616352827018</v>
      </c>
      <c r="AH25" s="14">
        <f>L25/$Y25</f>
        <v>0.7191383647172982</v>
      </c>
      <c r="AI25" s="14"/>
      <c r="AJ25" s="14">
        <f t="shared" si="12"/>
        <v>0.19972075388361854</v>
      </c>
      <c r="AK25" s="14">
        <f t="shared" si="13"/>
        <v>0.29609266203854157</v>
      </c>
      <c r="AL25" s="14">
        <f t="shared" si="14"/>
        <v>0.50418658407783978</v>
      </c>
      <c r="AM25" s="14">
        <f t="shared" si="15"/>
        <v>-0.61094444782784729</v>
      </c>
      <c r="AN25" s="14">
        <f t="shared" si="16"/>
        <v>1.6109444478278474</v>
      </c>
      <c r="AO25" s="14"/>
      <c r="AP25" s="14">
        <f>SUMPRODUCT(AD25:AF25,B25:D25)</f>
        <v>3.0177180096709777E-2</v>
      </c>
      <c r="AQ25" s="14">
        <f>SUMPRODUCT(AG25:AH25,E25:F25)</f>
        <v>1.6261391824581452E-2</v>
      </c>
      <c r="AR25" s="14"/>
      <c r="AS25" s="14">
        <f>SUMPRODUCT(AJ25:AL25,B25:D25)</f>
        <v>2.9955496438762205E-2</v>
      </c>
      <c r="AT25" s="14">
        <f>SUMPRODUCT(E25:F25,AM25:AN25)</f>
        <v>6.5407055186764707E-3</v>
      </c>
      <c r="AU25" s="14"/>
      <c r="AV25" s="14">
        <f t="shared" si="4"/>
        <v>7.8763210997278535E-4</v>
      </c>
      <c r="AW25" s="14">
        <f t="shared" si="5"/>
        <v>2.9057278839786961E-3</v>
      </c>
      <c r="AX25" s="14"/>
      <c r="AY25" s="14">
        <f t="shared" si="6"/>
        <v>-2.3324482366078003E-4</v>
      </c>
      <c r="AZ25" s="14">
        <f t="shared" si="7"/>
        <v>5.0694970603228236E-4</v>
      </c>
      <c r="BA25" s="14"/>
      <c r="BB25" s="14">
        <f t="shared" si="8"/>
        <v>3.967064876322984E-3</v>
      </c>
      <c r="BC25" s="14">
        <f t="shared" si="9"/>
        <v>0</v>
      </c>
      <c r="BE25" s="19">
        <f t="shared" si="10"/>
        <v>2.4709551244753637E-2</v>
      </c>
      <c r="BF25" s="19">
        <f t="shared" si="11"/>
        <v>2.8676616121076626E-2</v>
      </c>
    </row>
    <row r="26" spans="1:58">
      <c r="A26" s="150">
        <v>44895</v>
      </c>
      <c r="B26" s="14">
        <v>5.0000000000000001E-3</v>
      </c>
      <c r="C26" s="14">
        <v>3.3366666666666669E-2</v>
      </c>
      <c r="D26" s="14">
        <v>-4.3633333333333336E-2</v>
      </c>
      <c r="E26" s="14">
        <v>-5.5599999999999997E-2</v>
      </c>
      <c r="F26" s="14">
        <v>-3.4000000000000002E-3</v>
      </c>
      <c r="G26" s="14"/>
      <c r="H26" s="14">
        <v>0.24509465984418824</v>
      </c>
      <c r="I26" s="14">
        <v>0.1386656381275666</v>
      </c>
      <c r="J26" s="14">
        <v>0.39730439706390908</v>
      </c>
      <c r="K26" s="14">
        <v>5.7050678853607491E-2</v>
      </c>
      <c r="L26" s="14">
        <v>0.16188462611072851</v>
      </c>
      <c r="M26" s="14"/>
      <c r="N26" s="14">
        <v>0.25873377551965715</v>
      </c>
      <c r="O26" s="14">
        <v>0.20841391854206315</v>
      </c>
      <c r="P26" s="14">
        <v>0.42805486661707703</v>
      </c>
      <c r="Q26" s="14">
        <v>-4.2097822597519742E-2</v>
      </c>
      <c r="R26" s="14">
        <f t="shared" si="0"/>
        <v>0.14689526191872238</v>
      </c>
      <c r="S26" s="14"/>
      <c r="T26" s="14">
        <f>SUMPRODUCT(H26:L26,B26:F26)</f>
        <v>-1.5205857240181539E-2</v>
      </c>
      <c r="U26" s="14">
        <f t="shared" si="1"/>
        <v>-8.588519007874898E-3</v>
      </c>
      <c r="V26" s="14">
        <f>SUMPRODUCT(N26:R26,B26:F26)-T26</f>
        <v>6.6173382323066413E-3</v>
      </c>
      <c r="W26" s="14"/>
      <c r="X26" s="14">
        <f>SUM(H26:J26)</f>
        <v>0.78106469503566389</v>
      </c>
      <c r="Y26" s="14">
        <f>SUM(K26:L26)</f>
        <v>0.218935304964336</v>
      </c>
      <c r="Z26" s="14"/>
      <c r="AA26" s="14">
        <f t="shared" si="2"/>
        <v>0.89520256067879733</v>
      </c>
      <c r="AB26" s="14">
        <f t="shared" si="3"/>
        <v>0.10479743932120264</v>
      </c>
      <c r="AC26" s="14"/>
      <c r="AD26" s="14">
        <f>H26/$X26</f>
        <v>0.31379559388866896</v>
      </c>
      <c r="AE26" s="14">
        <f>I26/$X26</f>
        <v>0.17753412618558448</v>
      </c>
      <c r="AF26" s="14">
        <f>J26/$X26</f>
        <v>0.50867027992574665</v>
      </c>
      <c r="AG26" s="14">
        <f>K26/$Y26</f>
        <v>0.26058236182099959</v>
      </c>
      <c r="AH26" s="14">
        <f>L26/$Y26</f>
        <v>0.73941763817900041</v>
      </c>
      <c r="AI26" s="14"/>
      <c r="AJ26" s="14">
        <f t="shared" si="12"/>
        <v>0.2890226043628264</v>
      </c>
      <c r="AK26" s="14">
        <f t="shared" si="13"/>
        <v>0.23281202232490372</v>
      </c>
      <c r="AL26" s="14">
        <f t="shared" si="14"/>
        <v>0.47816537331226988</v>
      </c>
      <c r="AM26" s="14">
        <f t="shared" si="15"/>
        <v>-0.40170659579277052</v>
      </c>
      <c r="AN26" s="14">
        <f t="shared" si="16"/>
        <v>1.4017065957927703</v>
      </c>
      <c r="AO26" s="14"/>
      <c r="AP26" s="14">
        <f>SUMPRODUCT(AD26:AF26,B26:D26)</f>
        <v>-1.47022799009244E-2</v>
      </c>
      <c r="AQ26" s="14">
        <f>SUMPRODUCT(AG26:AH26,E26:F26)</f>
        <v>-1.7002399287056179E-2</v>
      </c>
      <c r="AR26" s="14"/>
      <c r="AS26" s="14">
        <f>SUMPRODUCT(AJ26:AL26,B26:D26)</f>
        <v>-1.1650674955470291E-2</v>
      </c>
      <c r="AT26" s="14">
        <f>SUMPRODUCT(E26:F26,AM26:AN26)</f>
        <v>1.756908430038262E-2</v>
      </c>
      <c r="AU26" s="14"/>
      <c r="AV26" s="14">
        <f t="shared" si="4"/>
        <v>5.7477242689058024E-5</v>
      </c>
      <c r="AW26" s="14">
        <f t="shared" si="5"/>
        <v>2.0505347476841739E-4</v>
      </c>
      <c r="AX26" s="14"/>
      <c r="AY26" s="14">
        <f t="shared" si="6"/>
        <v>2.7318045613505997E-3</v>
      </c>
      <c r="AZ26" s="14">
        <f t="shared" si="7"/>
        <v>3.6230029534985706E-3</v>
      </c>
      <c r="BA26" s="14"/>
      <c r="BB26" s="14">
        <f t="shared" si="8"/>
        <v>6.6173382323066457E-3</v>
      </c>
      <c r="BC26" s="14">
        <f t="shared" si="9"/>
        <v>0</v>
      </c>
      <c r="BE26" s="19">
        <f t="shared" si="10"/>
        <v>-1.770585724018154E-2</v>
      </c>
      <c r="BF26" s="19">
        <f t="shared" si="11"/>
        <v>-1.1088519007874898E-2</v>
      </c>
    </row>
    <row r="27" spans="1:58">
      <c r="A27" s="150">
        <v>44926</v>
      </c>
      <c r="B27" s="14">
        <v>8.3599999999999994E-2</v>
      </c>
      <c r="C27" s="14">
        <v>-1.2233333333333336E-2</v>
      </c>
      <c r="D27" s="14">
        <v>9.3966666666666671E-2</v>
      </c>
      <c r="E27" s="14">
        <v>1.8100000000000002E-2</v>
      </c>
      <c r="F27" s="14">
        <v>-6.2100000000000002E-2</v>
      </c>
      <c r="G27" s="14"/>
      <c r="H27" s="14">
        <v>0.25169103837777307</v>
      </c>
      <c r="I27" s="14">
        <v>0.12980401565135188</v>
      </c>
      <c r="J27" s="14">
        <v>0.41190054628498413</v>
      </c>
      <c r="K27" s="14">
        <v>5.5044782648892898E-2</v>
      </c>
      <c r="L27" s="14">
        <v>0.151559617036998</v>
      </c>
      <c r="M27" s="14"/>
      <c r="N27" s="14">
        <v>0.28034313762067264</v>
      </c>
      <c r="O27" s="14">
        <v>0.26009667624184596</v>
      </c>
      <c r="P27" s="14">
        <v>0.52833101013757777</v>
      </c>
      <c r="Q27" s="14">
        <v>-4.4871559704206129E-2</v>
      </c>
      <c r="R27" s="14">
        <f t="shared" si="0"/>
        <v>-2.3899264295890177E-2</v>
      </c>
      <c r="S27" s="14"/>
      <c r="T27" s="14">
        <f>SUMPRODUCT(H27:L27,B27:F27)</f>
        <v>4.9742814697440019E-2</v>
      </c>
      <c r="U27" s="14">
        <f t="shared" si="1"/>
        <v>7.0572309967119357E-2</v>
      </c>
      <c r="V27" s="14">
        <f>SUMPRODUCT(N27:R27,B27:F27)-T27</f>
        <v>2.0829495269679338E-2</v>
      </c>
      <c r="W27" s="14"/>
      <c r="X27" s="14">
        <f>SUM(H27:J27)</f>
        <v>0.79339560031410916</v>
      </c>
      <c r="Y27" s="14">
        <f>SUM(K27:L27)</f>
        <v>0.20660439968589089</v>
      </c>
      <c r="Z27" s="14"/>
      <c r="AA27" s="14">
        <f t="shared" si="2"/>
        <v>1.0687708240000964</v>
      </c>
      <c r="AB27" s="14">
        <f t="shared" si="3"/>
        <v>-6.8770824000096306E-2</v>
      </c>
      <c r="AC27" s="14"/>
      <c r="AD27" s="14">
        <f>H27/$X27</f>
        <v>0.31723271250575041</v>
      </c>
      <c r="AE27" s="14">
        <f>I27/$X27</f>
        <v>0.16360566607624474</v>
      </c>
      <c r="AF27" s="14">
        <f>J27/$X27</f>
        <v>0.5191616214180047</v>
      </c>
      <c r="AG27" s="14">
        <f>K27/$Y27</f>
        <v>0.2664259944733981</v>
      </c>
      <c r="AH27" s="14">
        <f>L27/$Y27</f>
        <v>0.7335740055266019</v>
      </c>
      <c r="AI27" s="14"/>
      <c r="AJ27" s="14">
        <f t="shared" si="12"/>
        <v>0.26230425768120275</v>
      </c>
      <c r="AK27" s="14">
        <f t="shared" si="13"/>
        <v>0.24336056935796602</v>
      </c>
      <c r="AL27" s="14">
        <f t="shared" si="14"/>
        <v>0.49433517296083124</v>
      </c>
      <c r="AM27" s="14">
        <f t="shared" si="15"/>
        <v>0.6524795995485424</v>
      </c>
      <c r="AN27" s="14">
        <f t="shared" si="16"/>
        <v>0.34752040045145755</v>
      </c>
      <c r="AO27" s="14"/>
      <c r="AP27" s="14">
        <f>SUMPRODUCT(AD27:AF27,B27:D27)</f>
        <v>7.3303099143059852E-2</v>
      </c>
      <c r="AQ27" s="14">
        <f>SUMPRODUCT(AG27:AH27,E27:F27)</f>
        <v>-4.0732635243233471E-2</v>
      </c>
      <c r="AR27" s="14"/>
      <c r="AS27" s="14">
        <f>SUMPRODUCT(AJ27:AL27,B27:D27)</f>
        <v>6.540255339622221E-2</v>
      </c>
      <c r="AT27" s="14">
        <f>SUMPRODUCT(E27:F27,AM27:AN27)</f>
        <v>-9.7711361162068945E-3</v>
      </c>
      <c r="AU27" s="14"/>
      <c r="AV27" s="14">
        <f t="shared" si="4"/>
        <v>6.4879185993180471E-3</v>
      </c>
      <c r="AW27" s="14">
        <f t="shared" si="5"/>
        <v>2.4914697265503303E-2</v>
      </c>
      <c r="AX27" s="14"/>
      <c r="AY27" s="14">
        <f t="shared" si="6"/>
        <v>-8.4438727878981233E-3</v>
      </c>
      <c r="AZ27" s="14">
        <f t="shared" si="7"/>
        <v>-2.1292478072438802E-3</v>
      </c>
      <c r="BA27" s="14"/>
      <c r="BB27" s="14">
        <f t="shared" si="8"/>
        <v>2.0829495269679345E-2</v>
      </c>
      <c r="BC27" s="14">
        <f t="shared" si="9"/>
        <v>0</v>
      </c>
      <c r="BE27" s="19">
        <f t="shared" si="10"/>
        <v>4.7242814697440016E-2</v>
      </c>
      <c r="BF27" s="19">
        <f t="shared" si="11"/>
        <v>6.8072309967119354E-2</v>
      </c>
    </row>
    <row r="28" spans="1:58">
      <c r="A28" s="150">
        <v>44957</v>
      </c>
      <c r="B28" s="14">
        <v>4.9799999999999997E-2</v>
      </c>
      <c r="C28" s="14">
        <v>2.8366666666666665E-2</v>
      </c>
      <c r="D28" s="14">
        <v>1.1566666666666666E-2</v>
      </c>
      <c r="E28" s="14">
        <v>-1.26E-2</v>
      </c>
      <c r="F28" s="14">
        <v>-1.6800000000000002E-2</v>
      </c>
      <c r="G28" s="14"/>
      <c r="H28" s="14">
        <v>0.25770056943433217</v>
      </c>
      <c r="I28" s="14">
        <v>0.1301898649343414</v>
      </c>
      <c r="J28" s="14">
        <v>0.40637589143101432</v>
      </c>
      <c r="K28" s="14">
        <v>5.3009089090378693E-2</v>
      </c>
      <c r="L28" s="14">
        <v>0.15272458510993342</v>
      </c>
      <c r="M28" s="14"/>
      <c r="N28" s="14">
        <v>0.26406454604084928</v>
      </c>
      <c r="O28" s="14">
        <v>0.28284026998063866</v>
      </c>
      <c r="P28" s="14">
        <v>0.47270306523343386</v>
      </c>
      <c r="Q28" s="14">
        <v>7.0306710864363395E-3</v>
      </c>
      <c r="R28" s="14">
        <f t="shared" si="0"/>
        <v>-2.6638552341358146E-2</v>
      </c>
      <c r="S28" s="14"/>
      <c r="T28" s="14">
        <f>SUMPRODUCT(H28:L28,B28:F28)</f>
        <v>1.799326778496697E-2</v>
      </c>
      <c r="U28" s="14">
        <f t="shared" si="1"/>
        <v>2.7000190062797511E-2</v>
      </c>
      <c r="V28" s="14">
        <f>SUMPRODUCT(N28:R28,B28:F28)-T28</f>
        <v>9.0069222778305404E-3</v>
      </c>
      <c r="W28" s="14"/>
      <c r="X28" s="14">
        <f>SUM(H28:J28)</f>
        <v>0.79426632579968781</v>
      </c>
      <c r="Y28" s="14">
        <f>SUM(K28:L28)</f>
        <v>0.20573367420031211</v>
      </c>
      <c r="Z28" s="14"/>
      <c r="AA28" s="14">
        <f t="shared" si="2"/>
        <v>1.0196078812549219</v>
      </c>
      <c r="AB28" s="14">
        <f t="shared" si="3"/>
        <v>-1.9607881254921807E-2</v>
      </c>
      <c r="AC28" s="14"/>
      <c r="AD28" s="14">
        <f>H28/$X28</f>
        <v>0.32445108279628071</v>
      </c>
      <c r="AE28" s="14">
        <f>I28/$X28</f>
        <v>0.16391210442323975</v>
      </c>
      <c r="AF28" s="14">
        <f>J28/$X28</f>
        <v>0.51163681278047968</v>
      </c>
      <c r="AG28" s="14">
        <f>K28/$Y28</f>
        <v>0.25765878773334167</v>
      </c>
      <c r="AH28" s="14">
        <f>L28/$Y28</f>
        <v>0.74234121226665839</v>
      </c>
      <c r="AI28" s="14"/>
      <c r="AJ28" s="14">
        <f t="shared" si="12"/>
        <v>0.25898637201179892</v>
      </c>
      <c r="AK28" s="14">
        <f t="shared" si="13"/>
        <v>0.27740102364893654</v>
      </c>
      <c r="AL28" s="14">
        <f t="shared" si="14"/>
        <v>0.46361260433926449</v>
      </c>
      <c r="AM28" s="14">
        <f t="shared" si="15"/>
        <v>-0.35856352836039129</v>
      </c>
      <c r="AN28" s="14">
        <f t="shared" si="16"/>
        <v>1.3585635283603912</v>
      </c>
      <c r="AO28" s="14"/>
      <c r="AP28" s="14">
        <f>SUMPRODUCT(AD28:AF28,B28:D28)</f>
        <v>2.6725236419888228E-2</v>
      </c>
      <c r="AQ28" s="14">
        <f>SUMPRODUCT(AG28:AH28,E28:F28)</f>
        <v>-1.5717833091519966E-2</v>
      </c>
      <c r="AR28" s="14"/>
      <c r="AS28" s="14">
        <f>SUMPRODUCT(AJ28:AL28,B28:D28)</f>
        <v>2.6128916153886579E-2</v>
      </c>
      <c r="AT28" s="14">
        <f>SUMPRODUCT(E28:F28,AM28:AN28)</f>
        <v>-1.8305966819113645E-2</v>
      </c>
      <c r="AU28" s="14"/>
      <c r="AV28" s="14">
        <f t="shared" si="4"/>
        <v>1.967675394379473E-3</v>
      </c>
      <c r="AW28" s="14">
        <f t="shared" si="5"/>
        <v>7.5965119076158646E-3</v>
      </c>
      <c r="AX28" s="14"/>
      <c r="AY28" s="14">
        <f t="shared" si="6"/>
        <v>-6.0801284296731239E-4</v>
      </c>
      <c r="AZ28" s="14">
        <f t="shared" si="7"/>
        <v>5.0747818802515001E-5</v>
      </c>
      <c r="BA28" s="14"/>
      <c r="BB28" s="14">
        <f t="shared" si="8"/>
        <v>9.0069222778305404E-3</v>
      </c>
      <c r="BC28" s="14">
        <f t="shared" si="9"/>
        <v>0</v>
      </c>
      <c r="BE28" s="19">
        <f t="shared" si="10"/>
        <v>1.549326778496697E-2</v>
      </c>
      <c r="BF28" s="19">
        <f t="shared" si="11"/>
        <v>2.4500190062797512E-2</v>
      </c>
    </row>
    <row r="29" spans="1:58">
      <c r="A29" s="150">
        <v>44985</v>
      </c>
      <c r="B29" s="14">
        <v>8.7499999999999994E-2</v>
      </c>
      <c r="C29" s="14">
        <v>-1.4133333333333335E-2</v>
      </c>
      <c r="D29" s="14">
        <v>6.1866666666666667E-2</v>
      </c>
      <c r="E29" s="14">
        <v>3.2000000000000002E-3</v>
      </c>
      <c r="F29" s="14">
        <v>-2.6000000000000002E-2</v>
      </c>
      <c r="G29" s="14"/>
      <c r="H29" s="14">
        <v>0.26698427580410372</v>
      </c>
      <c r="I29" s="14">
        <v>0.12227464188590396</v>
      </c>
      <c r="J29" s="14">
        <v>0.41109194137821398</v>
      </c>
      <c r="K29" s="14">
        <v>5.0661600408827723E-2</v>
      </c>
      <c r="L29" s="14">
        <v>0.14898754052295052</v>
      </c>
      <c r="M29" s="14"/>
      <c r="N29" s="14">
        <v>0.28981811006608643</v>
      </c>
      <c r="O29" s="14">
        <v>0.18484796407284895</v>
      </c>
      <c r="P29" s="14">
        <v>0.37601404843702402</v>
      </c>
      <c r="Q29" s="14">
        <v>-6.4732522779042997E-2</v>
      </c>
      <c r="R29" s="14">
        <f t="shared" si="0"/>
        <v>0.21405240020308358</v>
      </c>
      <c r="S29" s="14"/>
      <c r="T29" s="14">
        <f>SUMPRODUCT(H29:L29,B29:F29)</f>
        <v>4.3354305035182006E-2</v>
      </c>
      <c r="U29" s="14">
        <f t="shared" si="1"/>
        <v>4.0236796057017077E-2</v>
      </c>
      <c r="V29" s="14">
        <f>SUMPRODUCT(N29:R29,B29:F29)-T29</f>
        <v>-3.117508978164929E-3</v>
      </c>
      <c r="W29" s="14"/>
      <c r="X29" s="14">
        <f>SUM(H29:J29)</f>
        <v>0.80035085906822168</v>
      </c>
      <c r="Y29" s="14">
        <f>SUM(K29:L29)</f>
        <v>0.19964914093177824</v>
      </c>
      <c r="Z29" s="14"/>
      <c r="AA29" s="14">
        <f t="shared" si="2"/>
        <v>0.85068012257595937</v>
      </c>
      <c r="AB29" s="14">
        <f t="shared" si="3"/>
        <v>0.14931987742404057</v>
      </c>
      <c r="AC29" s="14"/>
      <c r="AD29" s="14">
        <f>H29/$X29</f>
        <v>0.33358404352177506</v>
      </c>
      <c r="AE29" s="14">
        <f>I29/$X29</f>
        <v>0.15277629867013276</v>
      </c>
      <c r="AF29" s="14">
        <f>J29/$X29</f>
        <v>0.51363965780809218</v>
      </c>
      <c r="AG29" s="14">
        <f>K29/$Y29</f>
        <v>0.25375316003057186</v>
      </c>
      <c r="AH29" s="14">
        <f>L29/$Y29</f>
        <v>0.74624683996942809</v>
      </c>
      <c r="AI29" s="14"/>
      <c r="AJ29" s="14">
        <f t="shared" si="12"/>
        <v>0.34068988139570389</v>
      </c>
      <c r="AK29" s="14">
        <f t="shared" si="13"/>
        <v>0.21729432623053141</v>
      </c>
      <c r="AL29" s="14">
        <f t="shared" si="14"/>
        <v>0.44201579237376476</v>
      </c>
      <c r="AM29" s="14">
        <f t="shared" si="15"/>
        <v>-0.43351577764301746</v>
      </c>
      <c r="AN29" s="14">
        <f t="shared" si="16"/>
        <v>1.4335157776430176</v>
      </c>
      <c r="AO29" s="14"/>
      <c r="AP29" s="14">
        <f>SUMPRODUCT(AD29:AF29,B29:D29)</f>
        <v>5.8806538950011408E-2</v>
      </c>
      <c r="AQ29" s="14">
        <f>SUMPRODUCT(AG29:AH29,E29:F29)</f>
        <v>-1.8590407727107301E-2</v>
      </c>
      <c r="AR29" s="14"/>
      <c r="AS29" s="14">
        <f>SUMPRODUCT(AJ29:AL29,B29:D29)</f>
        <v>5.4085315166256157E-2</v>
      </c>
      <c r="AT29" s="14">
        <f>SUMPRODUCT(E29:F29,AM29:AN29)</f>
        <v>-3.8658660707176121E-2</v>
      </c>
      <c r="AU29" s="14"/>
      <c r="AV29" s="14">
        <f t="shared" si="4"/>
        <v>7.7769955248265031E-4</v>
      </c>
      <c r="AW29" s="14">
        <f t="shared" si="5"/>
        <v>3.1176317715243792E-3</v>
      </c>
      <c r="AX29" s="14"/>
      <c r="AY29" s="14">
        <f t="shared" si="6"/>
        <v>-4.0162512270734523E-3</v>
      </c>
      <c r="AZ29" s="14">
        <f t="shared" si="7"/>
        <v>-2.9965890750985129E-3</v>
      </c>
      <c r="BA29" s="14"/>
      <c r="BB29" s="14">
        <f t="shared" si="8"/>
        <v>-3.1175089781649355E-3</v>
      </c>
      <c r="BC29" s="14">
        <f t="shared" si="9"/>
        <v>-6.5052130349130266E-18</v>
      </c>
      <c r="BE29" s="19">
        <f t="shared" si="10"/>
        <v>4.0854305035182004E-2</v>
      </c>
      <c r="BF29" s="19">
        <f t="shared" si="11"/>
        <v>3.7736796057017075E-2</v>
      </c>
    </row>
    <row r="30" spans="1:58">
      <c r="A30" s="150">
        <v>45016</v>
      </c>
      <c r="B30" s="14">
        <v>-4.3900000000000002E-2</v>
      </c>
      <c r="C30" s="14">
        <v>5.9466666666666668E-2</v>
      </c>
      <c r="D30" s="14">
        <v>4.5466666666666669E-2</v>
      </c>
      <c r="E30" s="14">
        <v>0.1115</v>
      </c>
      <c r="F30" s="14">
        <v>-0.1066</v>
      </c>
      <c r="G30" s="14"/>
      <c r="H30" s="14">
        <v>0.25237206032226855</v>
      </c>
      <c r="I30" s="14">
        <v>0.12807842189479998</v>
      </c>
      <c r="J30" s="14">
        <v>0.42491437612690797</v>
      </c>
      <c r="K30" s="14">
        <v>5.567248963639581E-2</v>
      </c>
      <c r="L30" s="14">
        <v>0.13896265201962765</v>
      </c>
      <c r="M30" s="14"/>
      <c r="N30" s="14">
        <v>0.25365443991893732</v>
      </c>
      <c r="O30" s="14">
        <v>0.31145510499632367</v>
      </c>
      <c r="P30" s="14">
        <v>0.5418269631209115</v>
      </c>
      <c r="Q30" s="14">
        <v>-2.1298210885674011E-2</v>
      </c>
      <c r="R30" s="14">
        <f t="shared" si="0"/>
        <v>-8.563829715049831E-2</v>
      </c>
      <c r="S30" s="14"/>
      <c r="T30" s="14">
        <f>SUMPRODUCT(H30:L30,B30:F30)</f>
        <v>7.2507675642657591E-3</v>
      </c>
      <c r="U30" s="14">
        <f t="shared" si="1"/>
        <v>3.8775124883727939E-2</v>
      </c>
      <c r="V30" s="14">
        <f>SUMPRODUCT(N30:R30,B30:F30)-T30</f>
        <v>3.1524357319462182E-2</v>
      </c>
      <c r="W30" s="14"/>
      <c r="X30" s="14">
        <f>SUM(H30:J30)</f>
        <v>0.80536485834397653</v>
      </c>
      <c r="Y30" s="14">
        <f>SUM(K30:L30)</f>
        <v>0.19463514165602347</v>
      </c>
      <c r="Z30" s="14"/>
      <c r="AA30" s="14">
        <f t="shared" si="2"/>
        <v>1.1069365080361724</v>
      </c>
      <c r="AB30" s="14">
        <f t="shared" si="3"/>
        <v>-0.10693650803617233</v>
      </c>
      <c r="AC30" s="14"/>
      <c r="AD30" s="14">
        <f>H30/$X30</f>
        <v>0.3133636360061775</v>
      </c>
      <c r="AE30" s="14">
        <f>I30/$X30</f>
        <v>0.15903155019472784</v>
      </c>
      <c r="AF30" s="14">
        <f>J30/$X30</f>
        <v>0.52760481379909463</v>
      </c>
      <c r="AG30" s="14">
        <f>K30/$Y30</f>
        <v>0.28603513817039877</v>
      </c>
      <c r="AH30" s="14">
        <f>L30/$Y30</f>
        <v>0.71396486182960117</v>
      </c>
      <c r="AI30" s="14"/>
      <c r="AJ30" s="14">
        <f t="shared" si="12"/>
        <v>0.22914994498550628</v>
      </c>
      <c r="AK30" s="14">
        <f t="shared" si="13"/>
        <v>0.28136672946931657</v>
      </c>
      <c r="AL30" s="14">
        <f t="shared" si="14"/>
        <v>0.48948332554517726</v>
      </c>
      <c r="AM30" s="14">
        <f t="shared" si="15"/>
        <v>0.19916688207613514</v>
      </c>
      <c r="AN30" s="14">
        <f t="shared" si="16"/>
        <v>0.8008331179238648</v>
      </c>
      <c r="AO30" s="14"/>
      <c r="AP30" s="14">
        <f>SUMPRODUCT(AD30:AF30,B30:D30)</f>
        <v>1.968884476497413E-2</v>
      </c>
      <c r="AQ30" s="14">
        <f>SUMPRODUCT(AG30:AH30,E30:F30)</f>
        <v>-4.4215736365036021E-2</v>
      </c>
      <c r="AR30" s="14"/>
      <c r="AS30" s="14">
        <f>SUMPRODUCT(AJ30:AL30,B30:D30)</f>
        <v>2.8927434129032363E-2</v>
      </c>
      <c r="AT30" s="14">
        <f>SUMPRODUCT(E30:F30,AM30:AN30)</f>
        <v>-6.3161703019194923E-2</v>
      </c>
      <c r="AU30" s="14"/>
      <c r="AV30" s="14">
        <f t="shared" si="4"/>
        <v>3.7509714604165127E-3</v>
      </c>
      <c r="AW30" s="14">
        <f t="shared" si="5"/>
        <v>1.5520838493849415E-2</v>
      </c>
      <c r="AX30" s="14"/>
      <c r="AY30" s="14">
        <f t="shared" si="6"/>
        <v>1.0226531849830743E-2</v>
      </c>
      <c r="AZ30" s="14">
        <f t="shared" si="7"/>
        <v>2.0260155153655163E-3</v>
      </c>
      <c r="BA30" s="14"/>
      <c r="BB30" s="14">
        <f t="shared" si="8"/>
        <v>3.1524357319462182E-2</v>
      </c>
      <c r="BC30" s="14">
        <f t="shared" si="9"/>
        <v>0</v>
      </c>
      <c r="BE30" s="19">
        <f t="shared" si="10"/>
        <v>4.7507675642657586E-3</v>
      </c>
      <c r="BF30" s="19">
        <f t="shared" si="11"/>
        <v>3.6275124883727937E-2</v>
      </c>
    </row>
    <row r="31" spans="1:58">
      <c r="A31" s="150">
        <v>45046</v>
      </c>
      <c r="B31" s="14">
        <v>2.41E-2</v>
      </c>
      <c r="C31" s="14">
        <v>6.7266666666666669E-2</v>
      </c>
      <c r="D31" s="14">
        <v>-6.7133333333333337E-2</v>
      </c>
      <c r="E31" s="14">
        <v>8.0999999999999996E-3</v>
      </c>
      <c r="F31" s="14">
        <v>4.5899999999999996E-2</v>
      </c>
      <c r="G31" s="14"/>
      <c r="H31" s="14">
        <v>0.25846737722480989</v>
      </c>
      <c r="I31" s="14">
        <v>0.13670078544135711</v>
      </c>
      <c r="J31" s="14">
        <v>0.39640862607083227</v>
      </c>
      <c r="K31" s="14">
        <v>5.6126292384132047E-2</v>
      </c>
      <c r="L31" s="14">
        <v>0.15229691887886873</v>
      </c>
      <c r="M31" s="14"/>
      <c r="N31" s="14">
        <v>0.28522449878183048</v>
      </c>
      <c r="O31" s="14">
        <v>0.35862822046692988</v>
      </c>
      <c r="P31" s="14">
        <v>0.43629160477291273</v>
      </c>
      <c r="Q31" s="14">
        <v>-4.7872487468131351E-2</v>
      </c>
      <c r="R31" s="14">
        <f t="shared" si="0"/>
        <v>-3.2271836553541933E-2</v>
      </c>
      <c r="S31" s="14"/>
      <c r="T31" s="14">
        <f>SUMPRODUCT(H31:L31,B31:F31)</f>
        <v>-3.7427109268971248E-3</v>
      </c>
      <c r="U31" s="14">
        <f t="shared" si="1"/>
        <v>-1.6111879600338302E-4</v>
      </c>
      <c r="V31" s="14">
        <f>SUMPRODUCT(N31:R31,B31:F31)-T31</f>
        <v>3.5815921308937418E-3</v>
      </c>
      <c r="W31" s="14"/>
      <c r="X31" s="14">
        <f>SUM(H31:J31)</f>
        <v>0.79157678873699933</v>
      </c>
      <c r="Y31" s="14">
        <f>SUM(K31:L31)</f>
        <v>0.20842321126300078</v>
      </c>
      <c r="Z31" s="14"/>
      <c r="AA31" s="14">
        <f t="shared" si="2"/>
        <v>1.0801443240216733</v>
      </c>
      <c r="AB31" s="14">
        <f t="shared" si="3"/>
        <v>-8.0144324021673291E-2</v>
      </c>
      <c r="AC31" s="14"/>
      <c r="AD31" s="14">
        <f>H31/$X31</f>
        <v>0.3265221781416906</v>
      </c>
      <c r="AE31" s="14">
        <f>I31/$X31</f>
        <v>0.17269428233168649</v>
      </c>
      <c r="AF31" s="14">
        <f>J31/$X31</f>
        <v>0.5007835395266228</v>
      </c>
      <c r="AG31" s="14">
        <f>K31/$Y31</f>
        <v>0.26929002793891588</v>
      </c>
      <c r="AH31" s="14">
        <f>L31/$Y31</f>
        <v>0.73070997206108412</v>
      </c>
      <c r="AI31" s="14"/>
      <c r="AJ31" s="14">
        <f t="shared" si="12"/>
        <v>0.26406147071148928</v>
      </c>
      <c r="AK31" s="14">
        <f t="shared" si="13"/>
        <v>0.33201879831359826</v>
      </c>
      <c r="AL31" s="14">
        <f t="shared" si="14"/>
        <v>0.40391973097491229</v>
      </c>
      <c r="AM31" s="14">
        <f t="shared" si="15"/>
        <v>0.59732848274052797</v>
      </c>
      <c r="AN31" s="14">
        <f t="shared" si="16"/>
        <v>0.40267151725947198</v>
      </c>
      <c r="AO31" s="14"/>
      <c r="AP31" s="14">
        <f>SUMPRODUCT(AD31:AF31,B31:D31)</f>
        <v>-1.4133515068827755E-2</v>
      </c>
      <c r="AQ31" s="14">
        <f>SUMPRODUCT(AG31:AH31,E31:F31)</f>
        <v>3.5720836943908978E-2</v>
      </c>
      <c r="AR31" s="14"/>
      <c r="AS31" s="14">
        <f>SUMPRODUCT(AJ31:AL31,B31:D31)</f>
        <v>1.5812013379258236E-3</v>
      </c>
      <c r="AT31" s="14">
        <f>SUMPRODUCT(E31:F31,AM31:AN31)</f>
        <v>2.3320983352408037E-2</v>
      </c>
      <c r="AU31" s="14"/>
      <c r="AV31" s="14">
        <f t="shared" si="4"/>
        <v>-2.9984487408627031E-3</v>
      </c>
      <c r="AW31" s="14">
        <f t="shared" si="5"/>
        <v>-1.1387898742667263E-2</v>
      </c>
      <c r="AX31" s="14"/>
      <c r="AY31" s="14">
        <f t="shared" si="6"/>
        <v>1.6974161730365141E-2</v>
      </c>
      <c r="AZ31" s="14">
        <f t="shared" si="7"/>
        <v>9.9377788405856067E-4</v>
      </c>
      <c r="BA31" s="14"/>
      <c r="BB31" s="14">
        <f t="shared" si="8"/>
        <v>3.5815921308937353E-3</v>
      </c>
      <c r="BC31" s="14">
        <f t="shared" si="9"/>
        <v>-6.5052130349130266E-18</v>
      </c>
      <c r="BE31" s="19">
        <f t="shared" si="10"/>
        <v>-6.2427109268971253E-3</v>
      </c>
      <c r="BF31" s="19">
        <f t="shared" si="11"/>
        <v>-2.6611187960033831E-3</v>
      </c>
    </row>
    <row r="32" spans="1:58">
      <c r="A32" s="150">
        <v>45077</v>
      </c>
      <c r="B32" s="14">
        <v>-1.7899999999999999E-2</v>
      </c>
      <c r="C32" s="14">
        <v>-1.2033333333333333E-2</v>
      </c>
      <c r="D32" s="14">
        <v>-4.1533333333333332E-2</v>
      </c>
      <c r="E32" s="14">
        <v>-4.6100000000000002E-2</v>
      </c>
      <c r="F32" s="14">
        <v>-1.2400000000000001E-2</v>
      </c>
      <c r="G32" s="14"/>
      <c r="H32" s="14">
        <v>0.25891470086660118</v>
      </c>
      <c r="I32" s="14">
        <v>0.13775537865186904</v>
      </c>
      <c r="J32" s="14">
        <v>0.38753896317983072</v>
      </c>
      <c r="K32" s="14">
        <v>5.4609030461982858E-2</v>
      </c>
      <c r="L32" s="14">
        <v>0.16118192683971608</v>
      </c>
      <c r="M32" s="14"/>
      <c r="N32" s="14">
        <v>0.27909690332556492</v>
      </c>
      <c r="O32" s="14">
        <v>0.26673222778257311</v>
      </c>
      <c r="P32" s="14">
        <v>0.51501405784234433</v>
      </c>
      <c r="Q32" s="14">
        <v>2.440545699977878E-2</v>
      </c>
      <c r="R32" s="14">
        <f t="shared" si="0"/>
        <v>-8.5248645950261048E-2</v>
      </c>
      <c r="S32" s="14"/>
      <c r="T32" s="14">
        <f>SUMPRODUCT(H32:L32,B32:F32)</f>
        <v>-2.6904146669801846E-2</v>
      </c>
      <c r="U32" s="14">
        <f t="shared" si="1"/>
        <v>-2.9663771270803177E-2</v>
      </c>
      <c r="V32" s="14">
        <f>SUMPRODUCT(N32:R32,B32:F32)-T32</f>
        <v>-2.7596246010013308E-3</v>
      </c>
      <c r="W32" s="14"/>
      <c r="X32" s="14">
        <f>SUM(H32:J32)</f>
        <v>0.78420904269830094</v>
      </c>
      <c r="Y32" s="14">
        <f>SUM(K32:L32)</f>
        <v>0.21579095730169895</v>
      </c>
      <c r="Z32" s="14"/>
      <c r="AA32" s="14">
        <f t="shared" si="2"/>
        <v>1.0608431889504824</v>
      </c>
      <c r="AB32" s="14">
        <f t="shared" si="3"/>
        <v>-6.0843188950482269E-2</v>
      </c>
      <c r="AC32" s="14"/>
      <c r="AD32" s="14">
        <f>H32/$X32</f>
        <v>0.33016031028630999</v>
      </c>
      <c r="AE32" s="14">
        <f>I32/$X32</f>
        <v>0.17566155342698078</v>
      </c>
      <c r="AF32" s="14">
        <f>J32/$X32</f>
        <v>0.4941781362867092</v>
      </c>
      <c r="AG32" s="14">
        <f>K32/$Y32</f>
        <v>0.25306449883177246</v>
      </c>
      <c r="AH32" s="14">
        <f>L32/$Y32</f>
        <v>0.74693550116822749</v>
      </c>
      <c r="AI32" s="14"/>
      <c r="AJ32" s="14">
        <f t="shared" si="12"/>
        <v>0.26308968774327729</v>
      </c>
      <c r="AK32" s="14">
        <f t="shared" si="13"/>
        <v>0.25143417100736415</v>
      </c>
      <c r="AL32" s="14">
        <f t="shared" si="14"/>
        <v>0.48547614124935856</v>
      </c>
      <c r="AM32" s="14">
        <f t="shared" si="15"/>
        <v>-0.40112060890893414</v>
      </c>
      <c r="AN32" s="14">
        <f t="shared" si="16"/>
        <v>1.4011206089089341</v>
      </c>
      <c r="AO32" s="14"/>
      <c r="AP32" s="14">
        <f>SUMPRODUCT(AD32:AF32,B32:D32)</f>
        <v>-2.854852884080427E-2</v>
      </c>
      <c r="AQ32" s="14">
        <f>SUMPRODUCT(AG32:AH32,E32:F32)</f>
        <v>-2.0928273610630731E-2</v>
      </c>
      <c r="AR32" s="14"/>
      <c r="AS32" s="14">
        <f>SUMPRODUCT(AJ32:AL32,B32:D32)</f>
        <v>-2.7898339001616639E-2</v>
      </c>
      <c r="AT32" s="14">
        <f>SUMPRODUCT(E32:F32,AM32:AN32)</f>
        <v>1.1177645202310807E-3</v>
      </c>
      <c r="AU32" s="14"/>
      <c r="AV32" s="14">
        <f t="shared" si="4"/>
        <v>-4.5489225798756407E-4</v>
      </c>
      <c r="AW32" s="14">
        <f t="shared" si="5"/>
        <v>-1.6531305418352117E-3</v>
      </c>
      <c r="AX32" s="14"/>
      <c r="AY32" s="14">
        <f t="shared" si="6"/>
        <v>6.8974946242700828E-4</v>
      </c>
      <c r="AZ32" s="14">
        <f t="shared" si="7"/>
        <v>-1.341351263605562E-3</v>
      </c>
      <c r="BA32" s="14"/>
      <c r="BB32" s="14">
        <f t="shared" si="8"/>
        <v>-2.7596246010013299E-3</v>
      </c>
      <c r="BC32" s="14">
        <f t="shared" si="9"/>
        <v>0</v>
      </c>
      <c r="BE32" s="19">
        <f t="shared" si="10"/>
        <v>-2.9404146669801845E-2</v>
      </c>
      <c r="BF32" s="19">
        <f t="shared" si="11"/>
        <v>-3.2163771270803179E-2</v>
      </c>
    </row>
    <row r="33" spans="1:58">
      <c r="A33" s="150">
        <v>45107</v>
      </c>
      <c r="B33" s="14">
        <v>1.17E-2</v>
      </c>
      <c r="C33" s="14">
        <v>-2.9933333333333333E-2</v>
      </c>
      <c r="D33" s="14">
        <v>-7.7333333333333342E-3</v>
      </c>
      <c r="E33" s="14">
        <v>-2.5499999999999998E-2</v>
      </c>
      <c r="F33" s="14">
        <v>-1.6100000000000003E-2</v>
      </c>
      <c r="G33" s="14"/>
      <c r="H33" s="14">
        <v>0.26194913880038728</v>
      </c>
      <c r="I33" s="14">
        <v>0.13363452110367249</v>
      </c>
      <c r="J33" s="14">
        <v>0.38454953490925786</v>
      </c>
      <c r="K33" s="14">
        <v>5.3217543600630329E-2</v>
      </c>
      <c r="L33" s="14">
        <v>0.16664926158605209</v>
      </c>
      <c r="M33" s="14"/>
      <c r="N33" s="14">
        <v>0.27329423598957436</v>
      </c>
      <c r="O33" s="14">
        <v>0.23819280173382609</v>
      </c>
      <c r="P33" s="14">
        <v>0.41367055375472939</v>
      </c>
      <c r="Q33" s="14">
        <v>-1.89108934423627E-2</v>
      </c>
      <c r="R33" s="14">
        <f t="shared" si="0"/>
        <v>9.3753301964232927E-2</v>
      </c>
      <c r="S33" s="14"/>
      <c r="T33" s="14">
        <f>SUMPRODUCT(H33:L33,B33:F33)</f>
        <v>-7.9492719510551729E-3</v>
      </c>
      <c r="U33" s="14">
        <f t="shared" si="1"/>
        <v>-8.1586146320349832E-3</v>
      </c>
      <c r="V33" s="14">
        <f>SUMPRODUCT(N33:R33,B33:F33)-T33</f>
        <v>-2.0934268097981025E-4</v>
      </c>
      <c r="W33" s="14"/>
      <c r="X33" s="14">
        <f>SUM(H33:J33)</f>
        <v>0.78013319481331767</v>
      </c>
      <c r="Y33" s="14">
        <f>SUM(K33:L33)</f>
        <v>0.21986680518668242</v>
      </c>
      <c r="Z33" s="14"/>
      <c r="AA33" s="14">
        <f t="shared" si="2"/>
        <v>0.92515759147812981</v>
      </c>
      <c r="AB33" s="14">
        <f t="shared" si="3"/>
        <v>7.4842408521870227E-2</v>
      </c>
      <c r="AC33" s="14"/>
      <c r="AD33" s="14">
        <f>H33/$X33</f>
        <v>0.33577489144410849</v>
      </c>
      <c r="AE33" s="14">
        <f>I33/$X33</f>
        <v>0.1712970579795039</v>
      </c>
      <c r="AF33" s="14">
        <f>J33/$X33</f>
        <v>0.49292805057638756</v>
      </c>
      <c r="AG33" s="14">
        <f>K33/$Y33</f>
        <v>0.24204446667356122</v>
      </c>
      <c r="AH33" s="14">
        <f>L33/$Y33</f>
        <v>0.75795553332643884</v>
      </c>
      <c r="AI33" s="14"/>
      <c r="AJ33" s="14">
        <f t="shared" si="12"/>
        <v>0.29540290055117047</v>
      </c>
      <c r="AK33" s="14">
        <f t="shared" si="13"/>
        <v>0.2574618680405184</v>
      </c>
      <c r="AL33" s="14">
        <f t="shared" si="14"/>
        <v>0.44713523140831118</v>
      </c>
      <c r="AM33" s="14">
        <f t="shared" si="15"/>
        <v>-0.25267617405493592</v>
      </c>
      <c r="AN33" s="14">
        <f t="shared" si="16"/>
        <v>1.2526761740549359</v>
      </c>
      <c r="AO33" s="14"/>
      <c r="AP33" s="14">
        <f>SUMPRODUCT(AD33:AF33,B33:D33)</f>
        <v>-5.0109026300811446E-3</v>
      </c>
      <c r="AQ33" s="14">
        <f>SUMPRODUCT(AG33:AH33,E33:F33)</f>
        <v>-1.837521798673148E-2</v>
      </c>
      <c r="AR33" s="14"/>
      <c r="AS33" s="14">
        <f>SUMPRODUCT(AJ33:AL33,B33:D33)</f>
        <v>-7.7083237697884296E-3</v>
      </c>
      <c r="AT33" s="14">
        <f>SUMPRODUCT(E33:F33,AM33:AN33)</f>
        <v>-1.3724843963883605E-2</v>
      </c>
      <c r="AU33" s="14"/>
      <c r="AV33" s="14">
        <f t="shared" si="4"/>
        <v>4.2613523795265222E-4</v>
      </c>
      <c r="AW33" s="14">
        <f t="shared" si="5"/>
        <v>1.5120165334838471E-3</v>
      </c>
      <c r="AX33" s="14"/>
      <c r="AY33" s="14">
        <f t="shared" si="6"/>
        <v>-2.4955396448137837E-3</v>
      </c>
      <c r="AZ33" s="14">
        <f t="shared" si="7"/>
        <v>3.4804519239747372E-4</v>
      </c>
      <c r="BA33" s="14"/>
      <c r="BB33" s="14">
        <f t="shared" si="8"/>
        <v>-2.0934268097981074E-4</v>
      </c>
      <c r="BC33" s="14">
        <f t="shared" si="9"/>
        <v>-4.87890977618477E-19</v>
      </c>
      <c r="BE33" s="19">
        <f t="shared" si="10"/>
        <v>-1.0449271951055173E-2</v>
      </c>
      <c r="BF33" s="19">
        <f t="shared" si="11"/>
        <v>-1.0658614632034984E-2</v>
      </c>
    </row>
    <row r="34" spans="1:58">
      <c r="A34" s="150">
        <v>45138</v>
      </c>
      <c r="B34" s="14">
        <v>-6.2199999999999998E-2</v>
      </c>
      <c r="C34" s="14">
        <v>-1.6933333333333335E-2</v>
      </c>
      <c r="D34" s="14">
        <v>-6.9333333333333339E-3</v>
      </c>
      <c r="E34" s="14">
        <v>-7.3000000000000001E-3</v>
      </c>
      <c r="F34" s="14">
        <v>-7.5399999999999995E-2</v>
      </c>
      <c r="G34" s="14"/>
      <c r="H34" s="14">
        <v>0.25217298631798468</v>
      </c>
      <c r="I34" s="14">
        <v>0.1348568435250784</v>
      </c>
      <c r="J34" s="14">
        <v>0.39201442958258731</v>
      </c>
      <c r="K34" s="14">
        <v>5.423057443190385E-2</v>
      </c>
      <c r="L34" s="14">
        <v>0.16672516614244554</v>
      </c>
      <c r="M34" s="14"/>
      <c r="N34" s="14">
        <v>0.27454406967570533</v>
      </c>
      <c r="O34" s="14">
        <v>0.22603259173966969</v>
      </c>
      <c r="P34" s="14">
        <v>0.42119506580576005</v>
      </c>
      <c r="Q34" s="14">
        <v>-0.12292437809558568</v>
      </c>
      <c r="R34" s="14">
        <f t="shared" si="0"/>
        <v>0.20115265087445056</v>
      </c>
      <c r="S34" s="14"/>
      <c r="T34" s="14">
        <f>SUMPRODUCT(H34:L34,B34:F34)</f>
        <v>-3.365366306493587E-2</v>
      </c>
      <c r="U34" s="14">
        <f t="shared" si="1"/>
        <v>-3.809397405937634E-2</v>
      </c>
      <c r="V34" s="14">
        <f>SUMPRODUCT(N34:R34,B34:F34)-T34</f>
        <v>-4.4403109944404703E-3</v>
      </c>
      <c r="W34" s="14"/>
      <c r="X34" s="14">
        <f>SUM(H34:J34)</f>
        <v>0.77904425942565037</v>
      </c>
      <c r="Y34" s="14">
        <f>SUM(K34:L34)</f>
        <v>0.22095574057434939</v>
      </c>
      <c r="Z34" s="14"/>
      <c r="AA34" s="14">
        <f t="shared" si="2"/>
        <v>0.9217717272211351</v>
      </c>
      <c r="AB34" s="14">
        <f t="shared" si="3"/>
        <v>7.8228272778864877E-2</v>
      </c>
      <c r="AC34" s="14"/>
      <c r="AD34" s="14">
        <f>H34/$X34</f>
        <v>0.32369532702018622</v>
      </c>
      <c r="AE34" s="14">
        <f>I34/$X34</f>
        <v>0.17310549675894085</v>
      </c>
      <c r="AF34" s="14">
        <f>J34/$X34</f>
        <v>0.50319917622087296</v>
      </c>
      <c r="AG34" s="14">
        <f>K34/$Y34</f>
        <v>0.24543636789402992</v>
      </c>
      <c r="AH34" s="14">
        <f>L34/$Y34</f>
        <v>0.75456363210597011</v>
      </c>
      <c r="AI34" s="14"/>
      <c r="AJ34" s="14">
        <f t="shared" si="12"/>
        <v>0.29784388213269813</v>
      </c>
      <c r="AK34" s="14">
        <f t="shared" si="13"/>
        <v>0.24521536630450802</v>
      </c>
      <c r="AL34" s="14">
        <f t="shared" si="14"/>
        <v>0.45694075156279385</v>
      </c>
      <c r="AM34" s="14">
        <f t="shared" si="15"/>
        <v>-1.5713548788564902</v>
      </c>
      <c r="AN34" s="14">
        <f t="shared" si="16"/>
        <v>2.5713548788564902</v>
      </c>
      <c r="AO34" s="14"/>
      <c r="AP34" s="14">
        <f>SUMPRODUCT(AD34:AF34,B34:D34)</f>
        <v>-2.6553950040905036E-2</v>
      </c>
      <c r="AQ34" s="14">
        <f>SUMPRODUCT(AG34:AH34,E34:F34)</f>
        <v>-5.868578334641656E-2</v>
      </c>
      <c r="AR34" s="14"/>
      <c r="AS34" s="14">
        <f>SUMPRODUCT(AJ34:AL34,B34:D34)</f>
        <v>-2.58463255489122E-2</v>
      </c>
      <c r="AT34" s="14">
        <f>SUMPRODUCT(E34:F34,AM34:AN34)</f>
        <v>-0.18240926725012696</v>
      </c>
      <c r="AU34" s="14"/>
      <c r="AV34" s="14">
        <f t="shared" si="4"/>
        <v>1.0133240619945444E-3</v>
      </c>
      <c r="AW34" s="14">
        <f t="shared" si="5"/>
        <v>3.5727711413277301E-3</v>
      </c>
      <c r="AX34" s="14"/>
      <c r="AY34" s="14">
        <f t="shared" si="6"/>
        <v>6.5226825020821451E-4</v>
      </c>
      <c r="AZ34" s="14">
        <f t="shared" si="7"/>
        <v>-9.6786744479709554E-3</v>
      </c>
      <c r="BA34" s="14"/>
      <c r="BB34" s="14">
        <f t="shared" si="8"/>
        <v>-4.4403109944404669E-3</v>
      </c>
      <c r="BC34" s="14">
        <f t="shared" si="9"/>
        <v>0</v>
      </c>
      <c r="BE34" s="19">
        <f t="shared" si="10"/>
        <v>-3.6153663064935872E-2</v>
      </c>
      <c r="BF34" s="19">
        <f t="shared" si="11"/>
        <v>-4.0593974059376342E-2</v>
      </c>
    </row>
    <row r="35" spans="1:58">
      <c r="A35" s="150">
        <v>45169</v>
      </c>
      <c r="B35" s="14">
        <v>-1.3899999999999999E-2</v>
      </c>
      <c r="C35" s="14">
        <v>2.7566666666666666E-2</v>
      </c>
      <c r="D35" s="14">
        <v>6.7266666666666669E-2</v>
      </c>
      <c r="E35" s="14">
        <v>5.4399999999999997E-2</v>
      </c>
      <c r="F35" s="14">
        <v>-0.1124</v>
      </c>
      <c r="G35" s="14"/>
      <c r="H35" s="14">
        <v>0.24400045665199366</v>
      </c>
      <c r="I35" s="14">
        <v>0.13597344998176322</v>
      </c>
      <c r="J35" s="14">
        <v>0.41053115163828241</v>
      </c>
      <c r="K35" s="14">
        <v>5.6107474496297965E-2</v>
      </c>
      <c r="L35" s="14">
        <v>0.15338746723166274</v>
      </c>
      <c r="M35" s="14"/>
      <c r="N35" s="14">
        <v>0.26650705472027847</v>
      </c>
      <c r="O35" s="14">
        <v>0.27082759029952924</v>
      </c>
      <c r="P35" s="14">
        <v>0.52279522026205427</v>
      </c>
      <c r="Q35" s="14">
        <v>6.5274697748916866E-4</v>
      </c>
      <c r="R35" s="14">
        <f t="shared" si="0"/>
        <v>-6.078261225935111E-2</v>
      </c>
      <c r="S35" s="14"/>
      <c r="T35" s="14">
        <f>SUMPRODUCT(H35:L35,B35:F35)</f>
        <v>1.3783285852996072E-2</v>
      </c>
      <c r="U35" s="14">
        <f t="shared" si="1"/>
        <v>4.5795532715132481E-2</v>
      </c>
      <c r="V35" s="14">
        <f>SUMPRODUCT(N35:R35,B35:F35)-T35</f>
        <v>3.2012246862136412E-2</v>
      </c>
      <c r="W35" s="14"/>
      <c r="X35" s="14">
        <f>SUM(H35:J35)</f>
        <v>0.79050505827203921</v>
      </c>
      <c r="Y35" s="14">
        <f>SUM(K35:L35)</f>
        <v>0.20949494172796071</v>
      </c>
      <c r="Z35" s="14"/>
      <c r="AA35" s="14">
        <f t="shared" si="2"/>
        <v>1.060129865281862</v>
      </c>
      <c r="AB35" s="14">
        <f t="shared" si="3"/>
        <v>-6.0129865281861941E-2</v>
      </c>
      <c r="AC35" s="14"/>
      <c r="AD35" s="14">
        <f>H35/$X35</f>
        <v>0.30866400423212087</v>
      </c>
      <c r="AE35" s="14">
        <f>I35/$X35</f>
        <v>0.1720083237405044</v>
      </c>
      <c r="AF35" s="14">
        <f>J35/$X35</f>
        <v>0.51932767202737484</v>
      </c>
      <c r="AG35" s="14">
        <f>K35/$Y35</f>
        <v>0.26782257382212227</v>
      </c>
      <c r="AH35" s="14">
        <f>L35/$Y35</f>
        <v>0.73217742617787773</v>
      </c>
      <c r="AI35" s="14"/>
      <c r="AJ35" s="14">
        <f t="shared" si="12"/>
        <v>0.25139095072038264</v>
      </c>
      <c r="AK35" s="14">
        <f t="shared" si="13"/>
        <v>0.25546642837717148</v>
      </c>
      <c r="AL35" s="14">
        <f t="shared" si="14"/>
        <v>0.49314262090244582</v>
      </c>
      <c r="AM35" s="14">
        <f t="shared" si="15"/>
        <v>-1.0855620155298578E-2</v>
      </c>
      <c r="AN35" s="14">
        <f t="shared" si="16"/>
        <v>1.0108556201552985</v>
      </c>
      <c r="AO35" s="14"/>
      <c r="AP35" s="14">
        <f>SUMPRODUCT(AD35:AF35,B35:D35)</f>
        <v>3.5384707870661503E-2</v>
      </c>
      <c r="AQ35" s="14">
        <f>SUMPRODUCT(AG35:AH35,E35:F35)</f>
        <v>-6.772719468647001E-2</v>
      </c>
      <c r="AR35" s="14"/>
      <c r="AS35" s="14">
        <f>SUMPRODUCT(AJ35:AL35,B35:D35)</f>
        <v>3.6720083959955234E-2</v>
      </c>
      <c r="AT35" s="14">
        <f>SUMPRODUCT(E35:F35,AM35:AN35)</f>
        <v>-0.11421071744190379</v>
      </c>
      <c r="AU35" s="14"/>
      <c r="AV35" s="14">
        <f t="shared" si="4"/>
        <v>5.8242792426507796E-3</v>
      </c>
      <c r="AW35" s="14">
        <f t="shared" si="5"/>
        <v>2.1977247584731449E-2</v>
      </c>
      <c r="AX35" s="14"/>
      <c r="AY35" s="14">
        <f t="shared" si="6"/>
        <v>1.4156720736435832E-3</v>
      </c>
      <c r="AZ35" s="14">
        <f t="shared" si="7"/>
        <v>2.7950479611105975E-3</v>
      </c>
      <c r="BA35" s="14"/>
      <c r="BB35" s="14">
        <f t="shared" si="8"/>
        <v>3.2012246862136412E-2</v>
      </c>
      <c r="BC35" s="14">
        <f t="shared" si="9"/>
        <v>0</v>
      </c>
      <c r="BE35" s="19">
        <f t="shared" si="10"/>
        <v>1.1283285852996072E-2</v>
      </c>
      <c r="BF35" s="19">
        <f t="shared" si="11"/>
        <v>4.3295532715132479E-2</v>
      </c>
    </row>
    <row r="36" spans="1:58">
      <c r="A36" s="150">
        <v>45199</v>
      </c>
      <c r="B36" s="14">
        <v>-5.8999999999999999E-3</v>
      </c>
      <c r="C36" s="14">
        <v>-1.3333333333333336E-2</v>
      </c>
      <c r="D36" s="14">
        <v>9.1866666666666666E-2</v>
      </c>
      <c r="E36" s="14">
        <v>7.9500000000000001E-2</v>
      </c>
      <c r="F36" s="14">
        <v>-0.1142</v>
      </c>
      <c r="G36" s="14"/>
      <c r="H36" s="14">
        <v>0.23570774204339934</v>
      </c>
      <c r="I36" s="14">
        <v>0.13037001268797899</v>
      </c>
      <c r="J36" s="14">
        <v>0.43558093208595922</v>
      </c>
      <c r="K36" s="14">
        <v>5.8856780470960289E-2</v>
      </c>
      <c r="L36" s="14">
        <v>0.13948453271170214</v>
      </c>
      <c r="M36" s="14"/>
      <c r="N36" s="14">
        <v>0.22946453046761556</v>
      </c>
      <c r="O36" s="14">
        <v>0.18672007190330764</v>
      </c>
      <c r="P36" s="14">
        <v>0.53359644743914059</v>
      </c>
      <c r="Q36" s="14">
        <v>-6.0607558881019728E-2</v>
      </c>
      <c r="R36" s="14">
        <f t="shared" si="0"/>
        <v>0.11082650907095593</v>
      </c>
      <c r="S36" s="14"/>
      <c r="T36" s="14">
        <f>SUMPRODUCT(H36:L36,B36:F36)</f>
        <v>2.5636406192165964E-2</v>
      </c>
      <c r="U36" s="14">
        <f t="shared" si="1"/>
        <v>2.7701597015995116E-2</v>
      </c>
      <c r="V36" s="14">
        <f>SUMPRODUCT(N36:R36,B36:F36)-T36</f>
        <v>2.0651908238291522E-3</v>
      </c>
      <c r="W36" s="14"/>
      <c r="X36" s="14">
        <f>SUM(H36:J36)</f>
        <v>0.80165868681733754</v>
      </c>
      <c r="Y36" s="14">
        <f>SUM(K36:L36)</f>
        <v>0.19834131318266243</v>
      </c>
      <c r="Z36" s="14"/>
      <c r="AA36" s="14">
        <f t="shared" si="2"/>
        <v>0.94978104981006384</v>
      </c>
      <c r="AB36" s="14"/>
      <c r="AC36" s="14"/>
      <c r="AD36" s="14">
        <f>H36/$X36</f>
        <v>0.29402505819425701</v>
      </c>
      <c r="AE36" s="14">
        <f>I36/$X36</f>
        <v>0.16262533523532383</v>
      </c>
      <c r="AF36" s="14">
        <f>J36/$X36</f>
        <v>0.5433496065704192</v>
      </c>
      <c r="AG36" s="14">
        <f>K36/$Y36</f>
        <v>0.29674493692978698</v>
      </c>
      <c r="AH36" s="14">
        <f>L36/$Y36</f>
        <v>0.70325506307021302</v>
      </c>
      <c r="AI36" s="14"/>
      <c r="AJ36" s="14">
        <f t="shared" si="12"/>
        <v>0.24159729288503243</v>
      </c>
      <c r="AK36" s="14">
        <f t="shared" si="13"/>
        <v>0.19659275360426248</v>
      </c>
      <c r="AL36" s="14">
        <f t="shared" si="14"/>
        <v>0.56180995351070506</v>
      </c>
      <c r="AM36" s="14" t="e">
        <f t="shared" si="15"/>
        <v>#DIV/0!</v>
      </c>
      <c r="AN36" s="14" t="e">
        <f t="shared" si="16"/>
        <v>#DIV/0!</v>
      </c>
      <c r="AO36" s="14"/>
      <c r="AP36" s="14">
        <f>SUMPRODUCT(AD36:AF36,B36:D36)</f>
        <v>4.6012631543785404E-2</v>
      </c>
      <c r="AQ36" s="14">
        <f>SUMPRODUCT(AG36:AH36,E36:F36)</f>
        <v>-5.6720505716700259E-2</v>
      </c>
      <c r="AR36" s="14"/>
      <c r="AS36" s="14">
        <f>SUMPRODUCT(AJ36:AL36,B36:D36)</f>
        <v>4.7564946986438247E-2</v>
      </c>
      <c r="AT36" s="14" t="e">
        <f>SUMPRODUCT(E36:F36,AM36:AN36)</f>
        <v>#DIV/0!</v>
      </c>
      <c r="AU36" s="14"/>
      <c r="AV36" s="14">
        <f t="shared" si="4"/>
        <v>3.0181746479541667E-3</v>
      </c>
      <c r="AW36" s="14">
        <f t="shared" si="5"/>
        <v>1.6334778057673378E-2</v>
      </c>
      <c r="AX36" s="14"/>
      <c r="AY36" s="14">
        <f t="shared" si="6"/>
        <v>1.4743597907591916E-3</v>
      </c>
      <c r="AZ36" s="14" t="e">
        <f t="shared" si="7"/>
        <v>#DIV/0!</v>
      </c>
      <c r="BA36" s="14"/>
      <c r="BB36" s="14" t="e">
        <f t="shared" si="8"/>
        <v>#DIV/0!</v>
      </c>
      <c r="BC36" s="14" t="e">
        <f t="shared" si="9"/>
        <v>#DIV/0!</v>
      </c>
      <c r="BE36" s="19">
        <f t="shared" si="10"/>
        <v>2.3136406192165965E-2</v>
      </c>
      <c r="BF36" s="19">
        <f t="shared" si="11"/>
        <v>2.5201597015995118E-2</v>
      </c>
    </row>
    <row r="37" spans="1:58">
      <c r="A37" s="150">
        <v>45230</v>
      </c>
      <c r="B37" s="14">
        <v>-4.3E-3</v>
      </c>
      <c r="C37" s="14">
        <v>4.7066666666666666E-2</v>
      </c>
      <c r="D37" s="14">
        <v>8.6566666666666667E-2</v>
      </c>
      <c r="E37" s="14">
        <v>7.9399999999999998E-2</v>
      </c>
      <c r="F37" s="14">
        <v>-0.12540000000000001</v>
      </c>
      <c r="G37" s="14"/>
      <c r="H37" s="14">
        <v>0.22632352744638687</v>
      </c>
      <c r="I37" s="14">
        <v>0.1316374286888661</v>
      </c>
      <c r="J37" s="14">
        <v>0.45640730441027416</v>
      </c>
      <c r="K37" s="14">
        <v>6.1264129134291662E-2</v>
      </c>
      <c r="L37" s="14">
        <v>0.12436761032018123</v>
      </c>
      <c r="M37" s="14"/>
      <c r="N37" s="14">
        <v>0.25641112765182972</v>
      </c>
      <c r="O37" s="14">
        <v>0.22738966329330859</v>
      </c>
      <c r="P37" s="14">
        <v>0.47171878307770099</v>
      </c>
      <c r="Q37" s="14">
        <v>-8.6172307177147661E-3</v>
      </c>
      <c r="R37" s="14">
        <f t="shared" si="0"/>
        <v>5.3097656694875539E-2</v>
      </c>
      <c r="S37" s="14"/>
      <c r="T37" s="14">
        <f>SUMPRODUCT(H37:L37,B37:F37)</f>
        <v>3.4000876313164605E-2</v>
      </c>
      <c r="U37" s="14">
        <f t="shared" si="1"/>
        <v>4.3092374023337883E-2</v>
      </c>
      <c r="V37" s="14">
        <f>SUMPRODUCT(N37:R37,B37:F37)-T37</f>
        <v>9.0914977101732783E-3</v>
      </c>
      <c r="W37" s="14"/>
      <c r="X37" s="14">
        <f>SUM(H37:J37)</f>
        <v>0.81436826054552713</v>
      </c>
      <c r="Y37" s="14">
        <f>SUM(K37:L37)</f>
        <v>0.18563173945447289</v>
      </c>
      <c r="Z37" s="14"/>
      <c r="AA37" s="14">
        <f t="shared" si="2"/>
        <v>0.95551957402283927</v>
      </c>
      <c r="AB37" s="14">
        <f t="shared" si="3"/>
        <v>4.4480425977160773E-2</v>
      </c>
      <c r="AC37" s="14"/>
      <c r="AD37" s="14">
        <f>H37/$X37</f>
        <v>0.27791300129351526</v>
      </c>
      <c r="AE37" s="14">
        <f>I37/$X37</f>
        <v>0.16164361391084314</v>
      </c>
      <c r="AF37" s="14">
        <f>J37/$X37</f>
        <v>0.5604433847956416</v>
      </c>
      <c r="AG37" s="14">
        <f>K37/$Y37</f>
        <v>0.33003046415624948</v>
      </c>
      <c r="AH37" s="14">
        <f>L37/$Y37</f>
        <v>0.66996953584375052</v>
      </c>
      <c r="AI37" s="14"/>
      <c r="AJ37" s="14">
        <f t="shared" si="12"/>
        <v>0.26834733125592763</v>
      </c>
      <c r="AK37" s="14">
        <f t="shared" si="13"/>
        <v>0.23797488766867839</v>
      </c>
      <c r="AL37" s="14">
        <f t="shared" si="14"/>
        <v>0.49367778107539401</v>
      </c>
      <c r="AM37" s="14">
        <f t="shared" si="15"/>
        <v>-0.1937308496582166</v>
      </c>
      <c r="AN37" s="14">
        <f t="shared" si="16"/>
        <v>1.1937308496582166</v>
      </c>
      <c r="AO37" s="14"/>
      <c r="AP37" s="14">
        <f>SUMPRODUCT(AD37:AF37,B37:D37)</f>
        <v>5.4928715866317611E-2</v>
      </c>
      <c r="AQ37" s="14">
        <f>SUMPRODUCT(AG37:AH37,E37:F37)</f>
        <v>-5.780976094080012E-2</v>
      </c>
      <c r="AR37" s="14"/>
      <c r="AS37" s="14">
        <f>SUMPRODUCT(AJ37:AL37,B37:D37)</f>
        <v>5.2782831103631911E-2</v>
      </c>
      <c r="AT37" s="14">
        <f>SUMPRODUCT(E37:F37,AM37:AN37)</f>
        <v>-0.16507607801000279</v>
      </c>
      <c r="AU37" s="14"/>
      <c r="AV37" s="14">
        <f t="shared" si="4"/>
        <v>2.9539920411699918E-3</v>
      </c>
      <c r="AW37" s="14">
        <f t="shared" si="5"/>
        <v>1.2959192039586167E-2</v>
      </c>
      <c r="AX37" s="14"/>
      <c r="AY37" s="14">
        <f t="shared" si="6"/>
        <v>-2.0504348943435418E-3</v>
      </c>
      <c r="AZ37" s="14">
        <f t="shared" si="7"/>
        <v>-4.7712514762393264E-3</v>
      </c>
      <c r="BA37" s="14"/>
      <c r="BB37" s="14">
        <f t="shared" si="8"/>
        <v>9.0914977101732904E-3</v>
      </c>
      <c r="BC37" s="14">
        <f t="shared" si="9"/>
        <v>0</v>
      </c>
      <c r="BE37" s="19">
        <f t="shared" si="10"/>
        <v>3.1500876313164602E-2</v>
      </c>
      <c r="BF37" s="19">
        <f t="shared" si="11"/>
        <v>4.0592374023337881E-2</v>
      </c>
    </row>
    <row r="38" spans="1:58">
      <c r="A38" s="150">
        <v>45260</v>
      </c>
      <c r="B38" s="14">
        <v>7.9000000000000008E-3</v>
      </c>
      <c r="C38" s="14">
        <v>-2.5033333333333335E-2</v>
      </c>
      <c r="D38" s="14">
        <v>-1.7433333333333335E-2</v>
      </c>
      <c r="E38" s="14">
        <v>-5.1700000000000003E-2</v>
      </c>
      <c r="F38" s="14">
        <v>-1.6300000000000002E-2</v>
      </c>
      <c r="G38" s="14"/>
      <c r="H38" s="14">
        <v>0.23005318637144964</v>
      </c>
      <c r="I38" s="14">
        <v>0.12943456324609132</v>
      </c>
      <c r="J38" s="14">
        <v>0.45226785088314397</v>
      </c>
      <c r="K38" s="14">
        <v>5.8591298008366571E-2</v>
      </c>
      <c r="L38" s="14">
        <v>0.12965310149094855</v>
      </c>
      <c r="M38" s="14"/>
      <c r="N38" s="14">
        <v>0.25493770381225483</v>
      </c>
      <c r="O38" s="14">
        <v>0.27652950180554903</v>
      </c>
      <c r="P38" s="14">
        <v>0.57540110878886375</v>
      </c>
      <c r="Q38" s="14">
        <v>3.5083264489074589E-3</v>
      </c>
      <c r="R38" s="14">
        <f t="shared" si="0"/>
        <v>-0.11037664085557508</v>
      </c>
      <c r="S38" s="14"/>
      <c r="T38" s="14">
        <f>SUMPRODUCT(H38:L38,B38:F38)</f>
        <v>-1.4449810255990524E-2</v>
      </c>
      <c r="U38" s="14">
        <f t="shared" si="1"/>
        <v>-1.3321847896430598E-2</v>
      </c>
      <c r="V38" s="14">
        <f>SUMPRODUCT(N38:R38,B38:F38)-T38</f>
        <v>1.1279623595599267E-3</v>
      </c>
      <c r="W38" s="14"/>
      <c r="X38" s="14">
        <f>SUM(H38:J38)</f>
        <v>0.81175560050068496</v>
      </c>
      <c r="Y38" s="14">
        <f>SUM(K38:L38)</f>
        <v>0.18824439949931512</v>
      </c>
      <c r="Z38" s="14"/>
      <c r="AA38" s="14">
        <f t="shared" si="2"/>
        <v>1.1068683144066676</v>
      </c>
      <c r="AB38" s="14">
        <f t="shared" si="3"/>
        <v>-0.10686831440666762</v>
      </c>
      <c r="AC38" s="14"/>
      <c r="AD38" s="14">
        <f>H38/$X38</f>
        <v>0.2834020316331104</v>
      </c>
      <c r="AE38" s="14">
        <f>I38/$X38</f>
        <v>0.15945016352983216</v>
      </c>
      <c r="AF38" s="14">
        <f>J38/$X38</f>
        <v>0.55714780483705739</v>
      </c>
      <c r="AG38" s="14">
        <f>K38/$Y38</f>
        <v>0.31125121471982886</v>
      </c>
      <c r="AH38" s="14">
        <f>L38/$Y38</f>
        <v>0.68874878528017114</v>
      </c>
      <c r="AI38" s="14"/>
      <c r="AJ38" s="14">
        <f t="shared" si="12"/>
        <v>0.23032342736173922</v>
      </c>
      <c r="AK38" s="14">
        <f t="shared" si="13"/>
        <v>0.24983053377382258</v>
      </c>
      <c r="AL38" s="14">
        <f t="shared" si="14"/>
        <v>0.51984603886443825</v>
      </c>
      <c r="AM38" s="14">
        <f t="shared" si="15"/>
        <v>-3.2828499900888965E-2</v>
      </c>
      <c r="AN38" s="14">
        <f t="shared" si="16"/>
        <v>1.032828499900889</v>
      </c>
      <c r="AO38" s="14"/>
      <c r="AP38" s="14">
        <f>SUMPRODUCT(AD38:AF38,B38:D38)</f>
        <v>-1.1465636441454595E-2</v>
      </c>
      <c r="AQ38" s="14">
        <f>SUMPRODUCT(AG38:AH38,E38:F38)</f>
        <v>-2.7318293001081944E-2</v>
      </c>
      <c r="AR38" s="14"/>
      <c r="AS38" s="14">
        <f>SUMPRODUCT(AJ38:AL38,B38:D38)</f>
        <v>-1.3497185230183659E-2</v>
      </c>
      <c r="AT38" s="14">
        <f>SUMPRODUCT(E38:F38,AM38:AN38)</f>
        <v>-1.5137871103508534E-2</v>
      </c>
      <c r="AU38" s="14"/>
      <c r="AV38" s="14">
        <f t="shared" si="4"/>
        <v>8.8066763317486661E-4</v>
      </c>
      <c r="AW38" s="14">
        <f t="shared" si="5"/>
        <v>3.7976528667562396E-3</v>
      </c>
      <c r="AX38" s="14"/>
      <c r="AY38" s="14">
        <f t="shared" si="6"/>
        <v>-2.2486569834154462E-3</v>
      </c>
      <c r="AZ38" s="14">
        <f t="shared" si="7"/>
        <v>-1.3017011569557342E-3</v>
      </c>
      <c r="BA38" s="14"/>
      <c r="BB38" s="14">
        <f t="shared" si="8"/>
        <v>1.1279623595599263E-3</v>
      </c>
      <c r="BC38" s="14">
        <f t="shared" si="9"/>
        <v>0</v>
      </c>
      <c r="BE38" s="19">
        <f t="shared" si="10"/>
        <v>-1.6949810255990523E-2</v>
      </c>
      <c r="BF38" s="19">
        <f t="shared" si="11"/>
        <v>-1.5821847896430596E-2</v>
      </c>
    </row>
    <row r="39" spans="1:58">
      <c r="A39" s="150">
        <v>45291</v>
      </c>
      <c r="B39" s="14">
        <v>-5.5300000000000002E-2</v>
      </c>
      <c r="C39" s="14">
        <v>-5.4333333333333326E-3</v>
      </c>
      <c r="D39" s="14">
        <v>3.6666666666666666E-3</v>
      </c>
      <c r="E39" s="14">
        <v>-3.8999999999999998E-3</v>
      </c>
      <c r="F39" s="14">
        <v>-8.5499999999999993E-2</v>
      </c>
      <c r="G39" s="14"/>
      <c r="H39" s="14">
        <v>0.2209994106307078</v>
      </c>
      <c r="I39" s="14">
        <v>0.1309040578883903</v>
      </c>
      <c r="J39" s="14">
        <v>0.46158763390871416</v>
      </c>
      <c r="K39" s="14">
        <v>5.934785222925211E-2</v>
      </c>
      <c r="L39" s="14">
        <v>0.12716104534293554</v>
      </c>
      <c r="M39" s="14"/>
      <c r="N39" s="14">
        <v>0.27468789812507216</v>
      </c>
      <c r="O39" s="14">
        <v>0.16267334022310728</v>
      </c>
      <c r="P39" s="14">
        <v>0.47994614720075579</v>
      </c>
      <c r="Q39" s="14">
        <v>-8.1321469781401465E-2</v>
      </c>
      <c r="R39" s="14">
        <f t="shared" si="0"/>
        <v>0.16401408423246622</v>
      </c>
      <c r="S39" s="14"/>
      <c r="T39" s="14">
        <f>SUMPRODUCT(H39:L39,B39:F39)</f>
        <v>-2.2343750798588181E-2</v>
      </c>
      <c r="U39" s="14">
        <f t="shared" si="1"/>
        <v>-2.8020347178187667E-2</v>
      </c>
      <c r="V39" s="14">
        <f>SUMPRODUCT(N39:R39,B39:F39)-T39</f>
        <v>-5.6765963795994863E-3</v>
      </c>
      <c r="W39" s="14"/>
      <c r="X39" s="14">
        <f>SUM(H39:J39)</f>
        <v>0.8134911024278122</v>
      </c>
      <c r="Y39" s="14">
        <f>SUM(K39:L39)</f>
        <v>0.18650889757218764</v>
      </c>
      <c r="Z39" s="14"/>
      <c r="AA39" s="14">
        <f t="shared" si="2"/>
        <v>0.91730738554893521</v>
      </c>
      <c r="AB39" s="14">
        <f t="shared" si="3"/>
        <v>8.2692614451064753E-2</v>
      </c>
      <c r="AC39" s="14"/>
      <c r="AD39" s="14">
        <f>H39/$X39</f>
        <v>0.27166788913996626</v>
      </c>
      <c r="AE39" s="14">
        <f>I39/$X39</f>
        <v>0.16091639785329612</v>
      </c>
      <c r="AF39" s="14">
        <f>J39/$X39</f>
        <v>0.56741571300673777</v>
      </c>
      <c r="AG39" s="14">
        <f>K39/$Y39</f>
        <v>0.31820386588410199</v>
      </c>
      <c r="AH39" s="14">
        <f>L39/$Y39</f>
        <v>0.68179613411589812</v>
      </c>
      <c r="AI39" s="14"/>
      <c r="AJ39" s="14">
        <f t="shared" si="12"/>
        <v>0.2994502196891104</v>
      </c>
      <c r="AK39" s="14">
        <f t="shared" si="13"/>
        <v>0.1773378725450469</v>
      </c>
      <c r="AL39" s="14">
        <f t="shared" si="14"/>
        <v>0.5232119077658427</v>
      </c>
      <c r="AM39" s="14">
        <f t="shared" si="15"/>
        <v>-0.98341877713305714</v>
      </c>
      <c r="AN39" s="14">
        <f t="shared" si="16"/>
        <v>1.9834187771330571</v>
      </c>
      <c r="AO39" s="14"/>
      <c r="AP39" s="14">
        <f>SUMPRODUCT(AD39:AF39,B39:D39)</f>
        <v>-1.3817022416751671E-2</v>
      </c>
      <c r="AQ39" s="14">
        <f>SUMPRODUCT(AG39:AH39,E39:F39)</f>
        <v>-5.9534564543857284E-2</v>
      </c>
      <c r="AR39" s="14"/>
      <c r="AS39" s="14">
        <f>SUMPRODUCT(AJ39:AL39,B39:D39)</f>
        <v>-1.5604689261161136E-2</v>
      </c>
      <c r="AT39" s="14">
        <f>SUMPRODUCT(E39:F39,AM39:AN39)</f>
        <v>-0.16574697221405746</v>
      </c>
      <c r="AU39" s="14"/>
      <c r="AV39" s="14">
        <f t="shared" si="4"/>
        <v>8.8521324778565412E-4</v>
      </c>
      <c r="AW39" s="14">
        <f t="shared" si="5"/>
        <v>3.8610120492838054E-3</v>
      </c>
      <c r="AX39" s="14"/>
      <c r="AY39" s="14">
        <f t="shared" si="6"/>
        <v>-1.6398399992777609E-3</v>
      </c>
      <c r="AZ39" s="14">
        <f t="shared" si="7"/>
        <v>-8.7829816773911766E-3</v>
      </c>
      <c r="BA39" s="14"/>
      <c r="BB39" s="14">
        <f t="shared" si="8"/>
        <v>-5.6765963795994785E-3</v>
      </c>
      <c r="BC39" s="14">
        <f t="shared" si="9"/>
        <v>7.8062556418956319E-18</v>
      </c>
      <c r="BE39" s="19">
        <f t="shared" si="10"/>
        <v>-2.4843750798588179E-2</v>
      </c>
      <c r="BF39" s="19">
        <f t="shared" si="11"/>
        <v>-3.0520347178187666E-2</v>
      </c>
    </row>
    <row r="40" spans="1:58">
      <c r="A40" s="150">
        <v>45322</v>
      </c>
      <c r="B40" s="14">
        <v>6.9000000000000006E-2</v>
      </c>
      <c r="C40" s="14">
        <v>-8.2333333333333321E-3</v>
      </c>
      <c r="D40" s="14">
        <v>5.0666666666666665E-2</v>
      </c>
      <c r="E40" s="14">
        <v>1.46E-2</v>
      </c>
      <c r="F40" s="14">
        <v>-2.7400000000000004E-2</v>
      </c>
      <c r="G40" s="14"/>
      <c r="H40" s="14">
        <v>0.22687859969308055</v>
      </c>
      <c r="I40" s="14">
        <v>0.12467728295447159</v>
      </c>
      <c r="J40" s="14">
        <v>0.46574031419433537</v>
      </c>
      <c r="K40" s="14">
        <v>5.7826189749873275E-2</v>
      </c>
      <c r="L40" s="14">
        <v>0.12487761340823927</v>
      </c>
      <c r="M40" s="14"/>
      <c r="N40" s="14">
        <v>0.22929159489089079</v>
      </c>
      <c r="O40" s="14">
        <v>0.27565833321303218</v>
      </c>
      <c r="P40" s="14">
        <v>0.53283692051445486</v>
      </c>
      <c r="Q40" s="14">
        <v>7.1136253425617732E-2</v>
      </c>
      <c r="R40" s="14">
        <f t="shared" si="0"/>
        <v>-0.10892310204399558</v>
      </c>
      <c r="S40" s="14"/>
      <c r="T40" s="14">
        <f>SUMPRODUCT(H40:L40,B40:F40)</f>
        <v>3.5648238764639462E-2</v>
      </c>
      <c r="U40" s="14">
        <f t="shared" si="1"/>
        <v>4.4571686039436044E-2</v>
      </c>
      <c r="V40" s="14">
        <f>SUMPRODUCT(N40:R40,B40:F40)-T40</f>
        <v>8.9234472747965823E-3</v>
      </c>
      <c r="W40" s="14"/>
      <c r="X40" s="14">
        <f>SUM(H40:J40)</f>
        <v>0.81729619684188748</v>
      </c>
      <c r="Y40" s="14">
        <f>SUM(K40:L40)</f>
        <v>0.18270380315811255</v>
      </c>
      <c r="Z40" s="14"/>
      <c r="AA40" s="14">
        <f t="shared" si="2"/>
        <v>1.0377868486183779</v>
      </c>
      <c r="AB40" s="14">
        <f t="shared" si="3"/>
        <v>-3.7786848618377847E-2</v>
      </c>
      <c r="AC40" s="14"/>
      <c r="AD40" s="14">
        <f>H40/$X40</f>
        <v>0.27759654403111339</v>
      </c>
      <c r="AE40" s="14">
        <f>I40/$X40</f>
        <v>0.15254846827409305</v>
      </c>
      <c r="AF40" s="14">
        <f>J40/$X40</f>
        <v>0.56985498769479359</v>
      </c>
      <c r="AG40" s="14">
        <f>K40/$Y40</f>
        <v>0.31650238665163566</v>
      </c>
      <c r="AH40" s="14">
        <f>L40/$Y40</f>
        <v>0.68349761334836434</v>
      </c>
      <c r="AI40" s="14"/>
      <c r="AJ40" s="14">
        <f t="shared" si="12"/>
        <v>0.22094286046903594</v>
      </c>
      <c r="AK40" s="14">
        <f t="shared" si="13"/>
        <v>0.26562133985415259</v>
      </c>
      <c r="AL40" s="14">
        <f t="shared" si="14"/>
        <v>0.51343579967681141</v>
      </c>
      <c r="AM40" s="14">
        <f t="shared" si="15"/>
        <v>-1.882566449085151</v>
      </c>
      <c r="AN40" s="14">
        <f t="shared" si="16"/>
        <v>2.882566449085151</v>
      </c>
      <c r="AO40" s="14"/>
      <c r="AP40" s="14">
        <f>SUMPRODUCT(AD40:AF40,B40:D40)</f>
        <v>4.6770831859226328E-2</v>
      </c>
      <c r="AQ40" s="14">
        <f>SUMPRODUCT(AG40:AH40,E40:F40)</f>
        <v>-1.4106899760631304E-2</v>
      </c>
      <c r="AR40" s="14"/>
      <c r="AS40" s="14">
        <f>SUMPRODUCT(AJ40:AL40,B40:D40)</f>
        <v>3.9072188857856072E-2</v>
      </c>
      <c r="AT40" s="14">
        <f>SUMPRODUCT(E40:F40,AM40:AN40)</f>
        <v>-0.10646779086157636</v>
      </c>
      <c r="AU40" s="14"/>
      <c r="AV40" s="14">
        <f t="shared" si="4"/>
        <v>2.4524278008701494E-3</v>
      </c>
      <c r="AW40" s="14">
        <f t="shared" si="5"/>
        <v>1.0970542922666518E-2</v>
      </c>
      <c r="AX40" s="14"/>
      <c r="AY40" s="14">
        <f t="shared" si="6"/>
        <v>-7.9895504590299683E-3</v>
      </c>
      <c r="AZ40" s="14">
        <f t="shared" si="7"/>
        <v>3.4900270102898923E-3</v>
      </c>
      <c r="BA40" s="14"/>
      <c r="BB40" s="14">
        <f t="shared" si="8"/>
        <v>8.923447274796591E-3</v>
      </c>
      <c r="BC40" s="14">
        <f t="shared" si="9"/>
        <v>0</v>
      </c>
      <c r="BE40" s="19">
        <f t="shared" si="10"/>
        <v>3.3148238764639459E-2</v>
      </c>
      <c r="BF40" s="19">
        <f t="shared" si="11"/>
        <v>4.2071686039436042E-2</v>
      </c>
    </row>
    <row r="41" spans="1:58">
      <c r="A41" s="150">
        <v>45351</v>
      </c>
      <c r="B41" s="14">
        <v>5.0900000000000001E-2</v>
      </c>
      <c r="C41" s="14">
        <v>5.5166666666666662E-2</v>
      </c>
      <c r="D41" s="14">
        <v>5.9566666666666664E-2</v>
      </c>
      <c r="E41" s="14">
        <v>8.3000000000000004E-2</v>
      </c>
      <c r="F41" s="14">
        <v>-0.05</v>
      </c>
      <c r="G41" s="14"/>
      <c r="H41" s="14">
        <v>0.22686385049201729</v>
      </c>
      <c r="I41" s="14">
        <v>0.1251753361458609</v>
      </c>
      <c r="J41" s="14">
        <v>0.46955070064078297</v>
      </c>
      <c r="K41" s="14">
        <v>5.9588630932537176E-2</v>
      </c>
      <c r="L41" s="14">
        <v>0.11882148178880167</v>
      </c>
      <c r="M41" s="14"/>
      <c r="N41" s="14">
        <v>0.24664055473819557</v>
      </c>
      <c r="O41" s="14">
        <v>0.32647488563840266</v>
      </c>
      <c r="P41" s="14">
        <v>0.58350370092574722</v>
      </c>
      <c r="Q41" s="14">
        <v>-3.4576805890995044E-2</v>
      </c>
      <c r="R41" s="14">
        <f t="shared" si="0"/>
        <v>-0.12204233541135046</v>
      </c>
      <c r="S41" s="14"/>
      <c r="T41" s="14">
        <f>SUMPRODUCT(H41:L41,B41:F41)</f>
        <v>4.5427228380220147E-2</v>
      </c>
      <c r="U41" s="14">
        <f t="shared" si="1"/>
        <v>6.8554147760651316E-2</v>
      </c>
      <c r="V41" s="14">
        <f>SUMPRODUCT(N41:R41,B41:F41)-T41</f>
        <v>2.3126919380431168E-2</v>
      </c>
      <c r="W41" s="14"/>
      <c r="X41" s="14">
        <f>SUM(H41:J41)</f>
        <v>0.82158988727866111</v>
      </c>
      <c r="Y41" s="14">
        <f>SUM(K41:L41)</f>
        <v>0.17841011272133883</v>
      </c>
      <c r="Z41" s="14"/>
      <c r="AA41" s="14">
        <f t="shared" si="2"/>
        <v>1.1566191413023454</v>
      </c>
      <c r="AB41" s="14">
        <f t="shared" si="3"/>
        <v>-0.1566191413023455</v>
      </c>
      <c r="AC41" s="14"/>
      <c r="AD41" s="14">
        <f>H41/$X41</f>
        <v>0.27612785162613768</v>
      </c>
      <c r="AE41" s="14">
        <f>I41/$X41</f>
        <v>0.15235744510010601</v>
      </c>
      <c r="AF41" s="14">
        <f>J41/$X41</f>
        <v>0.57151470327375642</v>
      </c>
      <c r="AG41" s="14">
        <f>K41/$Y41</f>
        <v>0.33399805663263865</v>
      </c>
      <c r="AH41" s="14">
        <f>L41/$Y41</f>
        <v>0.6660019433673614</v>
      </c>
      <c r="AI41" s="14"/>
      <c r="AJ41" s="14">
        <f t="shared" si="12"/>
        <v>0.21324267075545711</v>
      </c>
      <c r="AK41" s="14">
        <f t="shared" si="13"/>
        <v>0.28226654218327574</v>
      </c>
      <c r="AL41" s="14">
        <f t="shared" si="14"/>
        <v>0.50449078706126715</v>
      </c>
      <c r="AM41" s="14">
        <f t="shared" si="15"/>
        <v>0.22076998764950595</v>
      </c>
      <c r="AN41" s="14">
        <f t="shared" si="16"/>
        <v>0.77923001235049405</v>
      </c>
      <c r="AO41" s="14"/>
      <c r="AP41" s="14">
        <f>SUMPRODUCT(AD41:AF41,B41:D41)</f>
        <v>5.6503185860799679E-2</v>
      </c>
      <c r="AQ41" s="14">
        <f>SUMPRODUCT(AG41:AH41,E41:F41)</f>
        <v>-5.5782584678590597E-3</v>
      </c>
      <c r="AR41" s="14"/>
      <c r="AS41" s="14">
        <f>SUMPRODUCT(AJ41:AL41,B41:D41)</f>
        <v>5.6476590734512958E-2</v>
      </c>
      <c r="AT41" s="14">
        <f>SUMPRODUCT(E41:F41,AM41:AN41)</f>
        <v>-2.0637591642615714E-2</v>
      </c>
      <c r="AU41" s="14"/>
      <c r="AV41" s="14">
        <f t="shared" si="4"/>
        <v>3.7107697723166065E-3</v>
      </c>
      <c r="AW41" s="14">
        <f t="shared" si="5"/>
        <v>1.7088330209826818E-2</v>
      </c>
      <c r="AX41" s="14"/>
      <c r="AY41" s="14">
        <f t="shared" si="6"/>
        <v>-3.0760432128575195E-5</v>
      </c>
      <c r="AZ41" s="14">
        <f t="shared" si="7"/>
        <v>2.3585798304163116E-3</v>
      </c>
      <c r="BA41" s="14"/>
      <c r="BB41" s="14">
        <f t="shared" si="8"/>
        <v>2.3126919380431162E-2</v>
      </c>
      <c r="BC41" s="14">
        <f t="shared" si="9"/>
        <v>0</v>
      </c>
      <c r="BE41" s="19">
        <f t="shared" si="10"/>
        <v>4.2927228380220145E-2</v>
      </c>
      <c r="BF41" s="19">
        <f t="shared" si="11"/>
        <v>6.6054147760651313E-2</v>
      </c>
    </row>
    <row r="42" spans="1:58">
      <c r="A42" s="150">
        <v>45382</v>
      </c>
      <c r="B42" s="14">
        <v>-5.28E-2</v>
      </c>
      <c r="C42" s="14">
        <v>5.1466666666666668E-2</v>
      </c>
      <c r="D42" s="14">
        <v>5.3666666666666663E-3</v>
      </c>
      <c r="E42" s="14">
        <v>6.7500000000000004E-2</v>
      </c>
      <c r="F42" s="14">
        <v>-7.9200000000000007E-2</v>
      </c>
      <c r="G42" s="14"/>
      <c r="H42" s="14">
        <v>0.21541611389443036</v>
      </c>
      <c r="I42" s="14">
        <v>0.13194273259890565</v>
      </c>
      <c r="J42" s="14">
        <v>0.47323643434532325</v>
      </c>
      <c r="K42" s="14">
        <v>6.3767955022714262E-2</v>
      </c>
      <c r="L42" s="14">
        <v>0.11563676413862649</v>
      </c>
      <c r="M42" s="14"/>
      <c r="N42" s="14">
        <v>0.22512312017625422</v>
      </c>
      <c r="O42" s="14">
        <v>0.31572173068175857</v>
      </c>
      <c r="P42" s="14">
        <v>0.47953545716447166</v>
      </c>
      <c r="Q42" s="14">
        <v>-3.0077646398319197E-3</v>
      </c>
      <c r="R42" s="14">
        <f t="shared" si="0"/>
        <v>-1.7372543382652594E-2</v>
      </c>
      <c r="S42" s="14"/>
      <c r="T42" s="14">
        <f>SUMPRODUCT(H42:L42,B42:F42)</f>
        <v>-6.8977107339616827E-3</v>
      </c>
      <c r="U42" s="14">
        <f t="shared" si="1"/>
        <v>8.1090326032817166E-3</v>
      </c>
      <c r="V42" s="14">
        <f>SUMPRODUCT(N42:R42,B42:F42)-T42</f>
        <v>1.5006743337243399E-2</v>
      </c>
      <c r="W42" s="14"/>
      <c r="X42" s="14">
        <f>SUM(H42:J42)</f>
        <v>0.82059528083865929</v>
      </c>
      <c r="Y42" s="14">
        <f>SUM(K42:L42)</f>
        <v>0.17940471916134076</v>
      </c>
      <c r="Z42" s="14"/>
      <c r="AA42" s="14">
        <f t="shared" si="2"/>
        <v>1.0203803080224845</v>
      </c>
      <c r="AB42" s="14">
        <f t="shared" si="3"/>
        <v>-2.0380308022484514E-2</v>
      </c>
      <c r="AC42" s="14"/>
      <c r="AD42" s="14">
        <f>H42/$X42</f>
        <v>0.26251200674012193</v>
      </c>
      <c r="AE42" s="14">
        <f>I42/$X42</f>
        <v>0.16078904629339133</v>
      </c>
      <c r="AF42" s="14">
        <f>J42/$X42</f>
        <v>0.57669894696648671</v>
      </c>
      <c r="AG42" s="14">
        <f>K42/$Y42</f>
        <v>0.35544190432006972</v>
      </c>
      <c r="AH42" s="14">
        <f>L42/$Y42</f>
        <v>0.64455809567993017</v>
      </c>
      <c r="AI42" s="14"/>
      <c r="AJ42" s="14">
        <f t="shared" si="12"/>
        <v>0.22062668047029141</v>
      </c>
      <c r="AK42" s="14">
        <f t="shared" si="13"/>
        <v>0.30941574254175191</v>
      </c>
      <c r="AL42" s="14">
        <f t="shared" si="14"/>
        <v>0.46995757698795665</v>
      </c>
      <c r="AM42" s="14">
        <f t="shared" si="15"/>
        <v>0.14758190290910286</v>
      </c>
      <c r="AN42" s="14">
        <f t="shared" si="16"/>
        <v>0.85241809709089711</v>
      </c>
      <c r="AO42" s="14"/>
      <c r="AP42" s="14">
        <f>SUMPRODUCT(AD42:AF42,B42:D42)</f>
        <v>-2.4904066912584191E-3</v>
      </c>
      <c r="AQ42" s="14">
        <f>SUMPRODUCT(AG42:AH42,E42:F42)</f>
        <v>-2.7056672636245765E-2</v>
      </c>
      <c r="AR42" s="14"/>
      <c r="AS42" s="14">
        <f>SUMPRODUCT(AJ42:AL42,B42:D42)</f>
        <v>6.7976138171528151E-3</v>
      </c>
      <c r="AT42" s="14">
        <f>SUMPRODUCT(E42:F42,AM42:AN42)</f>
        <v>-5.7549734843234619E-2</v>
      </c>
      <c r="AU42" s="14"/>
      <c r="AV42" s="14">
        <f t="shared" si="4"/>
        <v>8.8051335797885411E-4</v>
      </c>
      <c r="AW42" s="14">
        <f t="shared" si="5"/>
        <v>4.0274587516455239E-3</v>
      </c>
      <c r="AX42" s="14"/>
      <c r="AY42" s="14">
        <f t="shared" si="6"/>
        <v>9.477313227291808E-3</v>
      </c>
      <c r="AZ42" s="14">
        <f t="shared" si="7"/>
        <v>6.2145800032721425E-4</v>
      </c>
      <c r="BA42" s="14"/>
      <c r="BB42" s="14">
        <f t="shared" si="8"/>
        <v>1.5006743337243401E-2</v>
      </c>
      <c r="BC42" s="14">
        <f t="shared" si="9"/>
        <v>0</v>
      </c>
      <c r="BE42" s="19">
        <f t="shared" si="10"/>
        <v>-9.3977107339616832E-3</v>
      </c>
      <c r="BF42" s="19">
        <f t="shared" si="11"/>
        <v>5.6090326032817162E-3</v>
      </c>
    </row>
    <row r="43" spans="1:58">
      <c r="A43" s="150">
        <v>45412</v>
      </c>
      <c r="B43" s="14">
        <v>1.5E-3</v>
      </c>
      <c r="C43" s="14">
        <v>-1.3333333333333339E-4</v>
      </c>
      <c r="D43" s="14">
        <v>-5.3333333333333332E-3</v>
      </c>
      <c r="E43" s="14">
        <v>6.0000000000000001E-3</v>
      </c>
      <c r="F43" s="14">
        <v>-2.5100000000000004E-2</v>
      </c>
      <c r="G43" s="14"/>
      <c r="H43" s="14">
        <v>0.21551433435027972</v>
      </c>
      <c r="I43" s="14">
        <v>0.1317876109913593</v>
      </c>
      <c r="J43" s="14">
        <v>0.47022179859621072</v>
      </c>
      <c r="K43" s="14">
        <v>6.40836871116304E-2</v>
      </c>
      <c r="L43" s="14">
        <v>0.11839256895051979</v>
      </c>
      <c r="M43" s="14"/>
      <c r="N43" s="14">
        <v>0.24099479819442166</v>
      </c>
      <c r="O43" s="14">
        <v>0.18689116224317306</v>
      </c>
      <c r="P43" s="14">
        <v>0.51664297554776395</v>
      </c>
      <c r="Q43" s="14">
        <v>1.1924399957858087E-2</v>
      </c>
      <c r="R43" s="14">
        <f t="shared" si="0"/>
        <v>4.3546664056783202E-2</v>
      </c>
      <c r="S43" s="14"/>
      <c r="T43" s="14">
        <f>SUMPRODUCT(H43:L43,B43:F43)</f>
        <v>-4.7893011304414833E-3</v>
      </c>
      <c r="U43" s="14">
        <f t="shared" si="1"/>
        <v>-3.440330695340308E-3</v>
      </c>
      <c r="V43" s="14">
        <f>SUMPRODUCT(N43:R43,B43:F43)-T43</f>
        <v>1.3489704351011753E-3</v>
      </c>
      <c r="W43" s="14"/>
      <c r="X43" s="14">
        <f>SUM(H43:J43)</f>
        <v>0.81752374393784977</v>
      </c>
      <c r="Y43" s="14">
        <f>SUM(K43:L43)</f>
        <v>0.18247625606215018</v>
      </c>
      <c r="Z43" s="14"/>
      <c r="AA43" s="14">
        <f t="shared" si="2"/>
        <v>0.9445289359853587</v>
      </c>
      <c r="AB43" s="14">
        <f t="shared" si="3"/>
        <v>5.5471064014641289E-2</v>
      </c>
      <c r="AC43" s="14"/>
      <c r="AD43" s="14">
        <f>H43/$X43</f>
        <v>0.26361844037971288</v>
      </c>
      <c r="AE43" s="14">
        <f>I43/$X43</f>
        <v>0.16120340475563988</v>
      </c>
      <c r="AF43" s="14">
        <f>J43/$X43</f>
        <v>0.57517815486464718</v>
      </c>
      <c r="AG43" s="14">
        <f>K43/$Y43</f>
        <v>0.35118918205886429</v>
      </c>
      <c r="AH43" s="14">
        <f>L43/$Y43</f>
        <v>0.64881081794113582</v>
      </c>
      <c r="AI43" s="14"/>
      <c r="AJ43" s="14">
        <f t="shared" si="12"/>
        <v>0.25514813682548459</v>
      </c>
      <c r="AK43" s="14">
        <f t="shared" si="13"/>
        <v>0.19786705851229749</v>
      </c>
      <c r="AL43" s="14">
        <f t="shared" si="14"/>
        <v>0.54698480466221788</v>
      </c>
      <c r="AM43" s="14">
        <f t="shared" si="15"/>
        <v>0.2149661299936613</v>
      </c>
      <c r="AN43" s="14">
        <f t="shared" si="16"/>
        <v>0.78503387000633873</v>
      </c>
      <c r="AO43" s="14"/>
      <c r="AP43" s="14">
        <f>SUMPRODUCT(AD43:AF43,B43:D43)</f>
        <v>-2.6936829526759674E-3</v>
      </c>
      <c r="AQ43" s="14">
        <f>SUMPRODUCT(AG43:AH43,E43:F43)</f>
        <v>-1.4178016437969327E-2</v>
      </c>
      <c r="AR43" s="14"/>
      <c r="AS43" s="14">
        <f>SUMPRODUCT(AJ43:AL43,B43:D43)</f>
        <v>-2.560912360761908E-3</v>
      </c>
      <c r="AT43" s="14">
        <f>SUMPRODUCT(E43:F43,AM43:AN43)</f>
        <v>-1.8414553357197137E-2</v>
      </c>
      <c r="AU43" s="14"/>
      <c r="AV43" s="14">
        <f t="shared" si="4"/>
        <v>2.6615438912536008E-4</v>
      </c>
      <c r="AW43" s="14">
        <f t="shared" si="5"/>
        <v>1.1924155907119601E-3</v>
      </c>
      <c r="AX43" s="14"/>
      <c r="AY43" s="14">
        <f t="shared" si="6"/>
        <v>1.2540566591073276E-4</v>
      </c>
      <c r="AZ43" s="14">
        <f t="shared" si="7"/>
        <v>-2.3500521064687699E-4</v>
      </c>
      <c r="BA43" s="14"/>
      <c r="BB43" s="14">
        <f t="shared" si="8"/>
        <v>1.3489704351011757E-3</v>
      </c>
      <c r="BC43" s="14">
        <f t="shared" si="9"/>
        <v>0</v>
      </c>
      <c r="BE43" s="19">
        <f t="shared" si="10"/>
        <v>-7.2893011304414838E-3</v>
      </c>
      <c r="BF43" s="19">
        <f t="shared" si="11"/>
        <v>-5.9403306953403085E-3</v>
      </c>
    </row>
    <row r="44" spans="1:58">
      <c r="A44" s="150">
        <v>45443</v>
      </c>
      <c r="B44" s="14">
        <v>-0.1336</v>
      </c>
      <c r="C44" s="14">
        <v>1.8666666666666666E-3</v>
      </c>
      <c r="D44" s="14">
        <v>-6.253333333333333E-2</v>
      </c>
      <c r="E44" s="14">
        <v>7.1999999999999998E-3</v>
      </c>
      <c r="F44" s="14">
        <v>-7.3800000000000004E-2</v>
      </c>
      <c r="G44" s="14"/>
      <c r="H44" s="14">
        <v>0.19870504115473825</v>
      </c>
      <c r="I44" s="14">
        <v>0.14050726911205313</v>
      </c>
      <c r="J44" s="14">
        <v>0.46910803660185346</v>
      </c>
      <c r="K44" s="14">
        <v>6.8687465042213861E-2</v>
      </c>
      <c r="L44" s="14">
        <v>0.12299218808914117</v>
      </c>
      <c r="M44" s="14"/>
      <c r="N44" s="14">
        <v>0.23125223335692074</v>
      </c>
      <c r="O44" s="14">
        <v>0.31030415039719994</v>
      </c>
      <c r="P44" s="14">
        <v>0.43942763091780512</v>
      </c>
      <c r="Q44" s="14">
        <v>-7.6624258986801905E-2</v>
      </c>
      <c r="R44" s="14">
        <f t="shared" si="0"/>
        <v>9.5640244314876166E-2</v>
      </c>
      <c r="S44" s="14"/>
      <c r="T44" s="14">
        <f>SUMPRODUCT(H44:L44,B44:F44)</f>
        <v>-6.4201876217441112E-2</v>
      </c>
      <c r="U44" s="14">
        <f t="shared" si="1"/>
        <v>-6.5404883177612755E-2</v>
      </c>
      <c r="V44" s="14">
        <f>SUMPRODUCT(N44:R44,B44:F44)-T44</f>
        <v>-1.2030069601716431E-3</v>
      </c>
      <c r="W44" s="14"/>
      <c r="X44" s="14">
        <f>SUM(H44:J44)</f>
        <v>0.80832034686864485</v>
      </c>
      <c r="Y44" s="14">
        <f>SUM(K44:L44)</f>
        <v>0.19167965313135504</v>
      </c>
      <c r="Z44" s="14"/>
      <c r="AA44" s="14">
        <f t="shared" si="2"/>
        <v>0.98098401467192575</v>
      </c>
      <c r="AB44" s="14">
        <f t="shared" si="3"/>
        <v>1.9015985328074261E-2</v>
      </c>
      <c r="AC44" s="14"/>
      <c r="AD44" s="14">
        <f>H44/$X44</f>
        <v>0.24582461882161255</v>
      </c>
      <c r="AE44" s="14">
        <f>I44/$X44</f>
        <v>0.17382621835063877</v>
      </c>
      <c r="AF44" s="14">
        <f>J44/$X44</f>
        <v>0.58034916282774873</v>
      </c>
      <c r="AG44" s="14">
        <f>K44/$Y44</f>
        <v>0.35834510298880512</v>
      </c>
      <c r="AH44" s="14">
        <f>L44/$Y44</f>
        <v>0.64165489701119482</v>
      </c>
      <c r="AI44" s="14"/>
      <c r="AJ44" s="14">
        <f t="shared" si="12"/>
        <v>0.23573496601191746</v>
      </c>
      <c r="AK44" s="14">
        <f t="shared" si="13"/>
        <v>0.31631927305255442</v>
      </c>
      <c r="AL44" s="14">
        <f t="shared" si="14"/>
        <v>0.44794576093552818</v>
      </c>
      <c r="AM44" s="14">
        <f t="shared" si="15"/>
        <v>-4.0294656135266171</v>
      </c>
      <c r="AN44" s="14">
        <f t="shared" si="16"/>
        <v>5.0294656135266171</v>
      </c>
      <c r="AO44" s="14"/>
      <c r="AP44" s="14">
        <f>SUMPRODUCT(AD44:AF44,B44:D44)</f>
        <v>-6.8808861115808126E-2</v>
      </c>
      <c r="AQ44" s="14">
        <f>SUMPRODUCT(AG44:AH44,E44:F44)</f>
        <v>-4.4774046657906783E-2</v>
      </c>
      <c r="AR44" s="14"/>
      <c r="AS44" s="14">
        <f>SUMPRODUCT(AJ44:AL44,B44:D44)</f>
        <v>-5.8915270399995764E-2</v>
      </c>
      <c r="AT44" s="14">
        <f>SUMPRODUCT(E44:F44,AM44:AN44)</f>
        <v>-0.40018671469565598</v>
      </c>
      <c r="AU44" s="14"/>
      <c r="AV44" s="14">
        <f t="shared" si="4"/>
        <v>-7.9545891006637401E-4</v>
      </c>
      <c r="AW44" s="14">
        <f t="shared" si="5"/>
        <v>-3.3544803092061945E-3</v>
      </c>
      <c r="AX44" s="14"/>
      <c r="AY44" s="14">
        <f t="shared" si="6"/>
        <v>9.7054543399185018E-3</v>
      </c>
      <c r="AZ44" s="14">
        <f t="shared" si="7"/>
        <v>-6.7585220808175665E-3</v>
      </c>
      <c r="BA44" s="14"/>
      <c r="BB44" s="14">
        <f t="shared" si="8"/>
        <v>-1.2030069601716336E-3</v>
      </c>
      <c r="BC44" s="14">
        <f t="shared" si="9"/>
        <v>9.540979117872439E-18</v>
      </c>
      <c r="BE44" s="19">
        <f t="shared" si="10"/>
        <v>-6.6701876217441114E-2</v>
      </c>
      <c r="BF44" s="19">
        <f t="shared" si="11"/>
        <v>-6.7904883177612757E-2</v>
      </c>
    </row>
    <row r="45" spans="1:58">
      <c r="A45" s="150">
        <v>45473</v>
      </c>
      <c r="B45" s="14">
        <v>6.1199999999999997E-2</v>
      </c>
      <c r="C45" s="14">
        <v>2.5966666666666666E-2</v>
      </c>
      <c r="D45" s="14">
        <v>-3.6633333333333337E-2</v>
      </c>
      <c r="E45" s="14">
        <v>-6.0600000000000001E-2</v>
      </c>
      <c r="F45" s="14">
        <v>3.2799999999999996E-2</v>
      </c>
      <c r="G45" s="14"/>
      <c r="H45" s="14">
        <v>0.20989073060229954</v>
      </c>
      <c r="I45" s="14">
        <v>0.14348918752635634</v>
      </c>
      <c r="J45" s="14">
        <v>0.44983331980370678</v>
      </c>
      <c r="K45" s="14">
        <v>6.4226636247243798E-2</v>
      </c>
      <c r="L45" s="14">
        <v>0.13256012582039356</v>
      </c>
      <c r="M45" s="14"/>
      <c r="N45" s="14">
        <v>0.18725505937017103</v>
      </c>
      <c r="O45" s="14">
        <v>0.22166834740208266</v>
      </c>
      <c r="P45" s="14">
        <v>0.40137303087115983</v>
      </c>
      <c r="Q45" s="14">
        <v>-2.5681285347032762E-2</v>
      </c>
      <c r="R45" s="14">
        <f t="shared" si="0"/>
        <v>0.21538484770361921</v>
      </c>
      <c r="S45" s="14"/>
      <c r="T45" s="14">
        <f>SUMPRODUCT(H45:L45,B45:F45)</f>
        <v>5.4819263714525873E-4</v>
      </c>
      <c r="U45" s="14">
        <f t="shared" si="1"/>
        <v>1.1133274586790615E-2</v>
      </c>
      <c r="V45" s="14">
        <f>SUMPRODUCT(N45:R45,B45:F45)-T45</f>
        <v>1.0585081949645355E-2</v>
      </c>
      <c r="W45" s="14"/>
      <c r="X45" s="14">
        <f>SUM(H45:J45)</f>
        <v>0.80321323793236266</v>
      </c>
      <c r="Y45" s="14">
        <f>SUM(K45:L45)</f>
        <v>0.19678676206763734</v>
      </c>
      <c r="Z45" s="14"/>
      <c r="AA45" s="14">
        <f t="shared" si="2"/>
        <v>0.81029643764341353</v>
      </c>
      <c r="AB45" s="14">
        <f t="shared" si="3"/>
        <v>0.18970356235658645</v>
      </c>
      <c r="AC45" s="14"/>
      <c r="AD45" s="14">
        <f>H45/$X45</f>
        <v>0.26131383384890638</v>
      </c>
      <c r="AE45" s="14">
        <f>I45/$X45</f>
        <v>0.17864395250223619</v>
      </c>
      <c r="AF45" s="14">
        <f>J45/$X45</f>
        <v>0.56004221364885742</v>
      </c>
      <c r="AG45" s="14">
        <f>K45/$Y45</f>
        <v>0.32637681301534166</v>
      </c>
      <c r="AH45" s="14">
        <f>L45/$Y45</f>
        <v>0.6736231869846584</v>
      </c>
      <c r="AI45" s="14"/>
      <c r="AJ45" s="14">
        <f t="shared" si="12"/>
        <v>0.23109451142937915</v>
      </c>
      <c r="AK45" s="14">
        <f t="shared" si="13"/>
        <v>0.27356450936247612</v>
      </c>
      <c r="AL45" s="14">
        <f t="shared" si="14"/>
        <v>0.49534097920814474</v>
      </c>
      <c r="AM45" s="14">
        <f t="shared" si="15"/>
        <v>-0.1353758729040605</v>
      </c>
      <c r="AN45" s="14">
        <f t="shared" si="16"/>
        <v>1.1353758729040604</v>
      </c>
      <c r="AO45" s="14"/>
      <c r="AP45" s="14">
        <f>SUMPRODUCT(AD45:AF45,B45:D45)</f>
        <v>1.1498150485799233E-4</v>
      </c>
      <c r="AQ45" s="14">
        <f>SUMPRODUCT(AG45:AH45,E45:F45)</f>
        <v>2.3164056643670897E-3</v>
      </c>
      <c r="AR45" s="14"/>
      <c r="AS45" s="14">
        <f>SUMPRODUCT(AJ45:AL45,B45:D45)</f>
        <v>3.1005513209319269E-3</v>
      </c>
      <c r="AT45" s="14">
        <f>SUMPRODUCT(E45:F45,AM45:AN45)</f>
        <v>4.5444106529239248E-2</v>
      </c>
      <c r="AU45" s="14"/>
      <c r="AV45" s="14">
        <f t="shared" si="4"/>
        <v>-3.0685209670411851E-6</v>
      </c>
      <c r="AW45" s="14">
        <f t="shared" si="5"/>
        <v>-1.2524606003494104E-5</v>
      </c>
      <c r="AX45" s="14"/>
      <c r="AY45" s="14">
        <f t="shared" si="6"/>
        <v>2.4191965863004103E-3</v>
      </c>
      <c r="AZ45" s="14">
        <f t="shared" si="7"/>
        <v>8.1814784903154834E-3</v>
      </c>
      <c r="BA45" s="14"/>
      <c r="BB45" s="14">
        <f t="shared" si="8"/>
        <v>1.0585081949645359E-2</v>
      </c>
      <c r="BC45" s="14">
        <f t="shared" si="9"/>
        <v>0</v>
      </c>
      <c r="BE45" s="19">
        <f t="shared" si="10"/>
        <v>-1.9518073628547413E-3</v>
      </c>
      <c r="BF45" s="19">
        <f t="shared" si="11"/>
        <v>8.6332745867906142E-3</v>
      </c>
    </row>
    <row r="46" spans="1:58">
      <c r="A46" s="150">
        <v>45504</v>
      </c>
      <c r="B46" s="14">
        <v>0.11849999999999999</v>
      </c>
      <c r="C46" s="14">
        <v>4.0366666666666669E-2</v>
      </c>
      <c r="D46" s="14">
        <v>1.9666666666666666E-2</v>
      </c>
      <c r="E46" s="14">
        <v>2.2599999999999999E-2</v>
      </c>
      <c r="F46" s="14">
        <v>3.7400000000000003E-2</v>
      </c>
      <c r="G46" s="14"/>
      <c r="H46" s="14">
        <v>0.22304230374314193</v>
      </c>
      <c r="I46" s="14">
        <v>0.14182852944286037</v>
      </c>
      <c r="J46" s="14">
        <v>0.43578054513451325</v>
      </c>
      <c r="K46" s="14">
        <v>6.2399191134482633E-2</v>
      </c>
      <c r="L46" s="14">
        <v>0.13694943054500186</v>
      </c>
      <c r="M46" s="14"/>
      <c r="N46" s="14">
        <v>0.24770372213360226</v>
      </c>
      <c r="O46" s="14">
        <v>0.23544326959919612</v>
      </c>
      <c r="P46" s="14">
        <v>0.41736304898881038</v>
      </c>
      <c r="Q46" s="14">
        <v>1.156736834136677E-2</v>
      </c>
      <c r="R46" s="14">
        <f t="shared" si="0"/>
        <v>8.7922590937024481E-2</v>
      </c>
      <c r="S46" s="14"/>
      <c r="T46" s="14">
        <f>SUMPRODUCT(H46:L46,B46:F46)</f>
        <v>4.725813910840692E-2</v>
      </c>
      <c r="U46" s="14">
        <f t="shared" si="1"/>
        <v>5.0614818444658954E-2</v>
      </c>
      <c r="V46" s="14">
        <f>SUMPRODUCT(N46:R46,B46:F46)-T46</f>
        <v>3.3566793362520345E-3</v>
      </c>
      <c r="W46" s="14"/>
      <c r="X46" s="14">
        <f>SUM(H46:J46)</f>
        <v>0.80065137832051558</v>
      </c>
      <c r="Y46" s="14">
        <f>SUM(K46:L46)</f>
        <v>0.1993486216794845</v>
      </c>
      <c r="Z46" s="14"/>
      <c r="AA46" s="14">
        <f t="shared" si="2"/>
        <v>0.90051004072160878</v>
      </c>
      <c r="AB46" s="14">
        <f t="shared" si="3"/>
        <v>9.9489959278391243E-2</v>
      </c>
      <c r="AC46" s="14"/>
      <c r="AD46" s="14">
        <f>H46/$X46</f>
        <v>0.2785760566740122</v>
      </c>
      <c r="AE46" s="14">
        <f>I46/$X46</f>
        <v>0.17714142919527179</v>
      </c>
      <c r="AF46" s="14">
        <f>J46/$X46</f>
        <v>0.54428251413071593</v>
      </c>
      <c r="AG46" s="14">
        <f>K46/$Y46</f>
        <v>0.31301541294230228</v>
      </c>
      <c r="AH46" s="14">
        <f>L46/$Y46</f>
        <v>0.68698458705769772</v>
      </c>
      <c r="AI46" s="14"/>
      <c r="AJ46" s="14">
        <f t="shared" si="12"/>
        <v>0.27507047221273512</v>
      </c>
      <c r="AK46" s="14">
        <f t="shared" si="13"/>
        <v>0.26145546296244243</v>
      </c>
      <c r="AL46" s="14">
        <f t="shared" si="14"/>
        <v>0.4634740648248224</v>
      </c>
      <c r="AM46" s="14">
        <f t="shared" si="15"/>
        <v>0.11626669088283714</v>
      </c>
      <c r="AN46" s="14">
        <f t="shared" si="16"/>
        <v>0.88373330911716297</v>
      </c>
      <c r="AO46" s="14"/>
      <c r="AP46" s="14">
        <f>SUMPRODUCT(AD46:AF46,B46:D46)</f>
        <v>5.0866094518956996E-2</v>
      </c>
      <c r="AQ46" s="14">
        <f>SUMPRODUCT(AG46:AH46,E46:F46)</f>
        <v>3.2767371888453925E-2</v>
      </c>
      <c r="AR46" s="14"/>
      <c r="AS46" s="14">
        <f>SUMPRODUCT(AJ46:AL46,B46:D46)</f>
        <v>5.2264926420347878E-2</v>
      </c>
      <c r="AT46" s="14">
        <f>SUMPRODUCT(E46:F46,AM46:AN46)</f>
        <v>3.5679252974934017E-2</v>
      </c>
      <c r="AU46" s="14"/>
      <c r="AV46" s="14">
        <f t="shared" si="4"/>
        <v>3.6028560130031765E-4</v>
      </c>
      <c r="AW46" s="14">
        <f t="shared" si="5"/>
        <v>1.4470286317501148E-3</v>
      </c>
      <c r="AX46" s="14"/>
      <c r="AY46" s="14">
        <f t="shared" si="6"/>
        <v>1.2596621724841883E-3</v>
      </c>
      <c r="AZ46" s="14">
        <f t="shared" si="7"/>
        <v>2.8970293071742199E-4</v>
      </c>
      <c r="BA46" s="14"/>
      <c r="BB46" s="14">
        <f t="shared" si="8"/>
        <v>3.3566793362520427E-3</v>
      </c>
      <c r="BC46" s="14">
        <f t="shared" si="9"/>
        <v>8.2399365108898337E-18</v>
      </c>
      <c r="BE46" s="19">
        <f t="shared" si="10"/>
        <v>4.4758139108406918E-2</v>
      </c>
      <c r="BF46" s="19">
        <f t="shared" si="11"/>
        <v>4.8114818444658952E-2</v>
      </c>
    </row>
    <row r="47" spans="1:58">
      <c r="A47" s="150">
        <v>45535</v>
      </c>
      <c r="B47" s="14">
        <v>6.0299999999999999E-2</v>
      </c>
      <c r="C47" s="14">
        <v>-5.8133333333333335E-2</v>
      </c>
      <c r="D47" s="14">
        <v>2.5366666666666666E-2</v>
      </c>
      <c r="E47" s="14">
        <v>-4.1099999999999998E-2</v>
      </c>
      <c r="F47" s="14">
        <v>-6.8000000000000005E-3</v>
      </c>
      <c r="G47" s="14"/>
      <c r="H47" s="14">
        <v>0.23194325597492788</v>
      </c>
      <c r="I47" s="14">
        <v>0.13101432176761632</v>
      </c>
      <c r="J47" s="14">
        <v>0.43824077069079531</v>
      </c>
      <c r="K47" s="14">
        <v>5.868377246706994E-2</v>
      </c>
      <c r="L47" s="14">
        <v>0.1401178790995905</v>
      </c>
      <c r="M47" s="14"/>
      <c r="N47" s="14">
        <v>0.24213527304383969</v>
      </c>
      <c r="O47" s="14">
        <v>0.21234910993534908</v>
      </c>
      <c r="P47" s="14">
        <v>0.47028597416403961</v>
      </c>
      <c r="Q47" s="14">
        <v>-4.0123497940635862E-2</v>
      </c>
      <c r="R47" s="14">
        <f t="shared" si="0"/>
        <v>0.11535314079740744</v>
      </c>
      <c r="S47" s="14"/>
      <c r="T47" s="14">
        <f>SUMPRODUCT(H47:L47,B47:F47)</f>
        <v>1.4121882020113439E-2</v>
      </c>
      <c r="U47" s="14">
        <f t="shared" si="1"/>
        <v>1.5050457326200809E-2</v>
      </c>
      <c r="V47" s="14">
        <f>SUMPRODUCT(N47:R47,B47:F47)-T47</f>
        <v>9.2857530608736992E-4</v>
      </c>
      <c r="W47" s="14"/>
      <c r="X47" s="14">
        <f>SUM(H47:J47)</f>
        <v>0.80119834843333959</v>
      </c>
      <c r="Y47" s="14">
        <f>SUM(K47:L47)</f>
        <v>0.19880165156666044</v>
      </c>
      <c r="Z47" s="14"/>
      <c r="AA47" s="14">
        <f t="shared" si="2"/>
        <v>0.92477035714322842</v>
      </c>
      <c r="AB47" s="14">
        <f t="shared" si="3"/>
        <v>7.5229642856771584E-2</v>
      </c>
      <c r="AC47" s="14"/>
      <c r="AD47" s="14">
        <f>H47/$X47</f>
        <v>0.28949542448317434</v>
      </c>
      <c r="AE47" s="14">
        <f>I47/$X47</f>
        <v>0.16352295536280281</v>
      </c>
      <c r="AF47" s="14">
        <f>J47/$X47</f>
        <v>0.54698162015402274</v>
      </c>
      <c r="AG47" s="14">
        <f>K47/$Y47</f>
        <v>0.29518755002592423</v>
      </c>
      <c r="AH47" s="14">
        <f>L47/$Y47</f>
        <v>0.70481244997407577</v>
      </c>
      <c r="AI47" s="14"/>
      <c r="AJ47" s="14">
        <f t="shared" si="12"/>
        <v>0.26183286604453498</v>
      </c>
      <c r="AK47" s="14">
        <f t="shared" si="13"/>
        <v>0.22962361227854589</v>
      </c>
      <c r="AL47" s="14">
        <f t="shared" si="14"/>
        <v>0.50854352167691907</v>
      </c>
      <c r="AM47" s="14">
        <f t="shared" si="15"/>
        <v>-0.53334691508540455</v>
      </c>
      <c r="AN47" s="14">
        <f t="shared" si="16"/>
        <v>1.5333469150854044</v>
      </c>
      <c r="AO47" s="14"/>
      <c r="AP47" s="14">
        <f>SUMPRODUCT(AD47:AF47,B47:D47)</f>
        <v>2.1825540055818181E-2</v>
      </c>
      <c r="AQ47" s="14">
        <f>SUMPRODUCT(AG47:AH47,E47:F47)</f>
        <v>-1.6924932965889202E-2</v>
      </c>
      <c r="AR47" s="14"/>
      <c r="AS47" s="14">
        <f>SUMPRODUCT(AJ47:AL47,B47:D47)</f>
        <v>1.5339789828563837E-2</v>
      </c>
      <c r="AT47" s="14">
        <f>SUMPRODUCT(E47:F47,AM47:AN47)</f>
        <v>1.1493799187429377E-2</v>
      </c>
      <c r="AU47" s="14"/>
      <c r="AV47" s="14">
        <f t="shared" si="4"/>
        <v>9.5195649788611136E-4</v>
      </c>
      <c r="AW47" s="14">
        <f t="shared" si="5"/>
        <v>3.836517291864626E-3</v>
      </c>
      <c r="AX47" s="14"/>
      <c r="AY47" s="14">
        <f t="shared" si="6"/>
        <v>-5.9978295539997745E-3</v>
      </c>
      <c r="AZ47" s="14">
        <f t="shared" si="7"/>
        <v>2.1379310703364077E-3</v>
      </c>
      <c r="BA47" s="14"/>
      <c r="BB47" s="14">
        <f t="shared" si="8"/>
        <v>9.2857530608737079E-4</v>
      </c>
      <c r="BC47" s="14">
        <f t="shared" si="9"/>
        <v>8.6736173798840355E-19</v>
      </c>
      <c r="BE47" s="19">
        <f t="shared" si="10"/>
        <v>1.1621882020113439E-2</v>
      </c>
      <c r="BF47" s="19">
        <f t="shared" si="11"/>
        <v>1.2550457326200809E-2</v>
      </c>
    </row>
    <row r="48" spans="1:58">
      <c r="A48" s="150">
        <v>45565</v>
      </c>
      <c r="B48" s="14">
        <v>5.5800000000000002E-2</v>
      </c>
      <c r="C48" s="14">
        <v>9.7766666666666668E-2</v>
      </c>
      <c r="D48" s="14">
        <v>-5.9233333333333332E-2</v>
      </c>
      <c r="E48" s="14">
        <v>-3.9899999999999998E-2</v>
      </c>
      <c r="F48" s="14">
        <v>3.9999999999999994E-2</v>
      </c>
      <c r="G48" s="14"/>
      <c r="H48" s="14">
        <v>0.24244621231870322</v>
      </c>
      <c r="I48" s="14">
        <v>0.14239043242185806</v>
      </c>
      <c r="J48" s="14">
        <v>0.40817527709467138</v>
      </c>
      <c r="K48" s="14">
        <v>5.5781025055975493E-2</v>
      </c>
      <c r="L48" s="14">
        <v>0.15120705310879176</v>
      </c>
      <c r="M48" s="14"/>
      <c r="N48" s="14">
        <v>0.23049555769141361</v>
      </c>
      <c r="O48" s="14">
        <v>0.4094873761141623</v>
      </c>
      <c r="P48" s="14">
        <v>0.52810556750915749</v>
      </c>
      <c r="Q48" s="14">
        <v>-5.1175204192778025E-2</v>
      </c>
      <c r="R48" s="14">
        <f t="shared" si="0"/>
        <v>-0.11691329712195531</v>
      </c>
      <c r="S48" s="14"/>
      <c r="T48" s="14">
        <f>SUMPRODUCT(H48:L48,B48:F48)</f>
        <v>7.0945735685378425E-3</v>
      </c>
      <c r="U48" s="14">
        <f t="shared" si="1"/>
        <v>1.8979773570896689E-2</v>
      </c>
      <c r="V48" s="14">
        <f>SUMPRODUCT(N48:R48,B48:F48)-T48</f>
        <v>1.1885200002358848E-2</v>
      </c>
      <c r="W48" s="14"/>
      <c r="X48" s="14">
        <f>SUM(H48:J48)</f>
        <v>0.79301192183523272</v>
      </c>
      <c r="Y48" s="14">
        <f>SUM(K48:L48)</f>
        <v>0.20698807816476725</v>
      </c>
      <c r="Z48" s="14"/>
      <c r="AA48" s="14">
        <f t="shared" si="2"/>
        <v>1.1680885013147333</v>
      </c>
      <c r="AB48" s="14">
        <f t="shared" si="3"/>
        <v>-0.16808850131473332</v>
      </c>
      <c r="AC48" s="14"/>
      <c r="AD48" s="14">
        <f>H48/$X48</f>
        <v>0.3057283322520809</v>
      </c>
      <c r="AE48" s="14">
        <f>I48/$X48</f>
        <v>0.17955648395843801</v>
      </c>
      <c r="AF48" s="14">
        <f>J48/$X48</f>
        <v>0.514715183789481</v>
      </c>
      <c r="AG48" s="14">
        <f>K48/$Y48</f>
        <v>0.26948907178882314</v>
      </c>
      <c r="AH48" s="14">
        <f>L48/$Y48</f>
        <v>0.73051092821117691</v>
      </c>
      <c r="AI48" s="14"/>
      <c r="AJ48" s="14">
        <f t="shared" si="12"/>
        <v>0.19732713525728662</v>
      </c>
      <c r="AK48" s="14">
        <f t="shared" si="13"/>
        <v>0.3505619442818475</v>
      </c>
      <c r="AL48" s="14">
        <f t="shared" si="14"/>
        <v>0.45211092046086593</v>
      </c>
      <c r="AM48" s="14">
        <f t="shared" si="15"/>
        <v>0.30445392630966606</v>
      </c>
      <c r="AN48" s="14">
        <f t="shared" si="16"/>
        <v>0.69554607369033394</v>
      </c>
      <c r="AO48" s="14"/>
      <c r="AP48" s="14">
        <f>SUMPRODUCT(AD48:AF48,B48:D48)</f>
        <v>4.1259838015391438E-3</v>
      </c>
      <c r="AQ48" s="14">
        <f>SUMPRODUCT(AG48:AH48,E48:F48)</f>
        <v>1.8467823164073027E-2</v>
      </c>
      <c r="AR48" s="14"/>
      <c r="AS48" s="14">
        <f>SUMPRODUCT(AJ48:AL48,B48:D48)</f>
        <v>1.8504090044679927E-2</v>
      </c>
      <c r="AT48" s="14">
        <f>SUMPRODUCT(E48:F48,AM48:AN48)</f>
        <v>1.5674131287857676E-2</v>
      </c>
      <c r="AU48" s="14"/>
      <c r="AV48" s="14">
        <f t="shared" si="4"/>
        <v>-1.1134484956837195E-3</v>
      </c>
      <c r="AW48" s="14">
        <f t="shared" si="5"/>
        <v>-4.2658395558599505E-3</v>
      </c>
      <c r="AX48" s="14"/>
      <c r="AY48" s="14">
        <f t="shared" si="6"/>
        <v>1.6794900573294327E-2</v>
      </c>
      <c r="AZ48" s="14">
        <f t="shared" si="7"/>
        <v>4.6958748060818388E-4</v>
      </c>
      <c r="BA48" s="14"/>
      <c r="BB48" s="14">
        <f t="shared" si="8"/>
        <v>1.1885200002358841E-2</v>
      </c>
      <c r="BC48" s="14">
        <f t="shared" si="9"/>
        <v>0</v>
      </c>
      <c r="BE48" s="19">
        <f t="shared" si="10"/>
        <v>4.5945735685378429E-3</v>
      </c>
      <c r="BF48" s="19">
        <f t="shared" si="11"/>
        <v>1.6479773570896691E-2</v>
      </c>
    </row>
    <row r="49" spans="1:58">
      <c r="A49" s="150">
        <v>45596</v>
      </c>
      <c r="B49" s="14">
        <v>-2.6200000000000001E-2</v>
      </c>
      <c r="C49" s="14">
        <v>3.8666666666666669E-2</v>
      </c>
      <c r="D49" s="14">
        <v>-5.1033333333333333E-2</v>
      </c>
      <c r="E49" s="14">
        <v>1.55E-2</v>
      </c>
      <c r="F49" s="14">
        <v>-5.1000000000000004E-3</v>
      </c>
      <c r="G49" s="14"/>
      <c r="H49" s="14">
        <v>0.23945197328562995</v>
      </c>
      <c r="I49" s="14">
        <v>0.14999965138679183</v>
      </c>
      <c r="J49" s="14">
        <v>0.39285374763560876</v>
      </c>
      <c r="K49" s="14">
        <v>5.7451274170830714E-2</v>
      </c>
      <c r="L49" s="14">
        <v>0.16024335352113872</v>
      </c>
      <c r="M49" s="14"/>
      <c r="N49" s="14">
        <v>0.2616327903517397</v>
      </c>
      <c r="O49" s="14">
        <v>0.26119919875349662</v>
      </c>
      <c r="P49" s="14">
        <v>0.40287565059225938</v>
      </c>
      <c r="Q49" s="14">
        <v>-7.2445765218348862E-2</v>
      </c>
      <c r="R49" s="14">
        <f t="shared" si="0"/>
        <v>0.14673812552085319</v>
      </c>
      <c r="S49" s="14"/>
      <c r="T49" s="14">
        <f>SUMPRODUCT(H49:L49,B49:F49)</f>
        <v>-2.0449037787441386E-2</v>
      </c>
      <c r="U49" s="14">
        <f t="shared" si="1"/>
        <v>-1.9186437925012772E-2</v>
      </c>
      <c r="V49" s="14">
        <f>SUMPRODUCT(N49:R49,B49:F49)-T49</f>
        <v>1.2625998624286143E-3</v>
      </c>
      <c r="W49" s="14"/>
      <c r="X49" s="14">
        <f>SUM(H49:J49)</f>
        <v>0.78230537230803054</v>
      </c>
      <c r="Y49" s="14">
        <f>SUM(K49:L49)</f>
        <v>0.21769462769196943</v>
      </c>
      <c r="Z49" s="14"/>
      <c r="AA49" s="14">
        <f t="shared" si="2"/>
        <v>0.9257076396974957</v>
      </c>
      <c r="AB49" s="14">
        <f t="shared" si="3"/>
        <v>7.4292360302504329E-2</v>
      </c>
      <c r="AC49" s="14"/>
      <c r="AD49" s="14">
        <f>H49/$X49</f>
        <v>0.30608504269781034</v>
      </c>
      <c r="AE49" s="14">
        <f>I49/$X49</f>
        <v>0.19174053598053253</v>
      </c>
      <c r="AF49" s="14">
        <f>J49/$X49</f>
        <v>0.50217442132165713</v>
      </c>
      <c r="AG49" s="14">
        <f>K49/$Y49</f>
        <v>0.26390763419353802</v>
      </c>
      <c r="AH49" s="14">
        <f>L49/$Y49</f>
        <v>0.73609236580646209</v>
      </c>
      <c r="AI49" s="14"/>
      <c r="AJ49" s="14">
        <f t="shared" si="12"/>
        <v>0.28263004336578285</v>
      </c>
      <c r="AK49" s="14">
        <f t="shared" si="13"/>
        <v>0.28216165401730048</v>
      </c>
      <c r="AL49" s="14">
        <f t="shared" si="14"/>
        <v>0.43520830261691668</v>
      </c>
      <c r="AM49" s="14">
        <f t="shared" si="15"/>
        <v>-0.97514421298991605</v>
      </c>
      <c r="AN49" s="14">
        <f t="shared" si="16"/>
        <v>1.9751442129899159</v>
      </c>
      <c r="AO49" s="14"/>
      <c r="AP49" s="14">
        <f>SUMPRODUCT(AD49:AF49,B49:D49)</f>
        <v>-2.6233095362217275E-2</v>
      </c>
      <c r="AQ49" s="14">
        <f>SUMPRODUCT(AG49:AH49,E49:F49)</f>
        <v>3.3649726438688245E-4</v>
      </c>
      <c r="AR49" s="14"/>
      <c r="AS49" s="14">
        <f>SUMPRODUCT(AJ49:AL49,B49:D49)</f>
        <v>-1.8704786891064539E-2</v>
      </c>
      <c r="AT49" s="14">
        <f>SUMPRODUCT(E49:F49,AM49:AN49)</f>
        <v>-2.5187970787592273E-2</v>
      </c>
      <c r="AU49" s="14"/>
      <c r="AV49" s="14">
        <f t="shared" si="4"/>
        <v>-8.2944697093407333E-4</v>
      </c>
      <c r="AW49" s="14">
        <f t="shared" si="5"/>
        <v>-2.9806928553353768E-3</v>
      </c>
      <c r="AX49" s="14"/>
      <c r="AY49" s="14">
        <f t="shared" si="6"/>
        <v>6.9690126657454615E-3</v>
      </c>
      <c r="AZ49" s="14">
        <f t="shared" si="7"/>
        <v>-1.8962729770473962E-3</v>
      </c>
      <c r="BA49" s="14"/>
      <c r="BB49" s="14">
        <f t="shared" si="8"/>
        <v>1.2625998624286152E-3</v>
      </c>
      <c r="BC49" s="14">
        <f t="shared" si="9"/>
        <v>0</v>
      </c>
      <c r="BE49" s="19">
        <f t="shared" si="10"/>
        <v>-2.2949037787441385E-2</v>
      </c>
      <c r="BF49" s="19">
        <f t="shared" si="11"/>
        <v>-2.1686437925012771E-2</v>
      </c>
    </row>
    <row r="50" spans="1:58">
      <c r="A50" s="150">
        <v>45626</v>
      </c>
      <c r="B50" s="14">
        <v>-1.4800000000000001E-2</v>
      </c>
      <c r="C50" s="14">
        <v>3.966666666666667E-3</v>
      </c>
      <c r="D50" s="14">
        <v>4.2266666666666668E-2</v>
      </c>
      <c r="E50" s="14">
        <v>3.6600000000000001E-2</v>
      </c>
      <c r="F50" s="14">
        <v>-8.5499999999999993E-2</v>
      </c>
      <c r="G50" s="14"/>
      <c r="H50" s="14">
        <v>0.23355621841227173</v>
      </c>
      <c r="I50" s="14">
        <v>0.14909330939234544</v>
      </c>
      <c r="J50" s="14">
        <v>0.40537630552636428</v>
      </c>
      <c r="K50" s="14">
        <v>5.8960272336881427E-2</v>
      </c>
      <c r="L50" s="14">
        <v>0.15301389433213719</v>
      </c>
      <c r="M50" s="14"/>
      <c r="N50" s="14">
        <v>0.27861023605641444</v>
      </c>
      <c r="O50" s="14">
        <v>0.12114835284010818</v>
      </c>
      <c r="P50" s="14">
        <v>0.42240822984639992</v>
      </c>
      <c r="Q50" s="14">
        <v>-3.8572170716033034E-2</v>
      </c>
      <c r="R50" s="14">
        <f t="shared" si="0"/>
        <v>0.2164053519731105</v>
      </c>
      <c r="S50" s="14"/>
      <c r="T50" s="14">
        <f>SUMPRODUCT(H50:L50,B50:F50)</f>
        <v>3.3439346104678132E-3</v>
      </c>
      <c r="U50" s="14">
        <f t="shared" si="1"/>
        <v>-5.7034875544357596E-3</v>
      </c>
      <c r="V50" s="14">
        <f>SUMPRODUCT(N50:R50,B50:F50)-T50</f>
        <v>-9.0474221649035728E-3</v>
      </c>
      <c r="W50" s="14"/>
      <c r="X50" s="14">
        <f>SUM(H50:J50)</f>
        <v>0.78802583333098142</v>
      </c>
      <c r="Y50" s="14">
        <f>SUM(K50:L50)</f>
        <v>0.21197416666901861</v>
      </c>
      <c r="Z50" s="14"/>
      <c r="AA50" s="14">
        <f t="shared" si="2"/>
        <v>0.82216681874292252</v>
      </c>
      <c r="AB50" s="14">
        <f t="shared" si="3"/>
        <v>0.17783318125707748</v>
      </c>
      <c r="AC50" s="14"/>
      <c r="AD50" s="14">
        <f>H50/$X50</f>
        <v>0.29638142372189846</v>
      </c>
      <c r="AE50" s="14">
        <f>I50/$X50</f>
        <v>0.18919850477760194</v>
      </c>
      <c r="AF50" s="14">
        <f>J50/$X50</f>
        <v>0.51442007150049962</v>
      </c>
      <c r="AG50" s="14">
        <f>K50/$Y50</f>
        <v>0.27814838601980857</v>
      </c>
      <c r="AH50" s="14">
        <f>L50/$Y50</f>
        <v>0.72185161398019149</v>
      </c>
      <c r="AI50" s="14"/>
      <c r="AJ50" s="14">
        <f t="shared" si="12"/>
        <v>0.33887312125099406</v>
      </c>
      <c r="AK50" s="14">
        <f t="shared" si="13"/>
        <v>0.14735252028942461</v>
      </c>
      <c r="AL50" s="14">
        <f t="shared" si="14"/>
        <v>0.5137743584595813</v>
      </c>
      <c r="AM50" s="14">
        <f t="shared" si="15"/>
        <v>-0.21690086430086805</v>
      </c>
      <c r="AN50" s="14">
        <f t="shared" si="16"/>
        <v>1.2169008643008681</v>
      </c>
      <c r="AO50" s="14"/>
      <c r="AP50" s="14">
        <f>SUMPRODUCT(AD50:AF50,B50:D50)</f>
        <v>1.8106864019954844E-2</v>
      </c>
      <c r="AQ50" s="14">
        <f>SUMPRODUCT(AG50:AH50,E50:F50)</f>
        <v>-5.1538082066981378E-2</v>
      </c>
      <c r="AR50" s="14"/>
      <c r="AS50" s="14">
        <f>SUMPRODUCT(AJ50:AL50,B50:D50)</f>
        <v>1.7284705686858311E-2</v>
      </c>
      <c r="AT50" s="14">
        <f>SUMPRODUCT(E50:F50,AM50:AN50)</f>
        <v>-0.11198359553113599</v>
      </c>
      <c r="AU50" s="14"/>
      <c r="AV50" s="14">
        <f t="shared" si="4"/>
        <v>5.0402095760681306E-4</v>
      </c>
      <c r="AW50" s="14">
        <f t="shared" si="5"/>
        <v>1.8737261307627028E-3</v>
      </c>
      <c r="AX50" s="14"/>
      <c r="AY50" s="14">
        <f t="shared" si="6"/>
        <v>-6.759513012249605E-4</v>
      </c>
      <c r="AZ50" s="14">
        <f t="shared" si="7"/>
        <v>-1.0749217952048125E-2</v>
      </c>
      <c r="BA50" s="14"/>
      <c r="BB50" s="14">
        <f t="shared" si="8"/>
        <v>-9.0474221649035694E-3</v>
      </c>
      <c r="BC50" s="14">
        <f t="shared" si="9"/>
        <v>0</v>
      </c>
      <c r="BE50" s="19">
        <f t="shared" si="10"/>
        <v>8.439346104678132E-4</v>
      </c>
      <c r="BF50" s="19">
        <f t="shared" si="11"/>
        <v>-8.2034875544357601E-3</v>
      </c>
    </row>
    <row r="51" spans="1:58">
      <c r="A51" s="150">
        <v>45657</v>
      </c>
      <c r="B51" s="14">
        <v>2.3300000000000001E-2</v>
      </c>
      <c r="C51" s="14">
        <v>1.8066666666666665E-2</v>
      </c>
      <c r="D51" s="14">
        <v>5.6666666666666671E-4</v>
      </c>
      <c r="E51" s="14">
        <v>0.01</v>
      </c>
      <c r="F51" s="14">
        <v>-1.7100000000000004E-2</v>
      </c>
      <c r="G51" s="14"/>
      <c r="H51" s="14">
        <v>0.23570087011954821</v>
      </c>
      <c r="I51" s="14">
        <v>0.14969288196010758</v>
      </c>
      <c r="J51" s="14">
        <v>0.40001029392544374</v>
      </c>
      <c r="K51" s="14">
        <v>5.8728327302773671E-2</v>
      </c>
      <c r="L51" s="14">
        <v>0.15586762669212686</v>
      </c>
      <c r="M51" s="14"/>
      <c r="N51" s="14">
        <v>0.23548556205343996</v>
      </c>
      <c r="O51" s="14">
        <v>0.27053516500341951</v>
      </c>
      <c r="P51" s="14">
        <v>0.41473460281340602</v>
      </c>
      <c r="Q51" s="14">
        <v>-5.1365374450002145E-2</v>
      </c>
      <c r="R51" s="14">
        <f t="shared" si="0"/>
        <v>0.13061004457973657</v>
      </c>
      <c r="S51" s="14"/>
      <c r="T51" s="14">
        <f>SUMPRODUCT(H51:L51,B51:F51)</f>
        <v>6.3449010310148678E-3</v>
      </c>
      <c r="U51" s="14">
        <f t="shared" si="1"/>
        <v>7.8624130116876755E-3</v>
      </c>
      <c r="V51" s="14">
        <f>SUMPRODUCT(N51:R51,B51:F51)-T51</f>
        <v>1.5175119806728078E-3</v>
      </c>
      <c r="W51" s="14"/>
      <c r="X51" s="14">
        <f>SUM(H51:J51)</f>
        <v>0.7854040460050995</v>
      </c>
      <c r="Y51" s="14">
        <f>SUM(K51:L51)</f>
        <v>0.21459595399490053</v>
      </c>
      <c r="Z51" s="14"/>
      <c r="AA51" s="14">
        <f t="shared" si="2"/>
        <v>0.92075532987026554</v>
      </c>
      <c r="AB51" s="14">
        <f t="shared" si="3"/>
        <v>7.9244670129734435E-2</v>
      </c>
      <c r="AC51" s="14"/>
      <c r="AD51" s="14">
        <f>H51/$X51</f>
        <v>0.30010142081445024</v>
      </c>
      <c r="AE51" s="14">
        <f>I51/$X51</f>
        <v>0.19059346933786442</v>
      </c>
      <c r="AF51" s="14">
        <f>J51/$X51</f>
        <v>0.5093051098476854</v>
      </c>
      <c r="AG51" s="14">
        <f>K51/$Y51</f>
        <v>0.27366931300190889</v>
      </c>
      <c r="AH51" s="14">
        <f>L51/$Y51</f>
        <v>0.72633068699809111</v>
      </c>
      <c r="AI51" s="14"/>
      <c r="AJ51" s="14">
        <f t="shared" si="12"/>
        <v>0.25575259182764642</v>
      </c>
      <c r="AK51" s="14">
        <f t="shared" si="13"/>
        <v>0.29381873362768146</v>
      </c>
      <c r="AL51" s="14">
        <f t="shared" si="14"/>
        <v>0.45042867454467206</v>
      </c>
      <c r="AM51" s="14">
        <f t="shared" si="15"/>
        <v>-0.64818711928398409</v>
      </c>
      <c r="AN51" s="14">
        <f t="shared" si="16"/>
        <v>1.6481871192839841</v>
      </c>
      <c r="AO51" s="14"/>
      <c r="AP51" s="14">
        <f>SUMPRODUCT(AD51:AF51,B51:D51)</f>
        <v>1.072435801326113E-2</v>
      </c>
      <c r="AQ51" s="14">
        <f>SUMPRODUCT(AG51:AH51,E51:F51)</f>
        <v>-9.6835616176482713E-3</v>
      </c>
      <c r="AR51" s="14"/>
      <c r="AS51" s="14">
        <f>SUMPRODUCT(AJ51:AL51,B51:D51)</f>
        <v>1.1522603426032922E-2</v>
      </c>
      <c r="AT51" s="14">
        <f>SUMPRODUCT(E51:F51,AM51:AN51)</f>
        <v>-3.4665870932595974E-2</v>
      </c>
      <c r="AU51" s="14"/>
      <c r="AV51" s="14">
        <f t="shared" si="4"/>
        <v>5.9276512517929725E-4</v>
      </c>
      <c r="AW51" s="14">
        <f t="shared" si="5"/>
        <v>2.1694729978814164E-3</v>
      </c>
      <c r="AX51" s="14"/>
      <c r="AY51" s="14">
        <f t="shared" si="6"/>
        <v>7.3498871835411762E-4</v>
      </c>
      <c r="AZ51" s="14">
        <f t="shared" si="7"/>
        <v>-1.9797148607420224E-3</v>
      </c>
      <c r="BA51" s="14"/>
      <c r="BB51" s="14">
        <f t="shared" si="8"/>
        <v>1.5175119806728091E-3</v>
      </c>
      <c r="BC51" s="14">
        <f t="shared" si="9"/>
        <v>0</v>
      </c>
      <c r="BE51" s="19">
        <f t="shared" si="10"/>
        <v>3.8449010310148677E-3</v>
      </c>
      <c r="BF51" s="19">
        <f t="shared" si="11"/>
        <v>5.362413011687675E-3</v>
      </c>
    </row>
    <row r="52" spans="1:58">
      <c r="A52" s="150">
        <v>45688</v>
      </c>
      <c r="B52" s="14">
        <v>-1.9699999999999999E-2</v>
      </c>
      <c r="C52" s="14">
        <v>3.5666666666666666E-2</v>
      </c>
      <c r="D52" s="14">
        <v>3.6466666666666668E-2</v>
      </c>
      <c r="E52" s="14">
        <v>6.0400000000000002E-2</v>
      </c>
      <c r="F52" s="14">
        <v>-8.3500000000000005E-2</v>
      </c>
      <c r="G52" s="14"/>
      <c r="H52" s="14">
        <v>0.22795545251452262</v>
      </c>
      <c r="I52" s="14">
        <v>0.1529505152955096</v>
      </c>
      <c r="J52" s="14">
        <v>0.4090310748362353</v>
      </c>
      <c r="K52" s="14">
        <v>6.1439425592740023E-2</v>
      </c>
      <c r="L52" s="14">
        <v>0.14862353176099252</v>
      </c>
      <c r="M52" s="14"/>
      <c r="N52" s="14">
        <v>0.23577321092708867</v>
      </c>
      <c r="O52" s="14">
        <v>0.20788080780663562</v>
      </c>
      <c r="P52" s="14">
        <v>0.33095363663727395</v>
      </c>
      <c r="Q52" s="14">
        <v>1.3726373818841252E-2</v>
      </c>
      <c r="R52" s="14">
        <f t="shared" si="0"/>
        <v>0.21166597081016059</v>
      </c>
      <c r="S52" s="14"/>
      <c r="T52" s="14">
        <f>SUMPRODUCT(H52:L52,B52:F52)</f>
        <v>7.1813888971237472E-3</v>
      </c>
      <c r="U52" s="14">
        <f t="shared" si="1"/>
        <v>-2.006576411444784E-3</v>
      </c>
      <c r="V52" s="14">
        <f>SUMPRODUCT(N52:R52,B52:F52)-T52</f>
        <v>-9.1879653085685312E-3</v>
      </c>
      <c r="W52" s="14"/>
      <c r="X52" s="14">
        <f>SUM(H52:J52)</f>
        <v>0.78993704264626752</v>
      </c>
      <c r="Y52" s="14">
        <f>SUM(K52:L52)</f>
        <v>0.21006295735373254</v>
      </c>
      <c r="Z52" s="14"/>
      <c r="AA52" s="14">
        <f t="shared" si="2"/>
        <v>0.77460765537099818</v>
      </c>
      <c r="AB52" s="14">
        <f t="shared" si="3"/>
        <v>0.22539234462900185</v>
      </c>
      <c r="AC52" s="14"/>
      <c r="AD52" s="14">
        <f>H52/$X52</f>
        <v>0.28857420301607589</v>
      </c>
      <c r="AE52" s="14">
        <f>I52/$X52</f>
        <v>0.19362367763275101</v>
      </c>
      <c r="AF52" s="14">
        <f>J52/$X52</f>
        <v>0.51780211935117304</v>
      </c>
      <c r="AG52" s="14">
        <f>K52/$Y52</f>
        <v>0.2924810083925457</v>
      </c>
      <c r="AH52" s="14">
        <f>L52/$Y52</f>
        <v>0.70751899160745435</v>
      </c>
      <c r="AI52" s="14"/>
      <c r="AJ52" s="14">
        <f t="shared" si="12"/>
        <v>0.30437758947033017</v>
      </c>
      <c r="AK52" s="14">
        <f t="shared" si="13"/>
        <v>0.26836916258860255</v>
      </c>
      <c r="AL52" s="14">
        <f t="shared" si="14"/>
        <v>0.42725324794106739</v>
      </c>
      <c r="AM52" s="14">
        <f t="shared" si="15"/>
        <v>6.0899911403091381E-2</v>
      </c>
      <c r="AN52" s="14">
        <f t="shared" si="16"/>
        <v>0.93910008859690863</v>
      </c>
      <c r="AO52" s="14"/>
      <c r="AP52" s="14">
        <f>SUMPRODUCT(AD52:AF52,B52:D52)</f>
        <v>2.0103516655157534E-2</v>
      </c>
      <c r="AQ52" s="14">
        <f>SUMPRODUCT(AG52:AH52,E52:F52)</f>
        <v>-4.1411982892312682E-2</v>
      </c>
      <c r="AR52" s="14"/>
      <c r="AS52" s="14">
        <f>SUMPRODUCT(AJ52:AL52,B52:D52)</f>
        <v>1.9156096728012245E-2</v>
      </c>
      <c r="AT52" s="14">
        <f>SUMPRODUCT(E52:F52,AM52:AN52)</f>
        <v>-7.4736502749095157E-2</v>
      </c>
      <c r="AU52" s="14"/>
      <c r="AV52" s="14">
        <f t="shared" si="4"/>
        <v>-1.9808830082340779E-4</v>
      </c>
      <c r="AW52" s="14">
        <f t="shared" si="5"/>
        <v>-7.4490661517141732E-4</v>
      </c>
      <c r="AX52" s="14"/>
      <c r="AY52" s="14">
        <f t="shared" si="6"/>
        <v>-7.3387872841777432E-4</v>
      </c>
      <c r="AZ52" s="14">
        <f t="shared" si="7"/>
        <v>-7.5110916641559309E-3</v>
      </c>
      <c r="BA52" s="14"/>
      <c r="BB52" s="14">
        <f t="shared" si="8"/>
        <v>-9.1879653085685312E-3</v>
      </c>
      <c r="BC52" s="14">
        <f t="shared" si="9"/>
        <v>0</v>
      </c>
      <c r="BE52" s="19">
        <f t="shared" si="10"/>
        <v>4.6813888971237467E-3</v>
      </c>
      <c r="BF52" s="19">
        <f t="shared" si="11"/>
        <v>-4.5065764114447845E-3</v>
      </c>
    </row>
    <row r="53" spans="1:58">
      <c r="A53" s="150">
        <v>45716</v>
      </c>
      <c r="B53" s="14">
        <v>1.5599999999999999E-2</v>
      </c>
      <c r="C53" s="14">
        <v>1.2966666666666668E-2</v>
      </c>
      <c r="D53" s="14">
        <v>-9.9333333333333322E-3</v>
      </c>
      <c r="E53" s="14">
        <v>-5.3499999999999999E-2</v>
      </c>
      <c r="F53" s="14">
        <v>-2.7300000000000001E-2</v>
      </c>
      <c r="G53" s="14"/>
      <c r="H53" s="14">
        <v>0.2311502544010246</v>
      </c>
      <c r="I53" s="14">
        <v>0.15469197982341024</v>
      </c>
      <c r="J53" s="14">
        <v>0.40433602880598341</v>
      </c>
      <c r="K53" s="14">
        <v>5.8061662096225555E-2</v>
      </c>
      <c r="L53" s="14">
        <v>0.15176007487335605</v>
      </c>
      <c r="M53" s="14"/>
      <c r="N53" s="14">
        <v>0.20556518280051667</v>
      </c>
      <c r="O53" s="14">
        <v>0.2268065380782445</v>
      </c>
      <c r="P53" s="14">
        <v>0.22297237049700055</v>
      </c>
      <c r="Q53" s="14">
        <v>5.8541484014059314E-2</v>
      </c>
      <c r="R53" s="14">
        <f t="shared" si="0"/>
        <v>0.28611442461017889</v>
      </c>
      <c r="S53" s="14"/>
      <c r="T53" s="14">
        <f>SUMPRODUCT(H53:L53,B53:F53)</f>
        <v>-5.6539702119639181E-3</v>
      </c>
      <c r="U53" s="14">
        <f t="shared" si="1"/>
        <v>-7.0100104381109665E-3</v>
      </c>
      <c r="V53" s="14">
        <f>SUMPRODUCT(N53:R53,B53:F53)-T53</f>
        <v>-1.3560402261470483E-3</v>
      </c>
      <c r="W53" s="14"/>
      <c r="X53" s="14">
        <f>SUM(H53:J53)</f>
        <v>0.79017826303041827</v>
      </c>
      <c r="Y53" s="14">
        <f>SUM(K53:L53)</f>
        <v>0.20982173696958162</v>
      </c>
      <c r="Z53" s="14"/>
      <c r="AA53" s="14">
        <f t="shared" si="2"/>
        <v>0.65534409137576177</v>
      </c>
      <c r="AB53" s="14">
        <f t="shared" si="3"/>
        <v>0.34465590862423823</v>
      </c>
      <c r="AC53" s="14"/>
      <c r="AD53" s="14">
        <f>H53/$X53</f>
        <v>0.29252924968416444</v>
      </c>
      <c r="AE53" s="14">
        <f>I53/$X53</f>
        <v>0.19576845765175813</v>
      </c>
      <c r="AF53" s="14">
        <f>J53/$X53</f>
        <v>0.51170229266407741</v>
      </c>
      <c r="AG53" s="14">
        <f>K53/$Y53</f>
        <v>0.27671900411654154</v>
      </c>
      <c r="AH53" s="14">
        <f>L53/$Y53</f>
        <v>0.7232809958834584</v>
      </c>
      <c r="AI53" s="14"/>
      <c r="AJ53" s="14">
        <f t="shared" si="12"/>
        <v>0.31367519064522931</v>
      </c>
      <c r="AK53" s="14">
        <f t="shared" si="13"/>
        <v>0.34608771340580829</v>
      </c>
      <c r="AL53" s="14">
        <f t="shared" si="14"/>
        <v>0.34023709594896229</v>
      </c>
      <c r="AM53" s="14">
        <f t="shared" si="15"/>
        <v>0.1698548684330965</v>
      </c>
      <c r="AN53" s="14">
        <f t="shared" si="16"/>
        <v>0.83014513156690339</v>
      </c>
      <c r="AO53" s="14"/>
      <c r="AP53" s="14">
        <f>SUMPRODUCT(AD53:AF53,B53:D53)</f>
        <v>2.0190111888275936E-3</v>
      </c>
      <c r="AQ53" s="14">
        <f>SUMPRODUCT(AG53:AH53,E53:F53)</f>
        <v>-3.4550037907853388E-2</v>
      </c>
      <c r="AR53" s="14"/>
      <c r="AS53" s="14">
        <f>SUMPRODUCT(AJ53:AL53,B53:D53)</f>
        <v>6.0012485048011998E-3</v>
      </c>
      <c r="AT53" s="14">
        <f>SUMPRODUCT(E53:F53,AM53:AN53)</f>
        <v>-3.1750197552947126E-2</v>
      </c>
      <c r="AU53" s="14"/>
      <c r="AV53" s="14">
        <f t="shared" si="4"/>
        <v>-1.0345800912973093E-3</v>
      </c>
      <c r="AW53" s="14">
        <f t="shared" si="5"/>
        <v>-3.8961773518521384E-3</v>
      </c>
      <c r="AX53" s="14"/>
      <c r="AY53" s="14">
        <f t="shared" si="6"/>
        <v>2.6097356954793752E-3</v>
      </c>
      <c r="AZ53" s="14">
        <f t="shared" si="7"/>
        <v>9.6498152152302741E-4</v>
      </c>
      <c r="BA53" s="14"/>
      <c r="BB53" s="14">
        <f t="shared" si="8"/>
        <v>-1.3560402261470451E-3</v>
      </c>
      <c r="BC53" s="14">
        <f t="shared" si="9"/>
        <v>3.2526065174565133E-18</v>
      </c>
      <c r="BE53" s="19">
        <f t="shared" si="10"/>
        <v>-8.1539702119639186E-3</v>
      </c>
      <c r="BF53" s="19">
        <f t="shared" si="11"/>
        <v>-9.5100104381109669E-3</v>
      </c>
    </row>
    <row r="54" spans="1:58">
      <c r="A54" s="150">
        <v>45747</v>
      </c>
      <c r="B54" s="14">
        <v>5.7799999999999997E-2</v>
      </c>
      <c r="C54" s="14">
        <v>1.8566666666666665E-2</v>
      </c>
      <c r="D54" s="14">
        <v>6.6266666666666668E-2</v>
      </c>
      <c r="E54" s="14">
        <v>1.66E-2</v>
      </c>
      <c r="F54" s="14">
        <v>-6.0200000000000004E-2</v>
      </c>
      <c r="G54" s="14"/>
      <c r="H54" s="14">
        <v>0.23455561909136186</v>
      </c>
      <c r="I54" s="14">
        <v>0.15114895897134756</v>
      </c>
      <c r="J54" s="14">
        <v>0.41357680804938624</v>
      </c>
      <c r="K54" s="14">
        <v>5.6622295561095042E-2</v>
      </c>
      <c r="L54" s="14">
        <v>0.1440963183268093</v>
      </c>
      <c r="M54" s="14"/>
      <c r="N54" s="14">
        <v>0.27081373157571825</v>
      </c>
      <c r="O54" s="14">
        <v>0.26853875465199434</v>
      </c>
      <c r="P54" s="14">
        <v>0.34078389786560637</v>
      </c>
      <c r="Q54" s="14">
        <v>-3.6629724364762854E-2</v>
      </c>
      <c r="R54" s="14">
        <f t="shared" si="0"/>
        <v>0.1564933402714439</v>
      </c>
      <c r="S54" s="14"/>
      <c r="T54" s="14">
        <f>SUMPRODUCT(H54:L54,B54:F54)</f>
        <v>3.603533534482832E-2</v>
      </c>
      <c r="U54" s="14">
        <f t="shared" si="1"/>
        <v>3.31925636862134E-2</v>
      </c>
      <c r="V54" s="14">
        <f>SUMPRODUCT(N54:R54,B54:F54)-T54</f>
        <v>-2.8427716586149204E-3</v>
      </c>
      <c r="W54" s="14"/>
      <c r="X54" s="14">
        <f>SUM(H54:J54)</f>
        <v>0.79928138611209565</v>
      </c>
      <c r="Y54" s="14">
        <f>SUM(K54:L54)</f>
        <v>0.20071861388790435</v>
      </c>
      <c r="Z54" s="14"/>
      <c r="AA54" s="14">
        <f t="shared" si="2"/>
        <v>0.88013638409331896</v>
      </c>
      <c r="AB54" s="14">
        <f t="shared" si="3"/>
        <v>0.11986361590668104</v>
      </c>
      <c r="AC54" s="14"/>
      <c r="AD54" s="14">
        <f>H54/$X54</f>
        <v>0.29345812772182645</v>
      </c>
      <c r="AE54" s="14">
        <f>I54/$X54</f>
        <v>0.18910606652129591</v>
      </c>
      <c r="AF54" s="14">
        <f>J54/$X54</f>
        <v>0.51743580575687764</v>
      </c>
      <c r="AG54" s="14">
        <f>K54/$Y54</f>
        <v>0.28209788053198187</v>
      </c>
      <c r="AH54" s="14">
        <f>L54/$Y54</f>
        <v>0.71790211946801807</v>
      </c>
      <c r="AI54" s="14"/>
      <c r="AJ54" s="14">
        <f t="shared" si="12"/>
        <v>0.30769518959802988</v>
      </c>
      <c r="AK54" s="14">
        <f t="shared" si="13"/>
        <v>0.3051103891456915</v>
      </c>
      <c r="AL54" s="14">
        <f t="shared" si="14"/>
        <v>0.38719442125627862</v>
      </c>
      <c r="AM54" s="14">
        <f t="shared" si="15"/>
        <v>-0.30559502220657736</v>
      </c>
      <c r="AN54" s="14">
        <f t="shared" si="16"/>
        <v>1.3055950222065775</v>
      </c>
      <c r="AO54" s="14"/>
      <c r="AP54" s="14">
        <f>SUMPRODUCT(AD54:AF54,B54:D54)</f>
        <v>5.4761695145556052E-2</v>
      </c>
      <c r="AQ54" s="14">
        <f>SUMPRODUCT(AG54:AH54,E54:F54)</f>
        <v>-3.8534882775143796E-2</v>
      </c>
      <c r="AR54" s="14"/>
      <c r="AS54" s="14">
        <f>SUMPRODUCT(AJ54:AL54,B54:D54)</f>
        <v>4.9107748499153864E-2</v>
      </c>
      <c r="AT54" s="14">
        <f>SUMPRODUCT(E54:F54,AM54:AN54)</f>
        <v>-8.366969770546516E-2</v>
      </c>
      <c r="AU54" s="14"/>
      <c r="AV54" s="14">
        <f t="shared" si="4"/>
        <v>1.5141197838835021E-3</v>
      </c>
      <c r="AW54" s="14">
        <f t="shared" si="5"/>
        <v>6.0293748355497263E-3</v>
      </c>
      <c r="AX54" s="14"/>
      <c r="AY54" s="14">
        <f t="shared" si="6"/>
        <v>-4.9762441572209692E-3</v>
      </c>
      <c r="AZ54" s="14">
        <f t="shared" si="7"/>
        <v>-5.4100221208271725E-3</v>
      </c>
      <c r="BA54" s="14"/>
      <c r="BB54" s="14">
        <f t="shared" si="8"/>
        <v>-2.8427716586149135E-3</v>
      </c>
      <c r="BC54" s="14">
        <f t="shared" si="9"/>
        <v>6.9388939039072284E-18</v>
      </c>
      <c r="BE54" s="19">
        <f t="shared" si="10"/>
        <v>3.3535335344828318E-2</v>
      </c>
      <c r="BF54" s="19">
        <f t="shared" si="11"/>
        <v>3.0692563686213401E-2</v>
      </c>
    </row>
    <row r="55" spans="1:58">
      <c r="A55" s="150">
        <v>45777</v>
      </c>
      <c r="B55" s="14">
        <v>6.3100000000000003E-2</v>
      </c>
      <c r="C55" s="14">
        <v>9.1566666666666671E-2</v>
      </c>
      <c r="D55" s="14">
        <v>2.8866666666666665E-2</v>
      </c>
      <c r="E55" s="14">
        <v>7.1099999999999997E-2</v>
      </c>
      <c r="F55" s="14">
        <v>-1.9200000000000002E-2</v>
      </c>
      <c r="G55" s="14"/>
      <c r="H55" s="14">
        <v>0.23769856571892925</v>
      </c>
      <c r="I55" s="14">
        <v>0.15727584491139038</v>
      </c>
      <c r="J55" s="14">
        <v>0.40562234894414101</v>
      </c>
      <c r="K55" s="14">
        <v>5.7812811917609105E-2</v>
      </c>
      <c r="L55" s="14">
        <v>0.14159042850793019</v>
      </c>
      <c r="M55" s="14"/>
      <c r="N55" s="14">
        <v>0.26515040480389906</v>
      </c>
      <c r="O55" s="14">
        <v>0.27221409762340826</v>
      </c>
      <c r="P55" s="14">
        <v>0.5272835896750413</v>
      </c>
      <c r="Q55" s="14">
        <v>2.9032127856754575E-3</v>
      </c>
      <c r="R55" s="14">
        <f t="shared" si="0"/>
        <v>-6.7551304888023855E-2</v>
      </c>
      <c r="S55" s="14"/>
      <c r="T55" s="14">
        <f>SUMPRODUCT(H55:L55,B55:F55)</f>
        <v>4.2500924202094698E-2</v>
      </c>
      <c r="U55" s="14">
        <f t="shared" si="1"/>
        <v>5.8381051187040553E-2</v>
      </c>
      <c r="V55" s="14">
        <f>SUMPRODUCT(N55:R55,B55:F55)-T55</f>
        <v>1.5880126984945855E-2</v>
      </c>
      <c r="W55" s="14"/>
      <c r="X55" s="14">
        <f>SUM(H55:J55)</f>
        <v>0.80059675957446064</v>
      </c>
      <c r="Y55" s="14">
        <f>SUM(K55:L55)</f>
        <v>0.19940324042553931</v>
      </c>
      <c r="Z55" s="14"/>
      <c r="AA55" s="14">
        <f t="shared" si="2"/>
        <v>1.0646480921023485</v>
      </c>
      <c r="AB55" s="14">
        <f t="shared" si="3"/>
        <v>-6.4648092102348398E-2</v>
      </c>
      <c r="AC55" s="14"/>
      <c r="AD55" s="14">
        <f>H55/$X55</f>
        <v>0.29690173345851739</v>
      </c>
      <c r="AE55" s="14">
        <f>I55/$X55</f>
        <v>0.19644826565996451</v>
      </c>
      <c r="AF55" s="14">
        <f>J55/$X55</f>
        <v>0.50665000088151813</v>
      </c>
      <c r="AG55" s="14">
        <f>K55/$Y55</f>
        <v>0.28992914956764421</v>
      </c>
      <c r="AH55" s="14">
        <f>L55/$Y55</f>
        <v>0.71007085043235574</v>
      </c>
      <c r="AI55" s="14"/>
      <c r="AJ55" s="14">
        <f t="shared" si="12"/>
        <v>0.24904980976419128</v>
      </c>
      <c r="AK55" s="14">
        <f t="shared" si="13"/>
        <v>0.25568457750755008</v>
      </c>
      <c r="AL55" s="14">
        <f t="shared" si="14"/>
        <v>0.49526561272825881</v>
      </c>
      <c r="AM55" s="14">
        <f t="shared" si="15"/>
        <v>-4.490794223407555E-2</v>
      </c>
      <c r="AN55" s="14">
        <f t="shared" si="16"/>
        <v>1.0449079422340755</v>
      </c>
      <c r="AO55" s="14"/>
      <c r="AP55" s="14">
        <f>SUMPRODUCT(AD55:AF55,B55:D55)</f>
        <v>5.1347908932276351E-2</v>
      </c>
      <c r="AQ55" s="14">
        <f>SUMPRODUCT(AG55:AH55,E55:F55)</f>
        <v>6.9806022059582685E-3</v>
      </c>
      <c r="AR55" s="14"/>
      <c r="AS55" s="14">
        <f>SUMPRODUCT(AJ55:AL55,B55:D55)</f>
        <v>5.3423894830650874E-2</v>
      </c>
      <c r="AT55" s="14">
        <f>SUMPRODUCT(E55:F55,AM55:AN55)</f>
        <v>-2.3255187183737022E-2</v>
      </c>
      <c r="AU55" s="14"/>
      <c r="AV55" s="14">
        <f t="shared" si="4"/>
        <v>2.3360581068583419E-3</v>
      </c>
      <c r="AW55" s="14">
        <f t="shared" si="5"/>
        <v>9.3791883548994641E-3</v>
      </c>
      <c r="AX55" s="14"/>
      <c r="AY55" s="14">
        <f t="shared" si="6"/>
        <v>2.2101944259358157E-3</v>
      </c>
      <c r="AZ55" s="14">
        <f t="shared" si="7"/>
        <v>1.9546860972522295E-3</v>
      </c>
      <c r="BA55" s="14"/>
      <c r="BB55" s="14">
        <f t="shared" si="8"/>
        <v>1.5880126984945848E-2</v>
      </c>
      <c r="BC55" s="14">
        <f t="shared" si="9"/>
        <v>0</v>
      </c>
      <c r="BE55" s="19">
        <f t="shared" si="10"/>
        <v>4.0000924202094695E-2</v>
      </c>
      <c r="BF55" s="19">
        <f t="shared" si="11"/>
        <v>5.5881051187040551E-2</v>
      </c>
    </row>
    <row r="56" spans="1:58">
      <c r="A56" s="150">
        <v>45808</v>
      </c>
      <c r="B56" s="14">
        <v>8.3000000000000001E-3</v>
      </c>
      <c r="C56" s="14">
        <v>-3.3333333333333305E-4</v>
      </c>
      <c r="D56" s="14">
        <v>-9.633333333333334E-3</v>
      </c>
      <c r="E56" s="14">
        <v>-1.5699999999999999E-2</v>
      </c>
      <c r="F56" s="14">
        <v>-2.1000000000000001E-2</v>
      </c>
      <c r="G56" s="14"/>
      <c r="H56" s="14">
        <v>0.23938146781661154</v>
      </c>
      <c r="I56" s="14">
        <v>0.15703318353854309</v>
      </c>
      <c r="J56" s="14">
        <v>0.40122878952655461</v>
      </c>
      <c r="K56" s="14">
        <v>5.6836297075055754E-2</v>
      </c>
      <c r="L56" s="14">
        <v>0.14552026204323493</v>
      </c>
      <c r="M56" s="14"/>
      <c r="N56" s="14">
        <v>0.21855459964736904</v>
      </c>
      <c r="O56" s="14">
        <v>0.33581700934558367</v>
      </c>
      <c r="P56" s="14">
        <v>0.37939509485678735</v>
      </c>
      <c r="Q56" s="14">
        <v>2.7647947073705707E-2</v>
      </c>
      <c r="R56" s="14">
        <f t="shared" si="0"/>
        <v>3.8585349076554309E-2</v>
      </c>
      <c r="S56" s="14"/>
      <c r="T56" s="14">
        <f>SUMPRODUCT(H56:L56,B56:F56)</f>
        <v>-5.8789042510604232E-3</v>
      </c>
      <c r="U56" s="14">
        <f t="shared" si="1"/>
        <v>-3.1971403394939033E-3</v>
      </c>
      <c r="V56" s="14">
        <f>SUMPRODUCT(N56:R56,B56:F56)-T56</f>
        <v>2.68176391156652E-3</v>
      </c>
      <c r="W56" s="14"/>
      <c r="X56" s="14">
        <f>SUM(H56:J56)</f>
        <v>0.79764344088170924</v>
      </c>
      <c r="Y56" s="14">
        <f>SUM(K56:L56)</f>
        <v>0.20235655911829067</v>
      </c>
      <c r="Z56" s="14"/>
      <c r="AA56" s="14">
        <f t="shared" si="2"/>
        <v>0.93376670384974003</v>
      </c>
      <c r="AB56" s="14">
        <f t="shared" si="3"/>
        <v>6.6233296150260024E-2</v>
      </c>
      <c r="AC56" s="14"/>
      <c r="AD56" s="14">
        <f>H56/$X56</f>
        <v>0.3001108710328026</v>
      </c>
      <c r="AE56" s="14">
        <f>I56/$X56</f>
        <v>0.19687140329889727</v>
      </c>
      <c r="AF56" s="14">
        <f>J56/$X56</f>
        <v>0.50301772566830016</v>
      </c>
      <c r="AG56" s="14">
        <f>K56/$Y56</f>
        <v>0.28087202768570113</v>
      </c>
      <c r="AH56" s="14">
        <f>L56/$Y56</f>
        <v>0.71912797231429892</v>
      </c>
      <c r="AI56" s="14"/>
      <c r="AJ56" s="14">
        <f t="shared" si="12"/>
        <v>0.23405696385008223</v>
      </c>
      <c r="AK56" s="14">
        <f t="shared" si="13"/>
        <v>0.35963694995877976</v>
      </c>
      <c r="AL56" s="14">
        <f t="shared" si="14"/>
        <v>0.40630608619113806</v>
      </c>
      <c r="AM56" s="14">
        <f t="shared" si="15"/>
        <v>0.41743275181386491</v>
      </c>
      <c r="AN56" s="14">
        <f t="shared" si="16"/>
        <v>0.58256724818613492</v>
      </c>
      <c r="AO56" s="14"/>
      <c r="AP56" s="14">
        <f>SUMPRODUCT(AD56:AF56,B56:D56)</f>
        <v>-2.4204409954653294E-3</v>
      </c>
      <c r="AQ56" s="14">
        <f>SUMPRODUCT(AG56:AH56,E56:F56)</f>
        <v>-1.9511378253265786E-2</v>
      </c>
      <c r="AR56" s="14"/>
      <c r="AS56" s="14">
        <f>SUMPRODUCT(AJ56:AL56,B56:D56)</f>
        <v>-2.0912881470052077E-3</v>
      </c>
      <c r="AT56" s="14">
        <f>SUMPRODUCT(E56:F56,AM56:AN56)</f>
        <v>-1.8787606415386512E-2</v>
      </c>
      <c r="AU56" s="14"/>
      <c r="AV56" s="14">
        <f t="shared" si="4"/>
        <v>4.7077730320664287E-4</v>
      </c>
      <c r="AW56" s="14">
        <f t="shared" si="5"/>
        <v>1.8556968435070418E-3</v>
      </c>
      <c r="AX56" s="14"/>
      <c r="AY56" s="14">
        <f t="shared" si="6"/>
        <v>3.073519703693608E-4</v>
      </c>
      <c r="AZ56" s="14">
        <f t="shared" si="7"/>
        <v>4.7937794483475968E-5</v>
      </c>
      <c r="BA56" s="14"/>
      <c r="BB56" s="14">
        <f t="shared" si="8"/>
        <v>2.6817639115665217E-3</v>
      </c>
      <c r="BC56" s="14">
        <f t="shared" si="9"/>
        <v>0</v>
      </c>
      <c r="BE56" s="19">
        <f t="shared" si="10"/>
        <v>-8.3789042510604237E-3</v>
      </c>
      <c r="BF56" s="19">
        <f t="shared" si="11"/>
        <v>-5.6971403394939033E-3</v>
      </c>
    </row>
    <row r="57" spans="1:58">
      <c r="A57" s="150">
        <v>45838</v>
      </c>
      <c r="B57" s="14">
        <v>-1.77E-2</v>
      </c>
      <c r="C57" s="14">
        <v>2.3066666666666666E-2</v>
      </c>
      <c r="D57" s="14">
        <v>-4.1033333333333331E-2</v>
      </c>
      <c r="E57" s="14">
        <v>3.6299999999999999E-2</v>
      </c>
      <c r="F57" s="14">
        <v>8.9999999999999802E-4</v>
      </c>
      <c r="G57" s="14"/>
      <c r="H57" s="14">
        <v>0.23694721345560243</v>
      </c>
      <c r="I57" s="14">
        <v>0.16188712339518488</v>
      </c>
      <c r="J57" s="14">
        <v>0.38771493901610082</v>
      </c>
      <c r="K57" s="14">
        <v>5.9351023097204081E-2</v>
      </c>
      <c r="L57" s="14">
        <v>0.15409970103590789</v>
      </c>
      <c r="M57" s="14"/>
      <c r="N57" s="14">
        <v>0.24539043137457772</v>
      </c>
      <c r="O57" s="14">
        <v>0.21942516458996933</v>
      </c>
      <c r="P57" s="14">
        <v>0.33896229301166891</v>
      </c>
      <c r="Q57" s="14">
        <v>2.6790948862706346E-2</v>
      </c>
      <c r="R57" s="14">
        <f t="shared" si="0"/>
        <v>0.16943116216107768</v>
      </c>
      <c r="S57" s="14"/>
      <c r="T57" s="14">
        <f>SUMPRODUCT(H57:L57,B57:F57)</f>
        <v>-1.4075873826781741E-2</v>
      </c>
      <c r="U57" s="14">
        <f t="shared" si="1"/>
        <v>-1.2065756772372337E-2</v>
      </c>
      <c r="V57" s="14">
        <f>SUMPRODUCT(N57:R57,B57:F57)-T57</f>
        <v>2.0101170544094046E-3</v>
      </c>
      <c r="W57" s="14"/>
      <c r="X57" s="14">
        <f>SUM(H57:J57)</f>
        <v>0.78654927586688816</v>
      </c>
      <c r="Y57" s="14">
        <f>SUM(K57:L57)</f>
        <v>0.21345072413311197</v>
      </c>
      <c r="Z57" s="14"/>
      <c r="AA57" s="14">
        <f t="shared" si="2"/>
        <v>0.80377788897621594</v>
      </c>
      <c r="AB57" s="14">
        <f t="shared" si="3"/>
        <v>0.19622211102378401</v>
      </c>
      <c r="AC57" s="14"/>
      <c r="AD57" s="14">
        <f>H57/$X57</f>
        <v>0.30124903896765171</v>
      </c>
      <c r="AE57" s="14">
        <f>I57/$X57</f>
        <v>0.20581942970675607</v>
      </c>
      <c r="AF57" s="14">
        <f>J57/$X57</f>
        <v>0.4929315313255922</v>
      </c>
      <c r="AG57" s="14">
        <f>K57/$Y57</f>
        <v>0.27805491566377466</v>
      </c>
      <c r="AH57" s="14">
        <f>L57/$Y57</f>
        <v>0.72194508433622528</v>
      </c>
      <c r="AI57" s="14"/>
      <c r="AJ57" s="14">
        <f t="shared" si="12"/>
        <v>0.30529631971729804</v>
      </c>
      <c r="AK57" s="14">
        <f t="shared" si="13"/>
        <v>0.27299228754532484</v>
      </c>
      <c r="AL57" s="14">
        <f t="shared" si="14"/>
        <v>0.42171139273737712</v>
      </c>
      <c r="AM57" s="14">
        <f t="shared" si="15"/>
        <v>0.13653379184906958</v>
      </c>
      <c r="AN57" s="14">
        <f t="shared" si="16"/>
        <v>0.86346620815093045</v>
      </c>
      <c r="AO57" s="14"/>
      <c r="AP57" s="14">
        <f>SUMPRODUCT(AD57:AF57,B57:D57)</f>
        <v>-2.0811163646551729E-2</v>
      </c>
      <c r="AQ57" s="14">
        <f>SUMPRODUCT(AG57:AH57,E57:F57)</f>
        <v>1.0743144014497621E-2</v>
      </c>
      <c r="AR57" s="14"/>
      <c r="AS57" s="14">
        <f>SUMPRODUCT(AJ57:AL57,B57:D57)</f>
        <v>-1.6410946908274392E-2</v>
      </c>
      <c r="AT57" s="14">
        <f>SUMPRODUCT(E57:F57,AM57:AN57)</f>
        <v>5.7332962314570616E-3</v>
      </c>
      <c r="AU57" s="14"/>
      <c r="AV57" s="14">
        <f t="shared" si="4"/>
        <v>-1.1603970248401111E-4</v>
      </c>
      <c r="AW57" s="14">
        <f t="shared" si="5"/>
        <v>-4.2759725614091034E-4</v>
      </c>
      <c r="AX57" s="14"/>
      <c r="AY57" s="14">
        <f t="shared" si="6"/>
        <v>3.5367969209303685E-3</v>
      </c>
      <c r="AZ57" s="14">
        <f t="shared" si="7"/>
        <v>-9.8304290789604301E-4</v>
      </c>
      <c r="BA57" s="14"/>
      <c r="BB57" s="14">
        <f t="shared" si="8"/>
        <v>2.0101170544094041E-3</v>
      </c>
      <c r="BC57" s="14">
        <f t="shared" si="9"/>
        <v>0</v>
      </c>
      <c r="BE57" s="19">
        <f t="shared" si="10"/>
        <v>-1.6575873826781742E-2</v>
      </c>
      <c r="BF57" s="19">
        <f t="shared" si="11"/>
        <v>-1.4565756772372337E-2</v>
      </c>
    </row>
    <row r="58" spans="1:58">
      <c r="A58" s="150">
        <v>45869</v>
      </c>
      <c r="B58" s="14">
        <v>2.0000000000000001E-4</v>
      </c>
      <c r="C58" s="14">
        <v>-1.6633333333333333E-2</v>
      </c>
      <c r="D58" s="14">
        <v>2.0466666666666664E-2</v>
      </c>
      <c r="E58" s="14">
        <v>2.4400000000000002E-2</v>
      </c>
      <c r="F58" s="14">
        <v>-4.53E-2</v>
      </c>
      <c r="G58" s="14"/>
      <c r="H58" s="14">
        <v>0.23523916989346488</v>
      </c>
      <c r="I58" s="14">
        <v>0.15801523859039429</v>
      </c>
      <c r="J58" s="14">
        <v>0.39271956727399238</v>
      </c>
      <c r="K58" s="14">
        <v>6.034884488804769E-2</v>
      </c>
      <c r="L58" s="14">
        <v>0.15367717935410063</v>
      </c>
      <c r="M58" s="14"/>
      <c r="N58" s="14">
        <v>0.21775110224916588</v>
      </c>
      <c r="O58" s="14">
        <v>0.24390195679103038</v>
      </c>
      <c r="P58" s="14">
        <v>0.41118558283978357</v>
      </c>
      <c r="Q58" s="14">
        <v>-4.1004385407014843E-2</v>
      </c>
      <c r="R58" s="14">
        <f t="shared" si="0"/>
        <v>0.16816574352703495</v>
      </c>
      <c r="S58" s="14"/>
      <c r="T58" s="14">
        <f>SUMPRODUCT(H58:L58,B58:F58)</f>
        <v>-3.2676233839549866E-5</v>
      </c>
      <c r="U58" s="14">
        <f t="shared" si="1"/>
        <v>-4.2161692510925813E-3</v>
      </c>
      <c r="V58" s="14">
        <f>SUMPRODUCT(N58:R58,B58:F58)-T58</f>
        <v>-4.1834930172530314E-3</v>
      </c>
      <c r="W58" s="14"/>
      <c r="X58" s="14">
        <f>SUM(H58:J58)</f>
        <v>0.78597397575785155</v>
      </c>
      <c r="Y58" s="14">
        <f>SUM(K58:L58)</f>
        <v>0.21402602424214834</v>
      </c>
      <c r="Z58" s="14"/>
      <c r="AA58" s="14">
        <f t="shared" si="2"/>
        <v>0.87283864187997984</v>
      </c>
      <c r="AB58" s="14">
        <f t="shared" si="3"/>
        <v>0.12716135812002011</v>
      </c>
      <c r="AC58" s="14"/>
      <c r="AD58" s="14">
        <f>H58/$X58</f>
        <v>0.29929638531179437</v>
      </c>
      <c r="AE58" s="14">
        <f>I58/$X58</f>
        <v>0.20104385573076117</v>
      </c>
      <c r="AF58" s="14">
        <f>J58/$X58</f>
        <v>0.49965975895744441</v>
      </c>
      <c r="AG58" s="14">
        <f>K58/$Y58</f>
        <v>0.281969658137317</v>
      </c>
      <c r="AH58" s="14">
        <f>L58/$Y58</f>
        <v>0.71803034186268289</v>
      </c>
      <c r="AI58" s="14"/>
      <c r="AJ58" s="14">
        <f t="shared" si="12"/>
        <v>0.2494746357472884</v>
      </c>
      <c r="AK58" s="14">
        <f t="shared" si="13"/>
        <v>0.2794353332772912</v>
      </c>
      <c r="AL58" s="14">
        <f t="shared" si="14"/>
        <v>0.4710900309754204</v>
      </c>
      <c r="AM58" s="14">
        <f t="shared" si="15"/>
        <v>-0.32245947993346546</v>
      </c>
      <c r="AN58" s="14">
        <f t="shared" si="16"/>
        <v>1.3224594799334655</v>
      </c>
      <c r="AO58" s="14"/>
      <c r="AP58" s="14">
        <f>SUMPRODUCT(AD58:AF58,B58:D58)</f>
        <v>6.94219954340306E-3</v>
      </c>
      <c r="AQ58" s="14">
        <f>SUMPRODUCT(AG58:AH58,E58:F58)</f>
        <v>-2.5646714827829001E-2</v>
      </c>
      <c r="AR58" s="14"/>
      <c r="AS58" s="14">
        <f>SUMPRODUCT(AJ58:AL58,B58:D58)</f>
        <v>5.0435965176007834E-3</v>
      </c>
      <c r="AT58" s="14">
        <f>SUMPRODUCT(E58:F58,AM58:AN58)</f>
        <v>-6.7775425751362542E-2</v>
      </c>
      <c r="AU58" s="14"/>
      <c r="AV58" s="14">
        <f t="shared" si="4"/>
        <v>6.0587025563349928E-4</v>
      </c>
      <c r="AW58" s="14">
        <f t="shared" si="5"/>
        <v>2.2249549105062003E-3</v>
      </c>
      <c r="AX58" s="14"/>
      <c r="AY58" s="14">
        <f t="shared" si="6"/>
        <v>-1.6571740865104793E-3</v>
      </c>
      <c r="AZ58" s="14">
        <f t="shared" si="7"/>
        <v>-5.3571440968822517E-3</v>
      </c>
      <c r="BA58" s="14"/>
      <c r="BB58" s="14">
        <f t="shared" si="8"/>
        <v>-4.1834930172530314E-3</v>
      </c>
      <c r="BC58" s="14">
        <f t="shared" si="9"/>
        <v>0</v>
      </c>
      <c r="BE58" s="19">
        <f t="shared" si="10"/>
        <v>-2.5326762338395499E-3</v>
      </c>
      <c r="BF58" s="19">
        <f t="shared" si="11"/>
        <v>-6.7161692510925818E-3</v>
      </c>
    </row>
    <row r="59" spans="1:58">
      <c r="A59" s="150">
        <v>45900</v>
      </c>
      <c r="B59" s="14">
        <v>3.0499999999999999E-2</v>
      </c>
      <c r="C59" s="14">
        <v>9.6266666666666667E-2</v>
      </c>
      <c r="D59" s="14">
        <v>6.9766666666666671E-2</v>
      </c>
      <c r="E59" s="14">
        <v>0.1358</v>
      </c>
      <c r="F59" s="14">
        <v>-7.3900000000000007E-2</v>
      </c>
      <c r="G59" s="14"/>
      <c r="H59" s="14">
        <v>0.22992716763217141</v>
      </c>
      <c r="I59" s="14">
        <v>0.16430388609877561</v>
      </c>
      <c r="J59" s="14">
        <v>0.39847791571972019</v>
      </c>
      <c r="K59" s="14">
        <v>6.5013490189813672E-2</v>
      </c>
      <c r="L59" s="14">
        <v>0.14227754035951917</v>
      </c>
      <c r="M59" s="14"/>
      <c r="N59" s="14">
        <v>0.22393588608877874</v>
      </c>
      <c r="O59" s="14">
        <v>0.2174451115820441</v>
      </c>
      <c r="P59" s="14">
        <v>0.45935412397653386</v>
      </c>
      <c r="Q59" s="14">
        <v>-3.1044162788739088E-3</v>
      </c>
      <c r="R59" s="14">
        <f t="shared" si="0"/>
        <v>0.10236929463151723</v>
      </c>
      <c r="S59" s="14"/>
      <c r="T59" s="14">
        <f>SUMPRODUCT(H59:L59,B59:F59)</f>
        <v>4.8944763703144059E-2</v>
      </c>
      <c r="U59" s="14">
        <f t="shared" si="1"/>
        <v>5.1823696046161841E-2</v>
      </c>
      <c r="V59" s="14">
        <f>SUMPRODUCT(N59:R59,B59:F59)-T59</f>
        <v>2.8789323430177816E-3</v>
      </c>
      <c r="W59" s="14"/>
      <c r="X59" s="14">
        <f>SUM(H59:J59)</f>
        <v>0.79270896945066727</v>
      </c>
      <c r="Y59" s="14">
        <f>SUM(K59:L59)</f>
        <v>0.20729103054933284</v>
      </c>
      <c r="Z59" s="14"/>
      <c r="AA59" s="14">
        <f t="shared" si="2"/>
        <v>0.9007351216473567</v>
      </c>
      <c r="AB59" s="14">
        <f t="shared" si="3"/>
        <v>9.9264878352643318E-2</v>
      </c>
      <c r="AC59" s="14"/>
      <c r="AD59" s="14">
        <f>H59/$X59</f>
        <v>0.2900524360049902</v>
      </c>
      <c r="AE59" s="14">
        <f>I59/$X59</f>
        <v>0.20726886213061924</v>
      </c>
      <c r="AF59" s="14">
        <f>J59/$X59</f>
        <v>0.50267870186439045</v>
      </c>
      <c r="AG59" s="14">
        <f>K59/$Y59</f>
        <v>0.31363387994899866</v>
      </c>
      <c r="AH59" s="14">
        <f>L59/$Y59</f>
        <v>0.68636612005100128</v>
      </c>
      <c r="AI59" s="14"/>
      <c r="AJ59" s="14">
        <f t="shared" si="12"/>
        <v>0.24861458236381617</v>
      </c>
      <c r="AK59" s="14">
        <f t="shared" si="13"/>
        <v>0.24140849663368094</v>
      </c>
      <c r="AL59" s="14">
        <f t="shared" si="14"/>
        <v>0.50997692100250291</v>
      </c>
      <c r="AM59" s="14">
        <f t="shared" si="15"/>
        <v>-3.1274065212121838E-2</v>
      </c>
      <c r="AN59" s="14">
        <f t="shared" si="16"/>
        <v>1.0312740652121219</v>
      </c>
      <c r="AO59" s="14"/>
      <c r="AP59" s="14">
        <f>SUMPRODUCT(AD59:AF59,B59:D59)</f>
        <v>6.3869899192665461E-2</v>
      </c>
      <c r="AQ59" s="14">
        <f>SUMPRODUCT(AG59:AH59,E59:F59)</f>
        <v>-8.130975374694982E-3</v>
      </c>
      <c r="AR59" s="14"/>
      <c r="AS59" s="14">
        <f>SUMPRODUCT(AJ59:AL59,B59:D59)</f>
        <v>6.6401725893306701E-2</v>
      </c>
      <c r="AT59" s="14">
        <f>SUMPRODUCT(E59:F59,AM59:AN59)</f>
        <v>-8.0458171474981965E-2</v>
      </c>
      <c r="AU59" s="14"/>
      <c r="AV59" s="14">
        <f t="shared" si="4"/>
        <v>1.6123049579472497E-3</v>
      </c>
      <c r="AW59" s="14">
        <f t="shared" si="5"/>
        <v>6.1656724763611802E-3</v>
      </c>
      <c r="AX59" s="14"/>
      <c r="AY59" s="14">
        <f t="shared" si="6"/>
        <v>2.2805052311921136E-3</v>
      </c>
      <c r="AZ59" s="14">
        <f t="shared" si="7"/>
        <v>-7.179550322482766E-3</v>
      </c>
      <c r="BA59" s="14"/>
      <c r="BB59" s="14">
        <f t="shared" si="8"/>
        <v>2.8789323430177781E-3</v>
      </c>
      <c r="BC59" s="14">
        <f t="shared" si="9"/>
        <v>-3.4694469519536142E-18</v>
      </c>
      <c r="BE59" s="19">
        <f t="shared" si="10"/>
        <v>4.6444763703144057E-2</v>
      </c>
      <c r="BF59" s="19">
        <f t="shared" si="11"/>
        <v>4.9323696046161838E-2</v>
      </c>
    </row>
    <row r="60" spans="1:58">
      <c r="A60" s="150">
        <v>45930</v>
      </c>
      <c r="B60" s="14">
        <v>2.4400000000000002E-2</v>
      </c>
      <c r="C60" s="14">
        <v>4.7366666666666668E-2</v>
      </c>
      <c r="D60" s="14">
        <v>-5.1233333333333332E-2</v>
      </c>
      <c r="E60" s="14">
        <v>-2.6800000000000001E-2</v>
      </c>
      <c r="F60" s="14">
        <v>2.4599999999999997E-2</v>
      </c>
      <c r="G60" s="14"/>
      <c r="H60" s="14">
        <v>0.23510269941130726</v>
      </c>
      <c r="I60" s="14">
        <v>0.17176882301781529</v>
      </c>
      <c r="J60" s="14">
        <v>0.37736483837009566</v>
      </c>
      <c r="K60" s="14">
        <v>6.3154359942871635E-2</v>
      </c>
      <c r="L60" s="14">
        <v>0.15260927925791015</v>
      </c>
      <c r="M60" s="14"/>
      <c r="N60" s="14">
        <v>0.27679076811365855</v>
      </c>
      <c r="O60" s="14">
        <v>0.36696802774768528</v>
      </c>
      <c r="P60" s="14">
        <v>0.41232986089654422</v>
      </c>
      <c r="Q60" s="14">
        <v>-1.1062845369580646E-2</v>
      </c>
      <c r="R60" s="14">
        <f t="shared" si="0"/>
        <v>-4.5025811388307302E-2</v>
      </c>
      <c r="S60" s="14"/>
      <c r="T60" s="14">
        <f>SUMPRODUCT(H60:L60,B60:F60)</f>
        <v>-3.3993846799725224E-3</v>
      </c>
      <c r="U60" s="14">
        <f t="shared" si="1"/>
        <v>2.1995630787747487E-3</v>
      </c>
      <c r="V60" s="14">
        <f>SUMPRODUCT(N60:R60,B60:F60)-T60</f>
        <v>5.5989477587472716E-3</v>
      </c>
      <c r="W60" s="14"/>
      <c r="X60" s="14">
        <f>SUM(H60:J60)</f>
        <v>0.78423636079921821</v>
      </c>
      <c r="Y60" s="14">
        <f>SUM(K60:L60)</f>
        <v>0.21576363920078179</v>
      </c>
      <c r="Z60" s="14"/>
      <c r="AA60" s="14">
        <f t="shared" si="2"/>
        <v>1.056088656757888</v>
      </c>
      <c r="AB60" s="14">
        <f t="shared" si="3"/>
        <v>-5.6088656757887947E-2</v>
      </c>
      <c r="AC60" s="14"/>
      <c r="AD60" s="14">
        <f>H60/$X60</f>
        <v>0.2997855125866814</v>
      </c>
      <c r="AE60" s="14">
        <f>I60/$X60</f>
        <v>0.21902685415244588</v>
      </c>
      <c r="AF60" s="14">
        <f>J60/$X60</f>
        <v>0.48118763326087272</v>
      </c>
      <c r="AG60" s="14">
        <f>K60/$Y60</f>
        <v>0.29270158853829159</v>
      </c>
      <c r="AH60" s="14">
        <f>L60/$Y60</f>
        <v>0.70729841146170835</v>
      </c>
      <c r="AI60" s="14"/>
      <c r="AJ60" s="14">
        <f t="shared" si="12"/>
        <v>0.26209046593056418</v>
      </c>
      <c r="AK60" s="14">
        <f t="shared" si="13"/>
        <v>0.34747842939081391</v>
      </c>
      <c r="AL60" s="14">
        <f t="shared" si="14"/>
        <v>0.39043110467862197</v>
      </c>
      <c r="AM60" s="14">
        <f t="shared" si="15"/>
        <v>0.19723855069902058</v>
      </c>
      <c r="AN60" s="14">
        <f t="shared" si="16"/>
        <v>0.80276144930097937</v>
      </c>
      <c r="AO60" s="14"/>
      <c r="AP60" s="14">
        <f>SUMPRODUCT(AD60:AF60,B60:D60)</f>
        <v>-6.9635079119294979E-3</v>
      </c>
      <c r="AQ60" s="14">
        <f>SUMPRODUCT(AG60:AH60,E60:F60)</f>
        <v>9.5551383491318063E-3</v>
      </c>
      <c r="AR60" s="14"/>
      <c r="AS60" s="14">
        <f>SUMPRODUCT(AJ60:AL60,B60:D60)</f>
        <v>2.8508153778159205E-3</v>
      </c>
      <c r="AT60" s="14">
        <f>SUMPRODUCT(E60:F60,AM60:AN60)</f>
        <v>1.4461938494070337E-2</v>
      </c>
      <c r="AU60" s="14"/>
      <c r="AV60" s="14">
        <f t="shared" si="4"/>
        <v>-9.6891508368713837E-4</v>
      </c>
      <c r="AW60" s="14">
        <f t="shared" si="5"/>
        <v>-3.5217168285114728E-3</v>
      </c>
      <c r="AX60" s="14"/>
      <c r="AY60" s="14">
        <f t="shared" si="6"/>
        <v>1.0364795500054895E-2</v>
      </c>
      <c r="AZ60" s="14">
        <f t="shared" si="7"/>
        <v>-2.7521582910901212E-4</v>
      </c>
      <c r="BA60" s="14"/>
      <c r="BB60" s="14">
        <f t="shared" si="8"/>
        <v>5.5989477587472716E-3</v>
      </c>
      <c r="BC60" s="14">
        <f t="shared" si="9"/>
        <v>0</v>
      </c>
      <c r="BE60" s="19">
        <f t="shared" si="10"/>
        <v>-5.8993846799725224E-3</v>
      </c>
      <c r="BF60" s="19">
        <f t="shared" si="11"/>
        <v>-3.0043692122525131E-4</v>
      </c>
    </row>
    <row r="61" spans="1:58">
      <c r="A61" s="150">
        <v>45961</v>
      </c>
      <c r="B61" s="14">
        <v>-5.8400000000000001E-2</v>
      </c>
      <c r="C61" s="14">
        <v>7.3066666666666669E-2</v>
      </c>
      <c r="D61" s="14">
        <v>4.0666666666666663E-3</v>
      </c>
      <c r="E61" s="14">
        <v>7.7200000000000005E-2</v>
      </c>
      <c r="F61" s="14">
        <v>-8.4100000000000008E-2</v>
      </c>
      <c r="G61" s="14"/>
      <c r="H61" s="14">
        <v>0.22136678355487546</v>
      </c>
      <c r="I61" s="14">
        <v>0.18431447073070961</v>
      </c>
      <c r="J61" s="14">
        <v>0.37888932582494061</v>
      </c>
      <c r="K61" s="14">
        <v>6.8028057809600209E-2</v>
      </c>
      <c r="L61" s="14">
        <v>0.14740136207987412</v>
      </c>
      <c r="M61" s="14"/>
      <c r="N61" s="14">
        <v>0.24813259078629799</v>
      </c>
      <c r="O61" s="14">
        <v>0.42264718928792211</v>
      </c>
      <c r="P61" s="14">
        <v>0.36919022315306549</v>
      </c>
      <c r="Q61" s="14">
        <v>3.2668445196207679E-2</v>
      </c>
      <c r="R61" s="14">
        <f t="shared" si="0"/>
        <v>-7.2638448423493207E-2</v>
      </c>
      <c r="S61" s="14"/>
      <c r="T61" s="14">
        <f>SUMPRODUCT(H61:L61,B61:F61)</f>
        <v>-5.064448061209063E-3</v>
      </c>
      <c r="U61" s="14">
        <f t="shared" si="1"/>
        <v>2.6522749051103186E-2</v>
      </c>
      <c r="V61" s="14">
        <f>SUMPRODUCT(N61:R61,B61:F61)-T61</f>
        <v>3.1587197112312247E-2</v>
      </c>
      <c r="W61" s="14"/>
      <c r="X61" s="14">
        <f>SUM(H61:J61)</f>
        <v>0.78457058011052572</v>
      </c>
      <c r="Y61" s="14">
        <f>SUM(K61:L61)</f>
        <v>0.21542941988947434</v>
      </c>
      <c r="Z61" s="14"/>
      <c r="AA61" s="14">
        <f t="shared" si="2"/>
        <v>1.0399700032272856</v>
      </c>
      <c r="AB61" s="14">
        <f t="shared" si="3"/>
        <v>-3.9970003227285528E-2</v>
      </c>
      <c r="AC61" s="14"/>
      <c r="AD61" s="14">
        <f>H61/$X61</f>
        <v>0.28215024774914527</v>
      </c>
      <c r="AE61" s="14">
        <f>I61/$X61</f>
        <v>0.23492401500033874</v>
      </c>
      <c r="AF61" s="14">
        <f>J61/$X61</f>
        <v>0.48292573725051596</v>
      </c>
      <c r="AG61" s="14">
        <f>K61/$Y61</f>
        <v>0.31577886550732892</v>
      </c>
      <c r="AH61" s="14">
        <f>L61/$Y61</f>
        <v>0.68422113449267097</v>
      </c>
      <c r="AI61" s="14"/>
      <c r="AJ61" s="14">
        <f t="shared" si="12"/>
        <v>0.23859591143617684</v>
      </c>
      <c r="AK61" s="14">
        <f t="shared" si="13"/>
        <v>0.4064032500710047</v>
      </c>
      <c r="AL61" s="14">
        <f t="shared" si="14"/>
        <v>0.35500083849281844</v>
      </c>
      <c r="AM61" s="14">
        <f t="shared" si="15"/>
        <v>-0.81732405700449284</v>
      </c>
      <c r="AN61" s="14">
        <f t="shared" si="16"/>
        <v>1.8173240570044928</v>
      </c>
      <c r="AO61" s="14"/>
      <c r="AP61" s="14">
        <f>SUMPRODUCT(AD61:AF61,B61:D61)</f>
        <v>2.6514382256267659E-3</v>
      </c>
      <c r="AQ61" s="14">
        <f>SUMPRODUCT(AG61:AH61,E61:F61)</f>
        <v>-3.3164868993667843E-2</v>
      </c>
      <c r="AR61" s="14"/>
      <c r="AS61" s="14">
        <f>SUMPRODUCT(AJ61:AL61,B61:D61)</f>
        <v>1.7204199653852812E-2</v>
      </c>
      <c r="AT61" s="14">
        <f>SUMPRODUCT(E61:F61,AM61:AN61)</f>
        <v>-0.21593437039482472</v>
      </c>
      <c r="AU61" s="14"/>
      <c r="AV61" s="14">
        <f t="shared" si="4"/>
        <v>1.9706329064923893E-3</v>
      </c>
      <c r="AW61" s="14">
        <f t="shared" si="5"/>
        <v>7.1768312954880956E-3</v>
      </c>
      <c r="AX61" s="14"/>
      <c r="AY61" s="14">
        <f t="shared" si="6"/>
        <v>1.5134435349478158E-2</v>
      </c>
      <c r="AZ61" s="14">
        <f t="shared" si="7"/>
        <v>7.3052975608536071E-3</v>
      </c>
      <c r="BA61" s="14"/>
      <c r="BB61" s="14">
        <f t="shared" si="8"/>
        <v>3.1587197112312254E-2</v>
      </c>
      <c r="BC61" s="14">
        <f t="shared" si="9"/>
        <v>0</v>
      </c>
      <c r="BE61" s="19">
        <f t="shared" si="10"/>
        <v>-7.5644480612090635E-3</v>
      </c>
      <c r="BF61" s="19">
        <f t="shared" si="11"/>
        <v>2.4022749051103187E-2</v>
      </c>
    </row>
    <row r="62" spans="1:58">
      <c r="A62" s="150">
        <v>45991</v>
      </c>
      <c r="B62" s="14">
        <v>2.8000000000000001E-2</v>
      </c>
      <c r="C62" s="14">
        <v>-1.7333333333333333E-3</v>
      </c>
      <c r="D62" s="14">
        <v>2.0266666666666665E-2</v>
      </c>
      <c r="E62" s="14">
        <v>-2.4799999999999999E-2</v>
      </c>
      <c r="F62" s="14">
        <v>-4.1200000000000001E-2</v>
      </c>
      <c r="G62" s="14"/>
      <c r="H62" s="14">
        <v>0.22460750024147272</v>
      </c>
      <c r="I62" s="14">
        <v>0.18160369813454552</v>
      </c>
      <c r="J62" s="14">
        <v>0.38154410968542807</v>
      </c>
      <c r="K62" s="14">
        <v>6.5478760487239551E-2</v>
      </c>
      <c r="L62" s="14">
        <v>0.14676593145131403</v>
      </c>
      <c r="M62" s="14"/>
      <c r="N62" s="14">
        <v>0.23015472786843019</v>
      </c>
      <c r="O62" s="14">
        <v>0.26591396643123105</v>
      </c>
      <c r="P62" s="14">
        <v>0.38268377369772655</v>
      </c>
      <c r="Q62" s="14">
        <v>-5.7483040740408262E-2</v>
      </c>
      <c r="R62" s="14">
        <f t="shared" si="0"/>
        <v>0.1787305727430204</v>
      </c>
      <c r="S62" s="14"/>
      <c r="T62" s="14">
        <f>SUMPRODUCT(H62:L62,B62:F62)</f>
        <v>6.0362279170750191E-3</v>
      </c>
      <c r="U62" s="14">
        <f t="shared" si="1"/>
        <v>7.8010191321255199E-3</v>
      </c>
      <c r="V62" s="14">
        <f>SUMPRODUCT(N62:R62,B62:F62)-T62</f>
        <v>1.7647912150505008E-3</v>
      </c>
      <c r="W62" s="14"/>
      <c r="X62" s="14">
        <f>SUM(H62:J62)</f>
        <v>0.78775530806144634</v>
      </c>
      <c r="Y62" s="14">
        <f>SUM(K62:L62)</f>
        <v>0.21224469193855358</v>
      </c>
      <c r="Z62" s="14"/>
      <c r="AA62" s="14">
        <f t="shared" si="2"/>
        <v>0.87875246799738782</v>
      </c>
      <c r="AB62" s="14">
        <f t="shared" si="3"/>
        <v>0.12124753200261214</v>
      </c>
      <c r="AC62" s="14"/>
      <c r="AD62" s="14">
        <f>H62/$X62</f>
        <v>0.28512343610124291</v>
      </c>
      <c r="AE62" s="14">
        <f>I62/$X62</f>
        <v>0.23053313164140571</v>
      </c>
      <c r="AF62" s="14">
        <f>J62/$X62</f>
        <v>0.48434343225735133</v>
      </c>
      <c r="AG62" s="14">
        <f>K62/$Y62</f>
        <v>0.30850599790828287</v>
      </c>
      <c r="AH62" s="14">
        <f>L62/$Y62</f>
        <v>0.69149400209171719</v>
      </c>
      <c r="AI62" s="14"/>
      <c r="AJ62" s="14">
        <f t="shared" si="12"/>
        <v>0.26191076127835622</v>
      </c>
      <c r="AK62" s="14">
        <f t="shared" si="13"/>
        <v>0.30260394834193682</v>
      </c>
      <c r="AL62" s="14">
        <f t="shared" si="14"/>
        <v>0.4354852903797069</v>
      </c>
      <c r="AM62" s="14">
        <f t="shared" si="15"/>
        <v>-0.47409658399619925</v>
      </c>
      <c r="AN62" s="14">
        <f t="shared" si="16"/>
        <v>1.4740965839961993</v>
      </c>
      <c r="AO62" s="14"/>
      <c r="AP62" s="14">
        <f>SUMPRODUCT(AD62:AF62,B62:D62)</f>
        <v>1.7399892343072015E-2</v>
      </c>
      <c r="AQ62" s="14">
        <f>SUMPRODUCT(AG62:AH62,E62:F62)</f>
        <v>-3.6140501634304163E-2</v>
      </c>
      <c r="AR62" s="14"/>
      <c r="AS62" s="14">
        <f>SUMPRODUCT(AJ62:AL62,B62:D62)</f>
        <v>1.5634823023696676E-2</v>
      </c>
      <c r="AT62" s="14">
        <f>SUMPRODUCT(E62:F62,AM62:AN62)</f>
        <v>-4.8975183977537667E-2</v>
      </c>
      <c r="AU62" s="14"/>
      <c r="AV62" s="14">
        <f t="shared" si="4"/>
        <v>1.0340611892308174E-3</v>
      </c>
      <c r="AW62" s="14">
        <f t="shared" si="5"/>
        <v>3.8379626045617994E-3</v>
      </c>
      <c r="AX62" s="14"/>
      <c r="AY62" s="14">
        <f t="shared" si="6"/>
        <v>-1.5510590205875493E-3</v>
      </c>
      <c r="AZ62" s="14">
        <f t="shared" si="7"/>
        <v>-1.5561735581545652E-3</v>
      </c>
      <c r="BA62" s="14"/>
      <c r="BB62" s="14">
        <f t="shared" si="8"/>
        <v>1.7647912150505016E-3</v>
      </c>
      <c r="BC62" s="14">
        <f t="shared" si="9"/>
        <v>0</v>
      </c>
      <c r="BE62" s="19">
        <f t="shared" si="10"/>
        <v>3.5362279170750191E-3</v>
      </c>
      <c r="BF62" s="19">
        <f t="shared" si="11"/>
        <v>5.3010191321255194E-3</v>
      </c>
    </row>
    <row r="63" spans="1:58">
      <c r="A63" s="150">
        <v>46022</v>
      </c>
      <c r="B63" s="14">
        <v>-1.4E-2</v>
      </c>
      <c r="C63" s="14">
        <v>6.936666666666666E-2</v>
      </c>
      <c r="D63" s="14">
        <v>1.4166666666666668E-2</v>
      </c>
      <c r="E63" s="14">
        <v>5.8599999999999999E-2</v>
      </c>
      <c r="F63" s="14">
        <v>-6.1900000000000004E-2</v>
      </c>
      <c r="G63" s="14"/>
      <c r="H63" s="14">
        <v>0.21777208779741808</v>
      </c>
      <c r="I63" s="14">
        <v>0.19096438391370774</v>
      </c>
      <c r="J63" s="14">
        <v>0.38050041155442765</v>
      </c>
      <c r="K63" s="14">
        <v>6.8160596849137542E-2</v>
      </c>
      <c r="L63" s="14">
        <v>0.14260251988530909</v>
      </c>
      <c r="M63" s="14"/>
      <c r="N63" s="14">
        <v>0.2300528503984216</v>
      </c>
      <c r="O63" s="14">
        <v>0.28114191621836815</v>
      </c>
      <c r="P63" s="14">
        <v>0.36245699057956393</v>
      </c>
      <c r="Q63" s="14">
        <v>-3.4885430459599853E-2</v>
      </c>
      <c r="R63" s="14">
        <f t="shared" si="0"/>
        <v>0.16123367326324622</v>
      </c>
      <c r="S63" s="14"/>
      <c r="T63" s="14">
        <f>SUMPRODUCT(H63:L63,B63:F63)</f>
        <v>1.0755291026463559E-2</v>
      </c>
      <c r="U63" s="14">
        <f t="shared" si="1"/>
        <v>9.3912944493858997E-3</v>
      </c>
      <c r="V63" s="14">
        <f>SUMPRODUCT(N63:R63,B63:F63)-T63</f>
        <v>-1.3639965770776592E-3</v>
      </c>
      <c r="W63" s="14"/>
      <c r="X63" s="14">
        <f>SUM(H63:J63)</f>
        <v>0.78923688326555341</v>
      </c>
      <c r="Y63" s="14">
        <f>SUM(K63:L63)</f>
        <v>0.21076311673444664</v>
      </c>
      <c r="Z63" s="14"/>
      <c r="AA63" s="14">
        <f t="shared" si="2"/>
        <v>0.87365175719635368</v>
      </c>
      <c r="AB63" s="14">
        <f t="shared" si="3"/>
        <v>0.12634824280364637</v>
      </c>
      <c r="AC63" s="14"/>
      <c r="AD63" s="14">
        <f>H63/$X63</f>
        <v>0.27592740838005742</v>
      </c>
      <c r="AE63" s="14">
        <f>I63/$X63</f>
        <v>0.2419607952476471</v>
      </c>
      <c r="AF63" s="14">
        <f>J63/$X63</f>
        <v>0.48211179637229551</v>
      </c>
      <c r="AG63" s="14">
        <f>K63/$Y63</f>
        <v>0.32339907430301124</v>
      </c>
      <c r="AH63" s="14">
        <f>L63/$Y63</f>
        <v>0.67660092569698871</v>
      </c>
      <c r="AI63" s="14"/>
      <c r="AJ63" s="14">
        <f t="shared" si="12"/>
        <v>0.26332328471093214</v>
      </c>
      <c r="AK63" s="14">
        <f t="shared" si="13"/>
        <v>0.32180089366566839</v>
      </c>
      <c r="AL63" s="14">
        <f t="shared" si="14"/>
        <v>0.41487582162339948</v>
      </c>
      <c r="AM63" s="14">
        <f t="shared" si="15"/>
        <v>-0.27610538686963892</v>
      </c>
      <c r="AN63" s="14">
        <f t="shared" si="16"/>
        <v>1.2761053868696388</v>
      </c>
      <c r="AO63" s="14"/>
      <c r="AP63" s="14">
        <f>SUMPRODUCT(AD63:AF63,B63:D63)</f>
        <v>1.9750947228298503E-2</v>
      </c>
      <c r="AQ63" s="14">
        <f>SUMPRODUCT(AG63:AH63,E63:F63)</f>
        <v>-2.2930411546487148E-2</v>
      </c>
      <c r="AR63" s="14"/>
      <c r="AS63" s="14">
        <f>SUMPRODUCT(AJ63:AL63,B63:D63)</f>
        <v>2.451313681098697E-2</v>
      </c>
      <c r="AT63" s="14">
        <f>SUMPRODUCT(E63:F63,AM63:AN63)</f>
        <v>-9.5170699117791482E-2</v>
      </c>
      <c r="AU63" s="14"/>
      <c r="AV63" s="14">
        <f t="shared" si="4"/>
        <v>7.5936718420271845E-4</v>
      </c>
      <c r="AW63" s="14">
        <f t="shared" si="5"/>
        <v>2.8435743359660681E-3</v>
      </c>
      <c r="AX63" s="14"/>
      <c r="AY63" s="14">
        <f t="shared" si="6"/>
        <v>4.1604952970179495E-3</v>
      </c>
      <c r="AZ63" s="14">
        <f t="shared" si="7"/>
        <v>-9.1274333942643979E-3</v>
      </c>
      <c r="BA63" s="14"/>
      <c r="BB63" s="14">
        <f t="shared" si="8"/>
        <v>-1.3639965770776618E-3</v>
      </c>
      <c r="BC63" s="14">
        <f t="shared" si="9"/>
        <v>-2.6020852139652106E-18</v>
      </c>
      <c r="BE63" s="19">
        <f t="shared" si="10"/>
        <v>8.2552910264635584E-3</v>
      </c>
      <c r="BF63" s="19">
        <f t="shared" si="11"/>
        <v>6.8912944493858992E-3</v>
      </c>
    </row>
    <row r="65" spans="2:54">
      <c r="B65" s="14">
        <f>AVERAGE(B4:B63)</f>
        <v>1.3998333333333324E-2</v>
      </c>
      <c r="C65" s="14">
        <f>AVERAGE(C4:C63)</f>
        <v>1.8156666666666665E-2</v>
      </c>
      <c r="D65" s="14">
        <f>AVERAGE(D4:D63)</f>
        <v>1.4639999999999993E-2</v>
      </c>
      <c r="E65" s="14">
        <f>AVERAGE(E4:E63)</f>
        <v>1.3024999999999998E-2</v>
      </c>
      <c r="F65" s="14">
        <f>AVERAGE(F4:F63)</f>
        <v>-4.010166666666666E-2</v>
      </c>
      <c r="AV65" s="253" t="s">
        <v>822</v>
      </c>
      <c r="AW65" s="253"/>
      <c r="AX65" s="253"/>
      <c r="AY65" s="253"/>
      <c r="AZ65" s="253"/>
    </row>
    <row r="66" spans="2:54">
      <c r="AV66" s="40">
        <f>AVERAGE(AV4:AV63)</f>
        <v>1.276236121436608E-3</v>
      </c>
      <c r="AW66" s="40">
        <f>AVERAGE(AW4:AW63)</f>
        <v>4.8939362163087051E-3</v>
      </c>
      <c r="AX66" s="40"/>
      <c r="AY66" s="40">
        <f>AVERAGE(AY4:AY63)</f>
        <v>7.6279984662444263E-4</v>
      </c>
      <c r="AZ66" s="40" t="e">
        <f>AVERAGE(AZ4:AZ63)</f>
        <v>#DIV/0!</v>
      </c>
      <c r="BB66" s="40" t="e">
        <f>AVERAGE(BB4:BB63)</f>
        <v>#DIV/0!</v>
      </c>
    </row>
    <row r="67" spans="2:54">
      <c r="AV67">
        <f>AV66*12</f>
        <v>1.5314833457239295E-2</v>
      </c>
      <c r="AW67">
        <f>AW66*12</f>
        <v>5.8727234595704461E-2</v>
      </c>
      <c r="AY67">
        <f>AY66*12</f>
        <v>9.1535981594933116E-3</v>
      </c>
      <c r="AZ67" t="e">
        <f>AZ66*12</f>
        <v>#DIV/0!</v>
      </c>
    </row>
    <row r="68" spans="2:54">
      <c r="AT68" t="s">
        <v>100</v>
      </c>
      <c r="AV68">
        <f>INTERCEPT(BF4:BF63,BE4:BE63)</f>
        <v>4.8153015505298597E-3</v>
      </c>
      <c r="AY68" s="40"/>
    </row>
    <row r="69" spans="2:54">
      <c r="AT69" t="s">
        <v>103</v>
      </c>
      <c r="AV69">
        <f>SLOPE(BF4:BF63,BE4:BE63)</f>
        <v>1.0983331715717366</v>
      </c>
    </row>
    <row r="70" spans="2:54">
      <c r="AV70">
        <f>INTERCEPT(AV4:AV63,$BE$4:$BE$63)</f>
        <v>1.109580774357475E-3</v>
      </c>
      <c r="AW70">
        <f>INTERCEPT(AW4:AW63,$BE$4:$BE$63)</f>
        <v>4.2198706945032792E-3</v>
      </c>
      <c r="AY70">
        <f>INTERCEPT(AY4:AY63,$BE$4:$BE$63)</f>
        <v>1.1774843590026212E-3</v>
      </c>
      <c r="AZ70" t="e">
        <f>INTERCEPT(AZ4:AZ63,$BE$4:$BE$63)</f>
        <v>#DIV/0!</v>
      </c>
    </row>
    <row r="71" spans="2:54">
      <c r="AV71">
        <f>AV70*12</f>
        <v>1.3314969292289701E-2</v>
      </c>
      <c r="AW71">
        <f>AW70*12</f>
        <v>5.0638448334039354E-2</v>
      </c>
      <c r="AY71">
        <f>AY70*12</f>
        <v>1.4129812308031453E-2</v>
      </c>
      <c r="AZ71" t="e">
        <f>AZ70*12</f>
        <v>#DIV/0!</v>
      </c>
    </row>
  </sheetData>
  <mergeCells count="16">
    <mergeCell ref="AV65:AZ65"/>
    <mergeCell ref="AP1:AQ1"/>
    <mergeCell ref="AP2:AQ2"/>
    <mergeCell ref="AS1:AT1"/>
    <mergeCell ref="AS2:AT2"/>
    <mergeCell ref="BB2:BC2"/>
    <mergeCell ref="AA1:AB1"/>
    <mergeCell ref="AD1:AH1"/>
    <mergeCell ref="AJ1:AN1"/>
    <mergeCell ref="AD2:AH2"/>
    <mergeCell ref="AJ2:AN2"/>
    <mergeCell ref="H2:L2"/>
    <mergeCell ref="B1:F1"/>
    <mergeCell ref="X1:Y1"/>
    <mergeCell ref="N2:R2"/>
    <mergeCell ref="T2:V2"/>
  </mergeCells>
  <pageMargins left="0.7" right="0.7" top="0.75" bottom="0.75" header="0.3" footer="0.3"/>
  <ignoredErrors>
    <ignoredError sqref="V5:V63 X4:Y63 AP5:AQ63 AP4:AQ4 AT4 AS5:AT63 AS4 V4 AA4:AB35 T4 T5:T63 U4:U63 AA37:AB63 AA36" formulaRange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795C-418F-4769-9C94-5A2FC08B30BD}">
  <dimension ref="A1:O62"/>
  <sheetViews>
    <sheetView workbookViewId="0">
      <selection activeCell="Q26" sqref="Q26"/>
    </sheetView>
  </sheetViews>
  <sheetFormatPr defaultColWidth="8.7109375" defaultRowHeight="15"/>
  <cols>
    <col min="1" max="1" width="8.7109375" style="150"/>
    <col min="2" max="2" width="12.5703125" bestFit="1" customWidth="1"/>
    <col min="3" max="4" width="12" bestFit="1" customWidth="1"/>
    <col min="5" max="9" width="12" customWidth="1"/>
    <col min="10" max="15" width="12" bestFit="1" customWidth="1"/>
    <col min="16" max="18" width="9.140625" customWidth="1"/>
  </cols>
  <sheetData>
    <row r="1" spans="1:15">
      <c r="B1" s="253" t="s">
        <v>246</v>
      </c>
      <c r="C1" s="253"/>
      <c r="D1" s="3" t="s">
        <v>815</v>
      </c>
      <c r="E1" s="3"/>
      <c r="F1" s="3"/>
      <c r="G1" s="3"/>
      <c r="H1" s="3"/>
      <c r="I1" s="3"/>
      <c r="J1" s="253" t="s">
        <v>817</v>
      </c>
      <c r="K1" s="253"/>
      <c r="L1" s="253"/>
      <c r="M1" s="253" t="s">
        <v>818</v>
      </c>
      <c r="N1" s="253"/>
      <c r="O1" s="253"/>
    </row>
    <row r="2" spans="1:15">
      <c r="A2" s="246" t="s">
        <v>244</v>
      </c>
      <c r="B2" s="247" t="s">
        <v>206</v>
      </c>
      <c r="C2" s="247" t="s">
        <v>45</v>
      </c>
      <c r="D2" s="247" t="s">
        <v>816</v>
      </c>
      <c r="E2" s="247"/>
      <c r="F2" s="247"/>
      <c r="G2" s="247"/>
      <c r="H2" s="247"/>
      <c r="I2" s="247"/>
      <c r="J2" s="247">
        <v>1</v>
      </c>
      <c r="K2" s="247">
        <v>2</v>
      </c>
      <c r="L2" s="247">
        <v>3</v>
      </c>
      <c r="M2" s="247">
        <v>1</v>
      </c>
      <c r="N2" s="247">
        <v>2</v>
      </c>
      <c r="O2" s="247">
        <v>3</v>
      </c>
    </row>
    <row r="3" spans="1:15">
      <c r="A3" s="150">
        <v>44227</v>
      </c>
      <c r="B3" s="14">
        <v>-1.6388382138947898E-2</v>
      </c>
      <c r="C3" s="14">
        <v>-5.2923820783993339E-2</v>
      </c>
      <c r="D3" s="14">
        <v>-3.6535438645045437E-2</v>
      </c>
      <c r="E3" s="14"/>
      <c r="F3" s="14"/>
      <c r="G3" s="14"/>
      <c r="H3" s="14"/>
      <c r="I3" s="14"/>
      <c r="J3" s="14">
        <v>-5.4308689173963422E-3</v>
      </c>
      <c r="K3" s="14">
        <v>-5.9139797327166449E-3</v>
      </c>
      <c r="L3" s="14">
        <v>-3.269326807905188E-3</v>
      </c>
      <c r="M3" s="14">
        <v>-1.892684048836623E-2</v>
      </c>
      <c r="N3" s="14">
        <v>-1.3892620445127729E-2</v>
      </c>
      <c r="O3" s="14">
        <v>1.0898197746466699E-2</v>
      </c>
    </row>
    <row r="4" spans="1:15">
      <c r="A4" s="150">
        <v>44255</v>
      </c>
      <c r="B4" s="14">
        <v>-0.1520638551000604</v>
      </c>
      <c r="C4" s="14">
        <v>-0.15972292996328311</v>
      </c>
      <c r="D4" s="14">
        <v>-7.6590748632227312E-3</v>
      </c>
      <c r="E4" s="14"/>
      <c r="F4" s="14"/>
      <c r="G4" s="14"/>
      <c r="H4" s="14"/>
      <c r="I4" s="14"/>
      <c r="J4" s="14">
        <v>-1.526092050453803E-3</v>
      </c>
      <c r="K4" s="14">
        <v>-1.242274906732793E-3</v>
      </c>
      <c r="L4" s="14">
        <v>-2.952629881024973E-4</v>
      </c>
      <c r="M4" s="14">
        <v>-2.9309569620284241E-3</v>
      </c>
      <c r="N4" s="14">
        <v>-2.4709301104075621E-3</v>
      </c>
      <c r="O4" s="14">
        <v>8.0644215450234764E-4</v>
      </c>
    </row>
    <row r="5" spans="1:15">
      <c r="A5" s="150">
        <v>44286</v>
      </c>
      <c r="B5" s="14">
        <v>-8.3713457197482175E-2</v>
      </c>
      <c r="C5" s="14">
        <v>-0.1173632293456682</v>
      </c>
      <c r="D5" s="14">
        <v>-3.3649772148186007E-2</v>
      </c>
      <c r="E5" s="14"/>
      <c r="F5" s="14"/>
      <c r="G5" s="14"/>
      <c r="H5" s="14"/>
      <c r="I5" s="14"/>
      <c r="J5" s="14">
        <v>-3.1067427736713592E-3</v>
      </c>
      <c r="K5" s="14">
        <v>-4.8774740653215404E-3</v>
      </c>
      <c r="L5" s="14">
        <v>-5.4756920202815064E-3</v>
      </c>
      <c r="M5" s="14">
        <v>-1.545713398246829E-2</v>
      </c>
      <c r="N5" s="14">
        <v>-1.351006493399483E-2</v>
      </c>
      <c r="O5" s="14">
        <v>8.7773356275515028E-3</v>
      </c>
    </row>
    <row r="6" spans="1:15">
      <c r="A6" s="150">
        <v>44316</v>
      </c>
      <c r="B6" s="14">
        <v>-4.3246312142416123E-2</v>
      </c>
      <c r="C6" s="14">
        <v>-5.8783836834582007E-2</v>
      </c>
      <c r="D6" s="14">
        <v>-1.5537524692165889E-2</v>
      </c>
      <c r="E6" s="14"/>
      <c r="F6" s="14"/>
      <c r="G6" s="14"/>
      <c r="H6" s="14"/>
      <c r="I6" s="14"/>
      <c r="J6" s="14">
        <v>-2.3296117873314631E-3</v>
      </c>
      <c r="K6" s="14">
        <v>-7.6284573093727084E-4</v>
      </c>
      <c r="L6" s="14">
        <v>-3.1225523585976232E-3</v>
      </c>
      <c r="M6" s="14">
        <v>-5.8246093567166264E-3</v>
      </c>
      <c r="N6" s="14">
        <v>-5.9641168854571262E-3</v>
      </c>
      <c r="O6" s="14">
        <v>2.4662114268742168E-3</v>
      </c>
    </row>
    <row r="7" spans="1:15">
      <c r="A7" s="150">
        <v>44347</v>
      </c>
      <c r="B7" s="14">
        <v>-4.1205542864801513E-2</v>
      </c>
      <c r="C7" s="14">
        <v>-1.173678521870415E-2</v>
      </c>
      <c r="D7" s="14">
        <v>2.9468757646097361E-2</v>
      </c>
      <c r="E7" s="14"/>
      <c r="F7" s="14"/>
      <c r="G7" s="14"/>
      <c r="H7" s="14"/>
      <c r="I7" s="14"/>
      <c r="J7" s="14">
        <v>4.7249428024437662E-3</v>
      </c>
      <c r="K7" s="14">
        <v>2.7629177743483022E-3</v>
      </c>
      <c r="L7" s="14">
        <v>4.299642481646878E-3</v>
      </c>
      <c r="M7" s="14">
        <v>1.3375675570742609E-2</v>
      </c>
      <c r="N7" s="14">
        <v>1.217872694601769E-2</v>
      </c>
      <c r="O7" s="14">
        <v>-7.8731479291018897E-3</v>
      </c>
    </row>
    <row r="8" spans="1:15">
      <c r="A8" s="150">
        <v>44377</v>
      </c>
      <c r="B8" s="14">
        <v>3.0531706658856111E-2</v>
      </c>
      <c r="C8" s="14">
        <v>5.1878497074418174E-3</v>
      </c>
      <c r="D8" s="14">
        <v>-2.5343856951414289E-2</v>
      </c>
      <c r="E8" s="14"/>
      <c r="F8" s="14"/>
      <c r="G8" s="14"/>
      <c r="H8" s="14"/>
      <c r="I8" s="14"/>
      <c r="J8" s="14">
        <v>-9.217411261323395E-4</v>
      </c>
      <c r="K8" s="14">
        <v>-6.0603550384643341E-3</v>
      </c>
      <c r="L8" s="14">
        <v>-3.155446615969042E-3</v>
      </c>
      <c r="M8" s="14">
        <v>-1.048049513153621E-2</v>
      </c>
      <c r="N8" s="14">
        <v>-8.9981278311377262E-3</v>
      </c>
      <c r="O8" s="14">
        <v>4.2723087918253621E-3</v>
      </c>
    </row>
    <row r="9" spans="1:15">
      <c r="A9" s="150">
        <v>44408</v>
      </c>
      <c r="B9" s="14">
        <v>5.3220513244819023E-2</v>
      </c>
      <c r="C9" s="14">
        <v>2.836366114733849E-2</v>
      </c>
      <c r="D9" s="14">
        <v>-2.4856852097480519E-2</v>
      </c>
      <c r="E9" s="14"/>
      <c r="F9" s="14"/>
      <c r="G9" s="14"/>
      <c r="H9" s="14"/>
      <c r="I9" s="14"/>
      <c r="J9" s="14">
        <v>-3.3808000268998159E-3</v>
      </c>
      <c r="K9" s="14">
        <v>-5.225957911816439E-4</v>
      </c>
      <c r="L9" s="14">
        <v>-6.0393450209107503E-3</v>
      </c>
      <c r="M9" s="14">
        <v>-9.0761557334473469E-3</v>
      </c>
      <c r="N9" s="14">
        <v>-9.4446852717760214E-3</v>
      </c>
      <c r="O9" s="14">
        <v>3.6067297467350548E-3</v>
      </c>
    </row>
    <row r="10" spans="1:15">
      <c r="A10" s="150">
        <v>44439</v>
      </c>
      <c r="B10" s="14">
        <v>4.5418136418974263E-2</v>
      </c>
      <c r="C10" s="14">
        <v>0.16331381441855281</v>
      </c>
      <c r="D10" s="14">
        <v>0.11789567799957849</v>
      </c>
      <c r="E10" s="14"/>
      <c r="F10" s="14"/>
      <c r="G10" s="14"/>
      <c r="H10" s="14"/>
      <c r="I10" s="14"/>
      <c r="J10" s="14">
        <v>9.9346134346955054E-3</v>
      </c>
      <c r="K10" s="14">
        <v>1.0694306712014269E-2</v>
      </c>
      <c r="L10" s="14">
        <v>2.6529351053121632E-2</v>
      </c>
      <c r="M10" s="14">
        <v>4.4990222854180077E-2</v>
      </c>
      <c r="N10" s="14">
        <v>3.7264957674076497E-2</v>
      </c>
      <c r="O10" s="14">
        <v>-1.151777372850948E-2</v>
      </c>
    </row>
    <row r="11" spans="1:15">
      <c r="A11" s="150">
        <v>44469</v>
      </c>
      <c r="B11" s="14">
        <v>1.7984259358446681E-2</v>
      </c>
      <c r="C11" s="14">
        <v>0.14356988245327029</v>
      </c>
      <c r="D11" s="14">
        <v>0.1255856230948236</v>
      </c>
      <c r="E11" s="14"/>
      <c r="F11" s="14"/>
      <c r="G11" s="14"/>
      <c r="H11" s="14"/>
      <c r="I11" s="14"/>
      <c r="J11" s="14">
        <v>1.6991210696535371E-2</v>
      </c>
      <c r="K11" s="14">
        <v>2.004849644925754E-2</v>
      </c>
      <c r="L11" s="14">
        <v>1.319454209213654E-2</v>
      </c>
      <c r="M11" s="14">
        <v>6.1190755721559881E-2</v>
      </c>
      <c r="N11" s="14">
        <v>5.0400313769693512E-2</v>
      </c>
      <c r="O11" s="14">
        <v>-3.6239695634359213E-2</v>
      </c>
    </row>
    <row r="12" spans="1:15">
      <c r="A12" s="150">
        <v>44500</v>
      </c>
      <c r="B12" s="14">
        <v>4.6283280370070283E-2</v>
      </c>
      <c r="C12" s="14">
        <v>-5.9654672895069656E-4</v>
      </c>
      <c r="D12" s="14">
        <v>-4.6879827099020971E-2</v>
      </c>
      <c r="E12" s="14"/>
      <c r="F12" s="14"/>
      <c r="G12" s="14"/>
      <c r="H12" s="14"/>
      <c r="I12" s="14"/>
      <c r="J12" s="14">
        <v>-5.6459529782936814E-3</v>
      </c>
      <c r="K12" s="14">
        <v>-3.5297856579662168E-3</v>
      </c>
      <c r="L12" s="14">
        <v>-9.576192203348495E-3</v>
      </c>
      <c r="M12" s="14">
        <v>-1.8335118532079472E-2</v>
      </c>
      <c r="N12" s="14">
        <v>-1.6977826562068209E-2</v>
      </c>
      <c r="O12" s="14">
        <v>7.1850488347350982E-3</v>
      </c>
    </row>
    <row r="13" spans="1:15">
      <c r="A13" s="150">
        <v>44530</v>
      </c>
      <c r="B13" s="14">
        <v>8.5834489495437344E-2</v>
      </c>
      <c r="C13" s="14">
        <v>0.12304640994906831</v>
      </c>
      <c r="D13" s="14">
        <v>3.7211920453631003E-2</v>
      </c>
      <c r="E13" s="14"/>
      <c r="F13" s="14"/>
      <c r="G13" s="14"/>
      <c r="H13" s="14"/>
      <c r="I13" s="14"/>
      <c r="J13" s="14">
        <v>6.3432223503336041E-3</v>
      </c>
      <c r="K13" s="14">
        <v>6.3637723017239099E-3</v>
      </c>
      <c r="L13" s="14">
        <v>2.1777735293948891E-3</v>
      </c>
      <c r="M13" s="14">
        <v>1.511797729730353E-2</v>
      </c>
      <c r="N13" s="14">
        <v>1.1180577424567909E-2</v>
      </c>
      <c r="O13" s="14">
        <v>-3.9714024496928348E-3</v>
      </c>
    </row>
    <row r="14" spans="1:15">
      <c r="A14" s="150">
        <v>44561</v>
      </c>
      <c r="B14" s="14">
        <v>8.9206865710252381E-2</v>
      </c>
      <c r="C14" s="14">
        <v>6.6324698679608898E-2</v>
      </c>
      <c r="D14" s="14">
        <v>-2.2882167030643479E-2</v>
      </c>
      <c r="E14" s="14"/>
      <c r="F14" s="14"/>
      <c r="G14" s="14"/>
      <c r="H14" s="14"/>
      <c r="I14" s="14"/>
      <c r="J14" s="14">
        <v>-3.0969358037441609E-3</v>
      </c>
      <c r="K14" s="14">
        <v>-3.311148630251609E-3</v>
      </c>
      <c r="L14" s="14">
        <v>-2.7447823782616241E-3</v>
      </c>
      <c r="M14" s="14">
        <v>-1.167149229203392E-2</v>
      </c>
      <c r="N14" s="14">
        <v>-7.8884834801588553E-3</v>
      </c>
      <c r="O14" s="14">
        <v>5.8306755538066893E-3</v>
      </c>
    </row>
    <row r="15" spans="1:15">
      <c r="A15" s="150">
        <v>44592</v>
      </c>
      <c r="B15" s="14">
        <v>3.8454099198574433E-2</v>
      </c>
      <c r="C15" s="14">
        <v>1.313690719726664E-2</v>
      </c>
      <c r="D15" s="14">
        <v>-2.5317192001307789E-2</v>
      </c>
      <c r="E15" s="14"/>
      <c r="F15" s="14"/>
      <c r="G15" s="14"/>
      <c r="H15" s="14"/>
      <c r="I15" s="14"/>
      <c r="J15" s="14">
        <v>-4.7909664683154773E-3</v>
      </c>
      <c r="K15" s="14">
        <v>-7.9543586308202365E-4</v>
      </c>
      <c r="L15" s="14">
        <v>-4.5404744691256152E-3</v>
      </c>
      <c r="M15" s="14">
        <v>-1.215269055941328E-2</v>
      </c>
      <c r="N15" s="14">
        <v>-1.128289340620541E-2</v>
      </c>
      <c r="O15" s="14">
        <v>8.2452687648340173E-3</v>
      </c>
    </row>
    <row r="16" spans="1:15">
      <c r="A16" s="150">
        <v>44620</v>
      </c>
      <c r="B16" s="14">
        <v>-8.9631192598839074E-2</v>
      </c>
      <c r="C16" s="14">
        <v>-5.5058384716890507E-2</v>
      </c>
      <c r="D16" s="14">
        <v>3.4572807881948567E-2</v>
      </c>
      <c r="E16" s="14"/>
      <c r="F16" s="14"/>
      <c r="G16" s="14"/>
      <c r="H16" s="14"/>
      <c r="I16" s="14"/>
      <c r="J16" s="14">
        <v>6.652707580740492E-3</v>
      </c>
      <c r="K16" s="14">
        <v>4.3358038734332902E-3</v>
      </c>
      <c r="L16" s="14">
        <v>2.840611698605645E-3</v>
      </c>
      <c r="M16" s="14">
        <v>1.5942256647066909E-2</v>
      </c>
      <c r="N16" s="14">
        <v>1.214231731557624E-2</v>
      </c>
      <c r="O16" s="14">
        <v>-7.3408892334740116E-3</v>
      </c>
    </row>
    <row r="17" spans="1:15">
      <c r="A17" s="150">
        <v>44651</v>
      </c>
      <c r="B17" s="14">
        <v>-9.6263523034282508E-3</v>
      </c>
      <c r="C17" s="14">
        <v>-0.1811274717343947</v>
      </c>
      <c r="D17" s="14">
        <v>-0.17150111943096641</v>
      </c>
      <c r="E17" s="14"/>
      <c r="F17" s="14"/>
      <c r="G17" s="14"/>
      <c r="H17" s="14"/>
      <c r="I17" s="14"/>
      <c r="J17" s="14">
        <v>-2.807876929628304E-2</v>
      </c>
      <c r="K17" s="14">
        <v>-1.6818592998581749E-2</v>
      </c>
      <c r="L17" s="14">
        <v>-2.3703085477521771E-2</v>
      </c>
      <c r="M17" s="14">
        <v>-8.6043357612898039E-2</v>
      </c>
      <c r="N17" s="14">
        <v>-7.913580651172393E-2</v>
      </c>
      <c r="O17" s="14">
        <v>6.2278492466042133E-2</v>
      </c>
    </row>
    <row r="18" spans="1:15">
      <c r="A18" s="150">
        <v>44681</v>
      </c>
      <c r="B18" s="14">
        <v>5.8125026503461057E-3</v>
      </c>
      <c r="C18" s="14">
        <v>6.2004850647236098E-2</v>
      </c>
      <c r="D18" s="14">
        <v>5.6192347996889991E-2</v>
      </c>
      <c r="E18" s="14"/>
      <c r="F18" s="14"/>
      <c r="G18" s="14"/>
      <c r="H18" s="14"/>
      <c r="I18" s="14"/>
      <c r="J18" s="14">
        <v>7.0191211090269972E-3</v>
      </c>
      <c r="K18" s="14">
        <v>8.8418175142939443E-3</v>
      </c>
      <c r="L18" s="14">
        <v>6.6160005754350559E-3</v>
      </c>
      <c r="M18" s="14">
        <v>2.1344704856014581E-2</v>
      </c>
      <c r="N18" s="14">
        <v>2.6386926680187779E-2</v>
      </c>
      <c r="O18" s="14">
        <v>-1.401622273806837E-2</v>
      </c>
    </row>
    <row r="19" spans="1:15">
      <c r="A19" s="150">
        <v>44712</v>
      </c>
      <c r="B19" s="14">
        <v>-4.5498286640372823E-2</v>
      </c>
      <c r="C19" s="14">
        <v>-5.135093393012681E-2</v>
      </c>
      <c r="D19" s="14">
        <v>-5.8526472897539872E-3</v>
      </c>
      <c r="E19" s="14"/>
      <c r="F19" s="14"/>
      <c r="G19" s="14"/>
      <c r="H19" s="14"/>
      <c r="I19" s="14"/>
      <c r="J19" s="14">
        <v>-5.7193307811869169E-4</v>
      </c>
      <c r="K19" s="14">
        <v>-8.9787495548069999E-4</v>
      </c>
      <c r="L19" s="14">
        <v>-8.7125088230220326E-4</v>
      </c>
      <c r="M19" s="14">
        <v>-2.901599287486793E-3</v>
      </c>
      <c r="N19" s="14">
        <v>-2.1368749535996549E-3</v>
      </c>
      <c r="O19" s="14">
        <v>1.526885867234056E-3</v>
      </c>
    </row>
    <row r="20" spans="1:15">
      <c r="A20" s="150">
        <v>44742</v>
      </c>
      <c r="B20" s="14">
        <v>-8.080645161224885E-2</v>
      </c>
      <c r="C20" s="14">
        <v>-0.10064906484924339</v>
      </c>
      <c r="D20" s="14">
        <v>-1.98426132369946E-2</v>
      </c>
      <c r="E20" s="14"/>
      <c r="F20" s="14"/>
      <c r="G20" s="14"/>
      <c r="H20" s="14"/>
      <c r="I20" s="14"/>
      <c r="J20" s="14">
        <v>-2.0858829060547411E-3</v>
      </c>
      <c r="K20" s="14">
        <v>-2.2930790694861169E-3</v>
      </c>
      <c r="L20" s="14">
        <v>-3.5580833192569842E-3</v>
      </c>
      <c r="M20" s="14">
        <v>-8.6988039250553793E-3</v>
      </c>
      <c r="N20" s="14">
        <v>-6.9475583895384288E-3</v>
      </c>
      <c r="O20" s="14">
        <v>3.7407943723970489E-3</v>
      </c>
    </row>
    <row r="21" spans="1:15">
      <c r="A21" s="150">
        <v>44773</v>
      </c>
      <c r="B21" s="14">
        <v>3.1968624278019227E-2</v>
      </c>
      <c r="C21" s="14">
        <v>-3.5267413124811173E-2</v>
      </c>
      <c r="D21" s="14">
        <v>-6.7236037402830406E-2</v>
      </c>
      <c r="E21" s="14"/>
      <c r="F21" s="14"/>
      <c r="G21" s="14"/>
      <c r="H21" s="14"/>
      <c r="I21" s="14"/>
      <c r="J21" s="14">
        <v>-1.035504396502702E-2</v>
      </c>
      <c r="K21" s="14">
        <v>-9.7286942792850963E-3</v>
      </c>
      <c r="L21" s="14">
        <v>-6.8106767168200459E-3</v>
      </c>
      <c r="M21" s="14">
        <v>-2.980810043952839E-2</v>
      </c>
      <c r="N21" s="14">
        <v>-2.8918653073974929E-2</v>
      </c>
      <c r="O21" s="14">
        <v>1.8385131071805071E-2</v>
      </c>
    </row>
    <row r="22" spans="1:15">
      <c r="A22" s="150">
        <v>44804</v>
      </c>
      <c r="B22" s="14">
        <v>-5.4054007107588523E-2</v>
      </c>
      <c r="C22" s="14">
        <v>3.0467862644502249E-2</v>
      </c>
      <c r="D22" s="14">
        <v>8.4521869752090778E-2</v>
      </c>
      <c r="E22" s="14"/>
      <c r="F22" s="14"/>
      <c r="G22" s="14"/>
      <c r="H22" s="14"/>
      <c r="I22" s="14"/>
      <c r="J22" s="14">
        <v>1.3775130324260121E-2</v>
      </c>
      <c r="K22" s="14">
        <v>1.4895626368021161E-2</v>
      </c>
      <c r="L22" s="14">
        <v>5.1379912085550393E-3</v>
      </c>
      <c r="M22" s="14">
        <v>3.1333191896437178E-2</v>
      </c>
      <c r="N22" s="14">
        <v>2.9731312578113241E-2</v>
      </c>
      <c r="O22" s="14">
        <v>-1.0351382623295951E-2</v>
      </c>
    </row>
    <row r="23" spans="1:15">
      <c r="A23" s="150">
        <v>44834</v>
      </c>
      <c r="B23" s="14">
        <v>8.4130117464652279E-2</v>
      </c>
      <c r="C23" s="14">
        <v>0.10291437868416729</v>
      </c>
      <c r="D23" s="14">
        <v>1.878426121951499E-2</v>
      </c>
      <c r="E23" s="14"/>
      <c r="F23" s="14"/>
      <c r="G23" s="14"/>
      <c r="H23" s="14"/>
      <c r="I23" s="14"/>
      <c r="J23" s="14">
        <v>3.0308774175068888E-3</v>
      </c>
      <c r="K23" s="14">
        <v>3.3575761544954101E-3</v>
      </c>
      <c r="L23" s="14">
        <v>1.1252509158036961E-3</v>
      </c>
      <c r="M23" s="14">
        <v>8.3925191657922577E-3</v>
      </c>
      <c r="N23" s="14">
        <v>8.4835538235296278E-3</v>
      </c>
      <c r="O23" s="14">
        <v>-5.6055162576128942E-3</v>
      </c>
    </row>
    <row r="24" spans="1:15">
      <c r="A24" s="150">
        <v>44865</v>
      </c>
      <c r="B24" s="14">
        <v>1.134630541345844E-2</v>
      </c>
      <c r="C24" s="14">
        <v>1.7315920036651031E-2</v>
      </c>
      <c r="D24" s="14">
        <v>5.9696146231925911E-3</v>
      </c>
      <c r="E24" s="14"/>
      <c r="F24" s="14"/>
      <c r="G24" s="14"/>
      <c r="H24" s="14"/>
      <c r="I24" s="14"/>
      <c r="J24" s="14">
        <v>5.4198480641734405E-4</v>
      </c>
      <c r="K24" s="14">
        <v>1.159617629321441E-3</v>
      </c>
      <c r="L24" s="14">
        <v>6.8624341353825215E-4</v>
      </c>
      <c r="M24" s="14">
        <v>2.6375892939894839E-3</v>
      </c>
      <c r="N24" s="14">
        <v>2.0775191985144591E-3</v>
      </c>
      <c r="O24" s="14">
        <v>-1.133339718588389E-3</v>
      </c>
    </row>
    <row r="25" spans="1:15">
      <c r="A25" s="150">
        <v>44895</v>
      </c>
      <c r="B25" s="14">
        <v>2.7981371557678571E-2</v>
      </c>
      <c r="C25" s="14">
        <v>4.5540022897662943E-2</v>
      </c>
      <c r="D25" s="14">
        <v>1.7558651339984369E-2</v>
      </c>
      <c r="E25" s="14"/>
      <c r="F25" s="14"/>
      <c r="G25" s="14"/>
      <c r="H25" s="14"/>
      <c r="I25" s="14"/>
      <c r="J25" s="14">
        <v>6.5785834470352613E-4</v>
      </c>
      <c r="K25" s="14">
        <v>2.6356140996427828E-3</v>
      </c>
      <c r="L25" s="14">
        <v>3.7299880916474401E-3</v>
      </c>
      <c r="M25" s="14">
        <v>8.8558516250030715E-3</v>
      </c>
      <c r="N25" s="14">
        <v>6.8715235810330498E-3</v>
      </c>
      <c r="O25" s="14">
        <v>-5.1921844020455009E-3</v>
      </c>
    </row>
    <row r="26" spans="1:15">
      <c r="A26" s="150">
        <v>44926</v>
      </c>
      <c r="B26" s="14">
        <v>5.6392076048579619E-2</v>
      </c>
      <c r="C26" s="14">
        <v>-6.1295697852634057E-2</v>
      </c>
      <c r="D26" s="14">
        <v>-0.1176877739012137</v>
      </c>
      <c r="E26" s="14"/>
      <c r="F26" s="14"/>
      <c r="G26" s="14"/>
      <c r="H26" s="14"/>
      <c r="I26" s="14"/>
      <c r="J26" s="14">
        <v>-1.6480425407290351E-2</v>
      </c>
      <c r="K26" s="14">
        <v>-2.2347683593039489E-2</v>
      </c>
      <c r="L26" s="14">
        <v>-8.2470005601556432E-3</v>
      </c>
      <c r="M26" s="14">
        <v>-4.7619009913009061E-2</v>
      </c>
      <c r="N26" s="14">
        <v>-4.2908650434651877E-2</v>
      </c>
      <c r="O26" s="14">
        <v>1.991499600693274E-2</v>
      </c>
    </row>
    <row r="27" spans="1:15">
      <c r="A27" s="150">
        <v>44957</v>
      </c>
      <c r="B27" s="14">
        <v>5.4466833672576792E-2</v>
      </c>
      <c r="C27" s="14">
        <v>8.1559811901895415E-2</v>
      </c>
      <c r="D27" s="14">
        <v>2.709297822931863E-2</v>
      </c>
      <c r="E27" s="14"/>
      <c r="F27" s="14"/>
      <c r="G27" s="14"/>
      <c r="H27" s="14"/>
      <c r="I27" s="14"/>
      <c r="J27" s="14">
        <v>2.929112752166535E-3</v>
      </c>
      <c r="K27" s="14">
        <v>4.4809178866196519E-3</v>
      </c>
      <c r="L27" s="14">
        <v>3.427160652941263E-3</v>
      </c>
      <c r="M27" s="14">
        <v>1.2436223522711849E-2</v>
      </c>
      <c r="N27" s="14">
        <v>1.2168813518769981E-2</v>
      </c>
      <c r="O27" s="14">
        <v>-8.3492501038906521E-3</v>
      </c>
    </row>
    <row r="28" spans="1:15">
      <c r="A28" s="150">
        <v>44985</v>
      </c>
      <c r="B28" s="14">
        <v>-7.5306980092625403E-2</v>
      </c>
      <c r="C28" s="14">
        <v>-6.637304182904788E-2</v>
      </c>
      <c r="D28" s="14">
        <v>8.9339382635775233E-3</v>
      </c>
      <c r="E28" s="14"/>
      <c r="F28" s="14"/>
      <c r="G28" s="14"/>
      <c r="H28" s="14"/>
      <c r="I28" s="14"/>
      <c r="J28" s="14">
        <v>1.50303620733806E-3</v>
      </c>
      <c r="K28" s="14">
        <v>9.9301699853816404E-4</v>
      </c>
      <c r="L28" s="14">
        <v>1.0775220995547861E-3</v>
      </c>
      <c r="M28" s="14">
        <v>4.3132956954799488E-3</v>
      </c>
      <c r="N28" s="14">
        <v>3.9817627331903624E-3</v>
      </c>
      <c r="O28" s="14">
        <v>-2.9346954705237972E-3</v>
      </c>
    </row>
    <row r="29" spans="1:15">
      <c r="A29" s="150">
        <v>45016</v>
      </c>
      <c r="B29" s="14">
        <v>5.2231231053529142E-2</v>
      </c>
      <c r="C29" s="14">
        <v>8.4623676589413013E-2</v>
      </c>
      <c r="D29" s="14">
        <v>3.2392445535883878E-2</v>
      </c>
      <c r="E29" s="14"/>
      <c r="F29" s="14"/>
      <c r="G29" s="14"/>
      <c r="H29" s="14"/>
      <c r="I29" s="14"/>
      <c r="J29" s="14">
        <v>3.9046176428440861E-3</v>
      </c>
      <c r="K29" s="14">
        <v>5.5842200615867123E-3</v>
      </c>
      <c r="L29" s="14">
        <v>3.468140509922754E-3</v>
      </c>
      <c r="M29" s="14">
        <v>1.7399425679555769E-2</v>
      </c>
      <c r="N29" s="14">
        <v>1.2978667031034509E-2</v>
      </c>
      <c r="O29" s="14">
        <v>-1.094262538905995E-2</v>
      </c>
    </row>
    <row r="30" spans="1:15">
      <c r="A30" s="150">
        <v>45046</v>
      </c>
      <c r="B30" s="14">
        <v>-2.1789705050688672E-2</v>
      </c>
      <c r="C30" s="14">
        <v>4.9453230831680163E-2</v>
      </c>
      <c r="D30" s="14">
        <v>7.1242935882368824E-2</v>
      </c>
      <c r="E30" s="14"/>
      <c r="F30" s="14"/>
      <c r="G30" s="14"/>
      <c r="H30" s="14"/>
      <c r="I30" s="14"/>
      <c r="J30" s="14">
        <v>3.5491770099788122E-3</v>
      </c>
      <c r="K30" s="14">
        <v>1.3181430355237569E-2</v>
      </c>
      <c r="L30" s="14">
        <v>1.1766566987731149E-2</v>
      </c>
      <c r="M30" s="14">
        <v>2.859503241438608E-2</v>
      </c>
      <c r="N30" s="14">
        <v>3.38718752196022E-2</v>
      </c>
      <c r="O30" s="14">
        <v>-1.9721146104566989E-2</v>
      </c>
    </row>
    <row r="31" spans="1:15">
      <c r="A31" s="150">
        <v>45077</v>
      </c>
      <c r="B31" s="14">
        <v>-4.7536859926820059E-2</v>
      </c>
      <c r="C31" s="14">
        <v>8.3714952800006976E-3</v>
      </c>
      <c r="D31" s="14">
        <v>5.5908355206820748E-2</v>
      </c>
      <c r="E31" s="14"/>
      <c r="F31" s="14"/>
      <c r="G31" s="14"/>
      <c r="H31" s="14"/>
      <c r="I31" s="14"/>
      <c r="J31" s="14">
        <v>8.5206445221131105E-3</v>
      </c>
      <c r="K31" s="14">
        <v>5.9818773142145572E-3</v>
      </c>
      <c r="L31" s="14">
        <v>7.8608202464006353E-3</v>
      </c>
      <c r="M31" s="14">
        <v>2.5281713698942838E-2</v>
      </c>
      <c r="N31" s="14">
        <v>2.6704046091192341E-2</v>
      </c>
      <c r="O31" s="14">
        <v>-1.8440746666042718E-2</v>
      </c>
    </row>
    <row r="32" spans="1:15">
      <c r="A32" s="150">
        <v>45107</v>
      </c>
      <c r="B32" s="14">
        <v>-1.403484687230579E-2</v>
      </c>
      <c r="C32" s="14">
        <v>-3.2033352720403627E-2</v>
      </c>
      <c r="D32" s="14">
        <v>-1.799850584809784E-2</v>
      </c>
      <c r="E32" s="14"/>
      <c r="F32" s="14"/>
      <c r="G32" s="14"/>
      <c r="H32" s="14"/>
      <c r="I32" s="14"/>
      <c r="J32" s="14">
        <v>-2.576188244974356E-3</v>
      </c>
      <c r="K32" s="14">
        <v>-2.1029703955735739E-3</v>
      </c>
      <c r="L32" s="14">
        <v>-2.5202436986912062E-3</v>
      </c>
      <c r="M32" s="14">
        <v>-8.4684931806891361E-3</v>
      </c>
      <c r="N32" s="14">
        <v>-6.850604462363504E-3</v>
      </c>
      <c r="O32" s="14">
        <v>4.5199941341939366E-3</v>
      </c>
    </row>
    <row r="33" spans="1:15">
      <c r="A33" s="150">
        <v>45138</v>
      </c>
      <c r="B33" s="14">
        <v>2.3453414473265429E-2</v>
      </c>
      <c r="C33" s="14">
        <v>0.123558454099107</v>
      </c>
      <c r="D33" s="14">
        <v>0.10010503962584159</v>
      </c>
      <c r="E33" s="14"/>
      <c r="F33" s="14"/>
      <c r="G33" s="14"/>
      <c r="H33" s="14"/>
      <c r="I33" s="14"/>
      <c r="J33" s="14">
        <v>1.5165537335068469E-2</v>
      </c>
      <c r="K33" s="14">
        <v>1.817082646021155E-2</v>
      </c>
      <c r="L33" s="14">
        <v>6.7056520550566098E-3</v>
      </c>
      <c r="M33" s="14">
        <v>4.0336441891997157E-2</v>
      </c>
      <c r="N33" s="14">
        <v>3.5855499609354358E-2</v>
      </c>
      <c r="O33" s="14">
        <v>-1.6128917725846601E-2</v>
      </c>
    </row>
    <row r="34" spans="1:15">
      <c r="A34" s="150">
        <v>45169</v>
      </c>
      <c r="B34" s="14">
        <v>-1.3523515804622299E-2</v>
      </c>
      <c r="C34" s="14">
        <v>-9.2576862846108457E-2</v>
      </c>
      <c r="D34" s="14">
        <v>-7.9053347041486158E-2</v>
      </c>
      <c r="E34" s="14"/>
      <c r="F34" s="14"/>
      <c r="G34" s="14"/>
      <c r="H34" s="14"/>
      <c r="I34" s="14"/>
      <c r="J34" s="14">
        <v>-1.452052217810014E-2</v>
      </c>
      <c r="K34" s="14">
        <v>-1.044171510982741E-2</v>
      </c>
      <c r="L34" s="14">
        <v>-6.6591015286669233E-3</v>
      </c>
      <c r="M34" s="14">
        <v>-2.895800800774034E-2</v>
      </c>
      <c r="N34" s="14">
        <v>-2.550785512317532E-2</v>
      </c>
      <c r="O34" s="14">
        <v>7.0338549060239746E-3</v>
      </c>
    </row>
    <row r="35" spans="1:15">
      <c r="A35" s="150">
        <v>45199</v>
      </c>
      <c r="B35" s="14">
        <v>-3.4088266012733667E-2</v>
      </c>
      <c r="C35" s="14">
        <v>6.831050608474315E-2</v>
      </c>
      <c r="D35" s="14">
        <v>0.1023987720974768</v>
      </c>
      <c r="E35" s="14"/>
      <c r="F35" s="14"/>
      <c r="G35" s="14"/>
      <c r="H35" s="14"/>
      <c r="I35" s="14"/>
      <c r="J35" s="14">
        <v>9.1528325717619482E-3</v>
      </c>
      <c r="K35" s="14">
        <v>2.6389000758101289E-2</v>
      </c>
      <c r="L35" s="14">
        <v>5.4176755091274887E-3</v>
      </c>
      <c r="M35" s="14">
        <v>3.8080657179493049E-2</v>
      </c>
      <c r="N35" s="14">
        <v>4.1641744675167902E-2</v>
      </c>
      <c r="O35" s="14">
        <v>-1.828313859617485E-2</v>
      </c>
    </row>
    <row r="36" spans="1:15">
      <c r="A36" s="150">
        <v>45230</v>
      </c>
      <c r="B36" s="14">
        <v>7.4882955593428599E-2</v>
      </c>
      <c r="C36" s="14">
        <v>5.5644826231146693E-2</v>
      </c>
      <c r="D36" s="14">
        <v>-1.9238129362281909E-2</v>
      </c>
      <c r="E36" s="14"/>
      <c r="F36" s="14"/>
      <c r="G36" s="14"/>
      <c r="H36" s="14"/>
      <c r="I36" s="14"/>
      <c r="J36" s="14">
        <v>-1.712003749190751E-3</v>
      </c>
      <c r="K36" s="14">
        <v>-2.4571025062780222E-3</v>
      </c>
      <c r="L36" s="14">
        <v>-3.5261454894439902E-3</v>
      </c>
      <c r="M36" s="14">
        <v>-8.419521927828643E-3</v>
      </c>
      <c r="N36" s="14">
        <v>-7.5111902072798236E-3</v>
      </c>
      <c r="O36" s="14">
        <v>4.3878345177393238E-3</v>
      </c>
    </row>
    <row r="37" spans="1:15">
      <c r="A37" s="150">
        <v>45260</v>
      </c>
      <c r="B37" s="14">
        <v>-1.667003766674981E-5</v>
      </c>
      <c r="C37" s="14">
        <v>-2.3478525409448701E-2</v>
      </c>
      <c r="D37" s="14">
        <v>-2.3461855371781949E-2</v>
      </c>
      <c r="E37" s="14"/>
      <c r="F37" s="14"/>
      <c r="G37" s="14"/>
      <c r="H37" s="14"/>
      <c r="I37" s="14"/>
      <c r="J37" s="14">
        <v>-2.9869212440703959E-3</v>
      </c>
      <c r="K37" s="14">
        <v>-4.2941645246098187E-3</v>
      </c>
      <c r="L37" s="14">
        <v>-2.1036563800325651E-3</v>
      </c>
      <c r="M37" s="14">
        <v>-9.9017953487588739E-3</v>
      </c>
      <c r="N37" s="14">
        <v>-1.077029760920345E-2</v>
      </c>
      <c r="O37" s="14">
        <v>6.5949797348931506E-3</v>
      </c>
    </row>
    <row r="38" spans="1:15">
      <c r="A38" s="150">
        <v>45291</v>
      </c>
      <c r="B38" s="14">
        <v>6.5623438640503545E-2</v>
      </c>
      <c r="C38" s="14">
        <v>7.675035233345287E-2</v>
      </c>
      <c r="D38" s="14">
        <v>1.112691369294933E-2</v>
      </c>
      <c r="E38" s="14"/>
      <c r="F38" s="14"/>
      <c r="G38" s="14"/>
      <c r="H38" s="14"/>
      <c r="I38" s="14"/>
      <c r="J38" s="14">
        <v>2.562646727321797E-3</v>
      </c>
      <c r="K38" s="14">
        <v>5.8172749318259056E-4</v>
      </c>
      <c r="L38" s="14">
        <v>1.3063912566753429E-3</v>
      </c>
      <c r="M38" s="14">
        <v>4.3725676232465689E-3</v>
      </c>
      <c r="N38" s="14">
        <v>4.3904696843670189E-3</v>
      </c>
      <c r="O38" s="14">
        <v>-2.086889091843994E-3</v>
      </c>
    </row>
    <row r="39" spans="1:15">
      <c r="A39" s="150">
        <v>45322</v>
      </c>
      <c r="B39" s="14">
        <v>-1.157669106436636E-2</v>
      </c>
      <c r="C39" s="14">
        <v>-3.714535791165713E-3</v>
      </c>
      <c r="D39" s="14">
        <v>7.8621552732006453E-3</v>
      </c>
      <c r="E39" s="14"/>
      <c r="F39" s="14"/>
      <c r="G39" s="14"/>
      <c r="H39" s="14"/>
      <c r="I39" s="14"/>
      <c r="J39" s="14">
        <v>1.3541801031466689E-3</v>
      </c>
      <c r="K39" s="14">
        <v>1.1179167024231681E-3</v>
      </c>
      <c r="L39" s="14">
        <v>6.7276530371042115E-4</v>
      </c>
      <c r="M39" s="14">
        <v>3.9662104587915217E-3</v>
      </c>
      <c r="N39" s="14">
        <v>2.6404180908833172E-3</v>
      </c>
      <c r="O39" s="14">
        <v>-1.8893353857544521E-3</v>
      </c>
    </row>
    <row r="40" spans="1:15">
      <c r="A40" s="150">
        <v>45351</v>
      </c>
      <c r="B40" s="14">
        <v>3.7314527159612601E-2</v>
      </c>
      <c r="C40" s="14">
        <v>2.699470849572564E-2</v>
      </c>
      <c r="D40" s="14">
        <v>-1.0319818663886961E-2</v>
      </c>
      <c r="E40" s="14"/>
      <c r="F40" s="14"/>
      <c r="G40" s="14"/>
      <c r="H40" s="14"/>
      <c r="I40" s="14"/>
      <c r="J40" s="14">
        <v>-1.3951290117301331E-3</v>
      </c>
      <c r="K40" s="14">
        <v>-1.6632563705613081E-3</v>
      </c>
      <c r="L40" s="14">
        <v>-1.0695420832633449E-3</v>
      </c>
      <c r="M40" s="14">
        <v>-4.8827134953407436E-3</v>
      </c>
      <c r="N40" s="14">
        <v>-4.7486530228663089E-3</v>
      </c>
      <c r="O40" s="14">
        <v>3.439475319874877E-3</v>
      </c>
    </row>
    <row r="41" spans="1:15">
      <c r="A41" s="150">
        <v>45382</v>
      </c>
      <c r="B41" s="14">
        <v>-3.8731542796383092E-2</v>
      </c>
      <c r="C41" s="14">
        <v>-1.7152024947438459E-2</v>
      </c>
      <c r="D41" s="14">
        <v>2.1579517848944629E-2</v>
      </c>
      <c r="E41" s="14"/>
      <c r="F41" s="14"/>
      <c r="G41" s="14"/>
      <c r="H41" s="14"/>
      <c r="I41" s="14"/>
      <c r="J41" s="14">
        <v>2.8766345074502171E-3</v>
      </c>
      <c r="K41" s="14">
        <v>2.21737270779539E-3</v>
      </c>
      <c r="L41" s="14">
        <v>3.5377999243322461E-3</v>
      </c>
      <c r="M41" s="14">
        <v>9.8486122654798721E-3</v>
      </c>
      <c r="N41" s="14">
        <v>9.1919551549601297E-3</v>
      </c>
      <c r="O41" s="14">
        <v>-6.092856711073227E-3</v>
      </c>
    </row>
    <row r="42" spans="1:15">
      <c r="A42" s="150">
        <v>45412</v>
      </c>
      <c r="B42" s="14">
        <v>6.0130270199052482E-2</v>
      </c>
      <c r="C42" s="14">
        <v>5.5647985456689288E-2</v>
      </c>
      <c r="D42" s="14">
        <v>-4.4822847423631879E-3</v>
      </c>
      <c r="E42" s="14"/>
      <c r="F42" s="14"/>
      <c r="G42" s="14"/>
      <c r="H42" s="14"/>
      <c r="I42" s="14"/>
      <c r="J42" s="14">
        <v>-3.2094820217092902E-4</v>
      </c>
      <c r="K42" s="14">
        <v>-8.1060926629097473E-4</v>
      </c>
      <c r="L42" s="14">
        <v>-6.613564284833716E-4</v>
      </c>
      <c r="M42" s="14">
        <v>-1.689389398373115E-3</v>
      </c>
      <c r="N42" s="14">
        <v>-1.859581118048625E-3</v>
      </c>
      <c r="O42" s="14">
        <v>8.5959967100382711E-4</v>
      </c>
    </row>
    <row r="43" spans="1:15">
      <c r="A43" s="150">
        <v>45443</v>
      </c>
      <c r="B43" s="14">
        <v>2.136641921154012E-2</v>
      </c>
      <c r="C43" s="14">
        <v>8.6587160768495569E-2</v>
      </c>
      <c r="D43" s="14">
        <v>6.5220741556955453E-2</v>
      </c>
      <c r="E43" s="14"/>
      <c r="F43" s="14"/>
      <c r="G43" s="14"/>
      <c r="H43" s="14"/>
      <c r="I43" s="14"/>
      <c r="J43" s="14">
        <v>5.2171494034656696E-3</v>
      </c>
      <c r="K43" s="14">
        <v>9.3141855983659289E-3</v>
      </c>
      <c r="L43" s="14">
        <v>1.1556961620950591E-2</v>
      </c>
      <c r="M43" s="14">
        <v>2.683577397096365E-2</v>
      </c>
      <c r="N43" s="14">
        <v>2.477823336899879E-2</v>
      </c>
      <c r="O43" s="14">
        <v>-1.2481562405789169E-2</v>
      </c>
    </row>
    <row r="44" spans="1:15">
      <c r="A44" s="150">
        <v>45473</v>
      </c>
      <c r="B44" s="14">
        <v>0.16306134006856929</v>
      </c>
      <c r="C44" s="14">
        <v>0.13718618115503339</v>
      </c>
      <c r="D44" s="14">
        <v>-2.5875158913535919E-2</v>
      </c>
      <c r="E44" s="14"/>
      <c r="F44" s="14"/>
      <c r="G44" s="14"/>
      <c r="H44" s="14"/>
      <c r="I44" s="14"/>
      <c r="J44" s="14">
        <v>-5.8352023094625956E-3</v>
      </c>
      <c r="K44" s="14">
        <v>-2.177999684082992E-3</v>
      </c>
      <c r="L44" s="14">
        <v>-2.3368615718687832E-3</v>
      </c>
      <c r="M44" s="14">
        <v>-1.233969535182863E-2</v>
      </c>
      <c r="N44" s="14">
        <v>-9.2070757424056425E-3</v>
      </c>
      <c r="O44" s="14">
        <v>6.02167574611272E-3</v>
      </c>
    </row>
    <row r="45" spans="1:15">
      <c r="A45" s="150">
        <v>45504</v>
      </c>
      <c r="B45" s="14">
        <v>-1.2752051283111779E-2</v>
      </c>
      <c r="C45" s="14">
        <v>-6.24477141459229E-2</v>
      </c>
      <c r="D45" s="14">
        <v>-4.9695662862811123E-2</v>
      </c>
      <c r="E45" s="14"/>
      <c r="F45" s="14"/>
      <c r="G45" s="14"/>
      <c r="H45" s="14"/>
      <c r="I45" s="14"/>
      <c r="J45" s="14">
        <v>-8.6603546845624175E-3</v>
      </c>
      <c r="K45" s="14">
        <v>-4.9775717647192559E-3</v>
      </c>
      <c r="L45" s="14">
        <v>-6.2403386958427738E-3</v>
      </c>
      <c r="M45" s="14">
        <v>-2.496797815041199E-2</v>
      </c>
      <c r="N45" s="14">
        <v>-1.9237727653015471E-2</v>
      </c>
      <c r="O45" s="14">
        <v>1.438830808574079E-2</v>
      </c>
    </row>
    <row r="46" spans="1:15">
      <c r="A46" s="150">
        <v>45535</v>
      </c>
      <c r="B46" s="14">
        <v>-6.2265350200637379E-2</v>
      </c>
      <c r="C46" s="14">
        <v>5.3822984660385459E-2</v>
      </c>
      <c r="D46" s="14">
        <v>0.1160883348610228</v>
      </c>
      <c r="E46" s="14"/>
      <c r="F46" s="14"/>
      <c r="G46" s="14"/>
      <c r="H46" s="14"/>
      <c r="I46" s="14"/>
      <c r="J46" s="14">
        <v>2.0175574882772839E-2</v>
      </c>
      <c r="K46" s="14">
        <v>1.248265496343063E-2</v>
      </c>
      <c r="L46" s="14">
        <v>1.3777104098205669E-2</v>
      </c>
      <c r="M46" s="14">
        <v>6.0844551251486093E-2</v>
      </c>
      <c r="N46" s="14">
        <v>4.1635242398601592E-2</v>
      </c>
      <c r="O46" s="14">
        <v>-3.282679273347399E-2</v>
      </c>
    </row>
    <row r="47" spans="1:15">
      <c r="A47" s="150">
        <v>45565</v>
      </c>
      <c r="B47" s="14">
        <v>-6.589327834960379E-2</v>
      </c>
      <c r="C47" s="14">
        <v>-3.1748352813587892E-2</v>
      </c>
      <c r="D47" s="14">
        <v>3.4144925536015898E-2</v>
      </c>
      <c r="E47" s="14"/>
      <c r="F47" s="14"/>
      <c r="G47" s="14"/>
      <c r="H47" s="14"/>
      <c r="I47" s="14"/>
      <c r="J47" s="14">
        <v>3.8523460429767558E-3</v>
      </c>
      <c r="K47" s="14">
        <v>1.9803388477013552E-3</v>
      </c>
      <c r="L47" s="14">
        <v>7.8252853237282538E-3</v>
      </c>
      <c r="M47" s="14">
        <v>1.714082599671133E-2</v>
      </c>
      <c r="N47" s="14">
        <v>1.5433203474185021E-2</v>
      </c>
      <c r="O47" s="14">
        <v>-1.208707414928681E-2</v>
      </c>
    </row>
    <row r="48" spans="1:15">
      <c r="A48" s="150">
        <v>45596</v>
      </c>
      <c r="B48" s="14">
        <v>-7.7294376786409283E-2</v>
      </c>
      <c r="C48" s="14">
        <v>-4.4012151564118182E-2</v>
      </c>
      <c r="D48" s="14">
        <v>3.3282225222291101E-2</v>
      </c>
      <c r="E48" s="14"/>
      <c r="F48" s="14"/>
      <c r="G48" s="14"/>
      <c r="H48" s="14"/>
      <c r="I48" s="14"/>
      <c r="J48" s="14">
        <v>5.9612560614746178E-3</v>
      </c>
      <c r="K48" s="14">
        <v>4.7330031576904843E-3</v>
      </c>
      <c r="L48" s="14">
        <v>2.6186308697513398E-3</v>
      </c>
      <c r="M48" s="14">
        <v>1.646173219695549E-2</v>
      </c>
      <c r="N48" s="14">
        <v>1.2929341396655251E-2</v>
      </c>
      <c r="O48" s="14">
        <v>-9.4217384602360878E-3</v>
      </c>
    </row>
    <row r="49" spans="1:15">
      <c r="A49" s="150">
        <v>45626</v>
      </c>
      <c r="B49" s="14">
        <v>-2.8515918824373199E-2</v>
      </c>
      <c r="C49" s="14">
        <v>-4.6953771933979913E-2</v>
      </c>
      <c r="D49" s="14">
        <v>-1.843785310960672E-2</v>
      </c>
      <c r="E49" s="14"/>
      <c r="F49" s="14"/>
      <c r="G49" s="14"/>
      <c r="H49" s="14"/>
      <c r="I49" s="14"/>
      <c r="J49" s="14">
        <v>-1.547917598123071E-3</v>
      </c>
      <c r="K49" s="14">
        <v>-3.6597674816520099E-3</v>
      </c>
      <c r="L49" s="14">
        <v>-2.1674561640676049E-3</v>
      </c>
      <c r="M49" s="14">
        <v>-8.2890196137522017E-3</v>
      </c>
      <c r="N49" s="14">
        <v>-8.4109197496369283E-3</v>
      </c>
      <c r="O49" s="14">
        <v>5.6372274976251007E-3</v>
      </c>
    </row>
    <row r="50" spans="1:15">
      <c r="A50" s="150">
        <v>45657</v>
      </c>
      <c r="B50" s="14">
        <v>3.492043136890529E-2</v>
      </c>
      <c r="C50" s="14">
        <v>-3.1880747189946809E-2</v>
      </c>
      <c r="D50" s="14">
        <v>-6.6801178558852092E-2</v>
      </c>
      <c r="E50" s="14"/>
      <c r="F50" s="14"/>
      <c r="G50" s="14"/>
      <c r="H50" s="14"/>
      <c r="I50" s="14"/>
      <c r="J50" s="14">
        <v>-5.729265607318834E-3</v>
      </c>
      <c r="K50" s="14">
        <v>-8.1687818601587081E-3</v>
      </c>
      <c r="L50" s="14">
        <v>-1.2822423956063299E-2</v>
      </c>
      <c r="M50" s="14">
        <v>-2.408324407268117E-2</v>
      </c>
      <c r="N50" s="14">
        <v>-3.1307294529823643E-2</v>
      </c>
      <c r="O50" s="14">
        <v>1.5309831467193559E-2</v>
      </c>
    </row>
    <row r="51" spans="1:15">
      <c r="A51" s="150">
        <v>45688</v>
      </c>
      <c r="B51" s="14">
        <v>2.0637822306323699E-2</v>
      </c>
      <c r="C51" s="14">
        <v>-1.4903522165484861E-2</v>
      </c>
      <c r="D51" s="14">
        <v>-3.554134447180856E-2</v>
      </c>
      <c r="E51" s="14"/>
      <c r="F51" s="14"/>
      <c r="G51" s="14"/>
      <c r="H51" s="14"/>
      <c r="I51" s="14"/>
      <c r="J51" s="14">
        <v>-5.4906698330605972E-3</v>
      </c>
      <c r="K51" s="14">
        <v>-4.9220819665533504E-3</v>
      </c>
      <c r="L51" s="14">
        <v>-3.8037859891094758E-3</v>
      </c>
      <c r="M51" s="14">
        <v>-1.7578056688437291E-2</v>
      </c>
      <c r="N51" s="14">
        <v>-1.6246321180790651E-2</v>
      </c>
      <c r="O51" s="14">
        <v>1.2499571186142819E-2</v>
      </c>
    </row>
    <row r="52" spans="1:15">
      <c r="A52" s="150">
        <v>45716</v>
      </c>
      <c r="B52" s="14">
        <v>1.0653870368562581E-2</v>
      </c>
      <c r="C52" s="14">
        <v>3.7663960179458202E-2</v>
      </c>
      <c r="D52" s="14">
        <v>2.7010089810895619E-2</v>
      </c>
      <c r="E52" s="14"/>
      <c r="F52" s="14"/>
      <c r="G52" s="14"/>
      <c r="H52" s="14"/>
      <c r="I52" s="14"/>
      <c r="J52" s="14">
        <v>4.3991525547085056E-3</v>
      </c>
      <c r="K52" s="14">
        <v>2.3187083277622601E-3</v>
      </c>
      <c r="L52" s="14">
        <v>4.0861750418874857E-3</v>
      </c>
      <c r="M52" s="14">
        <v>1.0648583468704349E-2</v>
      </c>
      <c r="N52" s="14">
        <v>9.9150441868108615E-3</v>
      </c>
      <c r="O52" s="14">
        <v>-4.3575737689778397E-3</v>
      </c>
    </row>
    <row r="53" spans="1:15">
      <c r="A53" s="150">
        <v>45747</v>
      </c>
      <c r="B53" s="14">
        <v>2.9791483760845699E-2</v>
      </c>
      <c r="C53" s="14">
        <v>-1.416742653655856E-2</v>
      </c>
      <c r="D53" s="14">
        <v>-4.3958910297404258E-2</v>
      </c>
      <c r="E53" s="14"/>
      <c r="F53" s="14"/>
      <c r="G53" s="14"/>
      <c r="H53" s="14"/>
      <c r="I53" s="14"/>
      <c r="J53" s="14">
        <v>-8.3338017845120647E-3</v>
      </c>
      <c r="K53" s="14">
        <v>-4.2808112999338432E-3</v>
      </c>
      <c r="L53" s="14">
        <v>-4.9689510345158044E-3</v>
      </c>
      <c r="M53" s="14">
        <v>-1.6105628626094499E-2</v>
      </c>
      <c r="N53" s="14">
        <v>-1.328667786386406E-2</v>
      </c>
      <c r="O53" s="14">
        <v>3.0169603115160061E-3</v>
      </c>
    </row>
    <row r="54" spans="1:15">
      <c r="A54" s="150">
        <v>45777</v>
      </c>
      <c r="B54" s="14">
        <v>7.7217443986470638E-2</v>
      </c>
      <c r="C54" s="14">
        <v>5.9209150914735893E-2</v>
      </c>
      <c r="D54" s="14">
        <v>-1.8008293071734752E-2</v>
      </c>
      <c r="E54" s="14"/>
      <c r="F54" s="14"/>
      <c r="G54" s="14"/>
      <c r="H54" s="14"/>
      <c r="I54" s="14"/>
      <c r="J54" s="14">
        <v>-1.5773569683110731E-3</v>
      </c>
      <c r="K54" s="14">
        <v>-3.9944814164953428E-3</v>
      </c>
      <c r="L54" s="14">
        <v>-1.6314788438874851E-3</v>
      </c>
      <c r="M54" s="14">
        <v>-7.318424975488973E-3</v>
      </c>
      <c r="N54" s="14">
        <v>-6.2662832161080864E-3</v>
      </c>
      <c r="O54" s="14">
        <v>2.7797323485562078E-3</v>
      </c>
    </row>
    <row r="55" spans="1:15">
      <c r="A55" s="150">
        <v>45808</v>
      </c>
      <c r="B55" s="14">
        <v>-1.0759736542324899E-2</v>
      </c>
      <c r="C55" s="14">
        <v>-6.7194623546161444E-2</v>
      </c>
      <c r="D55" s="14">
        <v>-5.6434887003836538E-2</v>
      </c>
      <c r="E55" s="14"/>
      <c r="F55" s="14"/>
      <c r="G55" s="14"/>
      <c r="H55" s="14"/>
      <c r="I55" s="14"/>
      <c r="J55" s="14">
        <v>-6.3135897675014856E-3</v>
      </c>
      <c r="K55" s="14">
        <v>-9.8511168247303951E-3</v>
      </c>
      <c r="L55" s="14">
        <v>-6.4092482093027394E-3</v>
      </c>
      <c r="M55" s="14">
        <v>-2.7337453653863159E-2</v>
      </c>
      <c r="N55" s="14">
        <v>-1.9747888714631252E-2</v>
      </c>
      <c r="O55" s="14">
        <v>1.3224410166192489E-2</v>
      </c>
    </row>
    <row r="56" spans="1:15">
      <c r="A56" s="150">
        <v>45838</v>
      </c>
      <c r="B56" s="14">
        <v>2.758765378300537E-3</v>
      </c>
      <c r="C56" s="14">
        <v>-7.1137824092379811E-3</v>
      </c>
      <c r="D56" s="14">
        <v>-9.8725477875385194E-3</v>
      </c>
      <c r="E56" s="14"/>
      <c r="F56" s="14"/>
      <c r="G56" s="14"/>
      <c r="H56" s="14"/>
      <c r="I56" s="14"/>
      <c r="J56" s="14">
        <v>-4.3416705650251361E-4</v>
      </c>
      <c r="K56" s="14">
        <v>-1.631829428325293E-3</v>
      </c>
      <c r="L56" s="14">
        <v>-1.8830226301876009E-3</v>
      </c>
      <c r="M56" s="14">
        <v>-4.136509758904997E-3</v>
      </c>
      <c r="N56" s="14">
        <v>-3.1040137769962621E-3</v>
      </c>
      <c r="O56" s="14">
        <v>1.316994863378148E-3</v>
      </c>
    </row>
    <row r="57" spans="1:15">
      <c r="A57" s="150">
        <v>45869</v>
      </c>
      <c r="B57" s="14">
        <v>0.1011455680902642</v>
      </c>
      <c r="C57" s="14">
        <v>6.7878783918547334E-2</v>
      </c>
      <c r="D57" s="14">
        <v>-3.3266784171716843E-2</v>
      </c>
      <c r="E57" s="14"/>
      <c r="F57" s="14"/>
      <c r="G57" s="14"/>
      <c r="H57" s="14"/>
      <c r="I57" s="14"/>
      <c r="J57" s="14">
        <v>-6.6883001614195994E-3</v>
      </c>
      <c r="K57" s="14">
        <v>-2.8605790677850391E-3</v>
      </c>
      <c r="L57" s="14">
        <v>-3.757834439482099E-3</v>
      </c>
      <c r="M57" s="14">
        <v>-1.43874334230369E-2</v>
      </c>
      <c r="N57" s="14">
        <v>-1.165421092557241E-2</v>
      </c>
      <c r="O57" s="14">
        <v>6.0815738455792002E-3</v>
      </c>
    </row>
    <row r="58" spans="1:15">
      <c r="A58" s="150">
        <v>45900</v>
      </c>
      <c r="B58" s="14">
        <v>-8.7039141380353166E-2</v>
      </c>
      <c r="C58" s="14">
        <v>-0.1231843756202451</v>
      </c>
      <c r="D58" s="14">
        <v>-3.614523423989191E-2</v>
      </c>
      <c r="E58" s="14"/>
      <c r="F58" s="14"/>
      <c r="G58" s="14"/>
      <c r="H58" s="14"/>
      <c r="I58" s="14"/>
      <c r="J58" s="14">
        <v>-9.1475664084395749E-3</v>
      </c>
      <c r="K58" s="14">
        <v>-3.4233479485277561E-3</v>
      </c>
      <c r="L58" s="14">
        <v>-1.8871793389894349E-3</v>
      </c>
      <c r="M58" s="14">
        <v>-1.782652762434242E-2</v>
      </c>
      <c r="N58" s="14">
        <v>-1.119520892834479E-2</v>
      </c>
      <c r="O58" s="14">
        <v>7.3345960087520621E-3</v>
      </c>
    </row>
    <row r="59" spans="1:15">
      <c r="A59" s="150">
        <v>45930</v>
      </c>
      <c r="B59" s="14">
        <v>5.8582448648453439E-2</v>
      </c>
      <c r="C59" s="14">
        <v>8.8996896190428998E-2</v>
      </c>
      <c r="D59" s="14">
        <v>3.0414447541975559E-2</v>
      </c>
      <c r="E59" s="14"/>
      <c r="F59" s="14"/>
      <c r="G59" s="14"/>
      <c r="H59" s="14"/>
      <c r="I59" s="14"/>
      <c r="J59" s="14">
        <v>2.822210163456389E-3</v>
      </c>
      <c r="K59" s="14">
        <v>3.9535765901900846E-3</v>
      </c>
      <c r="L59" s="14">
        <v>5.3899922631437478E-3</v>
      </c>
      <c r="M59" s="14">
        <v>1.1785858253494709E-2</v>
      </c>
      <c r="N59" s="14">
        <v>1.3117321308527941E-2</v>
      </c>
      <c r="O59" s="14">
        <v>-6.6545110368373163E-3</v>
      </c>
    </row>
    <row r="60" spans="1:15">
      <c r="A60" s="150">
        <v>45961</v>
      </c>
      <c r="B60" s="14">
        <v>0.1034820474433843</v>
      </c>
      <c r="C60" s="14">
        <v>0.14411193632533709</v>
      </c>
      <c r="D60" s="14">
        <v>4.0629888881952847E-2</v>
      </c>
      <c r="E60" s="14"/>
      <c r="F60" s="14"/>
      <c r="G60" s="14"/>
      <c r="H60" s="14"/>
      <c r="I60" s="14"/>
      <c r="J60" s="14">
        <v>3.1847874904417628E-3</v>
      </c>
      <c r="K60" s="14">
        <v>5.5163331615836657E-3</v>
      </c>
      <c r="L60" s="14">
        <v>7.5508349007557107E-3</v>
      </c>
      <c r="M60" s="14">
        <v>1.7328659264056061E-2</v>
      </c>
      <c r="N60" s="14">
        <v>1.435294305195165E-2</v>
      </c>
      <c r="O60" s="14">
        <v>-7.3036689868359993E-3</v>
      </c>
    </row>
    <row r="61" spans="1:15">
      <c r="A61" s="150">
        <v>45991</v>
      </c>
      <c r="B61" s="14">
        <v>3.5655844642673913E-2</v>
      </c>
      <c r="C61" s="14">
        <v>2.1573358298751209E-2</v>
      </c>
      <c r="D61" s="14">
        <v>-1.4082486343922699E-2</v>
      </c>
      <c r="E61" s="14"/>
      <c r="F61" s="14"/>
      <c r="G61" s="14"/>
      <c r="H61" s="14"/>
      <c r="I61" s="14"/>
      <c r="J61" s="14">
        <v>-1.7436631119262689E-3</v>
      </c>
      <c r="K61" s="14">
        <v>-1.4243200950555871E-3</v>
      </c>
      <c r="L61" s="14">
        <v>-2.465011330587223E-3</v>
      </c>
      <c r="M61" s="14">
        <v>-6.7147550811011841E-3</v>
      </c>
      <c r="N61" s="14">
        <v>-4.7572894188800284E-3</v>
      </c>
      <c r="O61" s="14">
        <v>3.022552693627592E-3</v>
      </c>
    </row>
    <row r="62" spans="1:15">
      <c r="A62" s="150">
        <v>46022</v>
      </c>
      <c r="B62" s="14">
        <v>6.5418266796784127E-2</v>
      </c>
      <c r="C62" s="14">
        <v>0.18567920837434451</v>
      </c>
      <c r="D62" s="14">
        <v>0.1202609415775604</v>
      </c>
      <c r="E62" s="14"/>
      <c r="F62" s="14"/>
      <c r="G62" s="14"/>
      <c r="H62" s="14"/>
      <c r="I62" s="14"/>
      <c r="J62" s="14">
        <v>1.7475901915713389E-2</v>
      </c>
      <c r="K62" s="14">
        <v>1.692674939946642E-2</v>
      </c>
      <c r="L62" s="14">
        <v>1.370172531584435E-2</v>
      </c>
      <c r="M62" s="14">
        <v>5.7470521205736057E-2</v>
      </c>
      <c r="N62" s="14">
        <v>4.7195810160164192E-2</v>
      </c>
      <c r="O62" s="14">
        <v>-3.2509766419364018E-2</v>
      </c>
    </row>
  </sheetData>
  <mergeCells count="3">
    <mergeCell ref="B1:C1"/>
    <mergeCell ref="J1:L1"/>
    <mergeCell ref="M1:O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D20" sqref="D20"/>
    </sheetView>
  </sheetViews>
  <sheetFormatPr defaultRowHeight="15"/>
  <cols>
    <col min="1" max="1" width="11.5703125" customWidth="1"/>
    <col min="7" max="7" width="6.5703125" customWidth="1"/>
    <col min="8" max="8" width="10.42578125" customWidth="1"/>
    <col min="9" max="9" width="11.42578125" customWidth="1"/>
  </cols>
  <sheetData>
    <row r="1" spans="1:9">
      <c r="B1" s="253" t="s">
        <v>781</v>
      </c>
      <c r="C1" s="261"/>
      <c r="D1" s="261"/>
      <c r="E1" s="261"/>
      <c r="F1" s="261"/>
    </row>
    <row r="3" spans="1:9">
      <c r="B3" s="3" t="s">
        <v>8</v>
      </c>
      <c r="C3" s="3" t="s">
        <v>9</v>
      </c>
      <c r="D3" s="3" t="s">
        <v>10</v>
      </c>
      <c r="E3" s="3" t="s">
        <v>467</v>
      </c>
      <c r="F3" s="3" t="s">
        <v>468</v>
      </c>
    </row>
    <row r="4" spans="1:9">
      <c r="A4" s="3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467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468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53" t="s">
        <v>478</v>
      </c>
      <c r="C10" s="253"/>
      <c r="D10" s="253"/>
      <c r="E10" s="253"/>
      <c r="F10" s="253"/>
      <c r="G10" s="253"/>
    </row>
    <row r="11" spans="1:9">
      <c r="B11" s="4" t="s">
        <v>8</v>
      </c>
      <c r="C11" s="4" t="s">
        <v>9</v>
      </c>
      <c r="D11" s="4" t="s">
        <v>10</v>
      </c>
      <c r="E11" s="4" t="s">
        <v>467</v>
      </c>
      <c r="F11" s="4" t="s">
        <v>468</v>
      </c>
      <c r="G11" s="4" t="s">
        <v>193</v>
      </c>
      <c r="H11" s="4"/>
    </row>
    <row r="12" spans="1:9">
      <c r="A12" s="227" t="s">
        <v>469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206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53" t="s">
        <v>470</v>
      </c>
      <c r="C15" s="261"/>
      <c r="D15" s="261"/>
      <c r="E15" s="261"/>
      <c r="F15" s="261"/>
      <c r="H15" s="1" t="s">
        <v>471</v>
      </c>
      <c r="I15" s="1" t="s">
        <v>263</v>
      </c>
    </row>
    <row r="16" spans="1:9">
      <c r="A16" s="227" t="s">
        <v>469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40625" defaultRowHeight="15"/>
  <cols>
    <col min="1" max="1" width="9.140625" style="64" customWidth="1"/>
    <col min="2" max="2" width="32.42578125" style="64" bestFit="1" customWidth="1"/>
    <col min="3" max="6" width="9.140625" style="64" customWidth="1"/>
    <col min="7" max="7" width="32.42578125" style="64" bestFit="1" customWidth="1"/>
    <col min="8" max="8" width="9.140625" style="64" customWidth="1"/>
    <col min="9" max="9" width="9.5703125" style="64" bestFit="1" customWidth="1"/>
    <col min="10" max="10" width="9.140625" style="64" customWidth="1"/>
    <col min="11" max="11" width="32.42578125" style="64" bestFit="1" customWidth="1"/>
    <col min="12" max="12" width="9.140625" style="64" customWidth="1"/>
    <col min="13" max="13" width="9.5703125" style="64" bestFit="1" customWidth="1"/>
    <col min="14" max="19" width="9.140625" style="64" customWidth="1"/>
    <col min="20" max="16384" width="9.140625" style="64"/>
  </cols>
  <sheetData>
    <row r="2" spans="2:13">
      <c r="B2" s="262" t="s">
        <v>265</v>
      </c>
      <c r="C2" s="263"/>
      <c r="D2" s="264"/>
      <c r="G2" s="262" t="s">
        <v>265</v>
      </c>
      <c r="H2" s="263"/>
      <c r="I2" s="264"/>
      <c r="K2" s="262" t="s">
        <v>265</v>
      </c>
      <c r="L2" s="263"/>
      <c r="M2" s="264"/>
    </row>
    <row r="3" spans="2:13">
      <c r="B3" s="265" t="s">
        <v>266</v>
      </c>
      <c r="C3" s="266"/>
      <c r="D3" s="267"/>
      <c r="G3" s="265" t="s">
        <v>267</v>
      </c>
      <c r="H3" s="266"/>
      <c r="I3" s="267"/>
      <c r="K3" s="265" t="s">
        <v>268</v>
      </c>
      <c r="L3" s="266"/>
      <c r="M3" s="267"/>
    </row>
    <row r="4" spans="2:13">
      <c r="B4" s="268">
        <v>45261</v>
      </c>
      <c r="C4" s="255"/>
      <c r="D4" s="269"/>
      <c r="G4" s="268">
        <v>45261</v>
      </c>
      <c r="H4" s="255"/>
      <c r="I4" s="269"/>
      <c r="K4" s="268">
        <v>45261</v>
      </c>
      <c r="L4" s="255"/>
      <c r="M4" s="269"/>
    </row>
    <row r="5" spans="2:13">
      <c r="B5" s="75" t="s">
        <v>269</v>
      </c>
      <c r="D5" s="76" t="s">
        <v>270</v>
      </c>
      <c r="G5" s="75"/>
      <c r="I5" s="76" t="s">
        <v>270</v>
      </c>
      <c r="K5" s="75"/>
      <c r="M5" s="76" t="s">
        <v>270</v>
      </c>
    </row>
    <row r="6" spans="2:13">
      <c r="B6" s="77" t="s">
        <v>271</v>
      </c>
      <c r="D6" s="76"/>
      <c r="G6" s="78" t="s">
        <v>272</v>
      </c>
      <c r="H6" s="79"/>
      <c r="I6" s="80">
        <v>442</v>
      </c>
      <c r="K6" s="77" t="s">
        <v>273</v>
      </c>
      <c r="M6" s="76"/>
    </row>
    <row r="7" spans="2:13">
      <c r="B7" s="77" t="s">
        <v>274</v>
      </c>
      <c r="D7" s="81">
        <v>20</v>
      </c>
      <c r="G7" s="77"/>
      <c r="I7" s="81"/>
      <c r="K7" s="77" t="s">
        <v>275</v>
      </c>
      <c r="M7" s="81">
        <f>I27</f>
        <v>23.270000000000024</v>
      </c>
    </row>
    <row r="8" spans="2:13">
      <c r="B8" s="77" t="s">
        <v>276</v>
      </c>
      <c r="D8" s="81">
        <v>5</v>
      </c>
      <c r="G8" s="78" t="s">
        <v>277</v>
      </c>
      <c r="H8" s="82"/>
      <c r="I8" s="83"/>
      <c r="K8" s="77" t="s">
        <v>278</v>
      </c>
      <c r="M8" s="81">
        <f>I16</f>
        <v>10</v>
      </c>
    </row>
    <row r="9" spans="2:13">
      <c r="B9" s="77" t="s">
        <v>279</v>
      </c>
      <c r="D9" s="81">
        <v>45</v>
      </c>
      <c r="G9" s="77" t="s">
        <v>280</v>
      </c>
      <c r="I9" s="84">
        <f>I6*0.7</f>
        <v>309.39999999999998</v>
      </c>
      <c r="K9" s="77" t="s">
        <v>281</v>
      </c>
      <c r="M9" s="81"/>
    </row>
    <row r="10" spans="2:13">
      <c r="B10" s="77" t="s">
        <v>282</v>
      </c>
      <c r="D10" s="85">
        <v>25</v>
      </c>
      <c r="G10" s="77" t="s">
        <v>283</v>
      </c>
      <c r="I10" s="81">
        <f>I6-I9</f>
        <v>132.60000000000002</v>
      </c>
      <c r="K10" s="77" t="s">
        <v>284</v>
      </c>
      <c r="M10" s="81"/>
    </row>
    <row r="11" spans="2:13">
      <c r="B11" s="77" t="s">
        <v>285</v>
      </c>
      <c r="D11" s="81">
        <f>SUM(D7:D10)</f>
        <v>95</v>
      </c>
      <c r="G11" s="75"/>
      <c r="I11" s="86"/>
      <c r="K11" s="77" t="s">
        <v>286</v>
      </c>
      <c r="M11" s="81">
        <v>-5</v>
      </c>
    </row>
    <row r="12" spans="2:13">
      <c r="B12" s="77" t="s">
        <v>287</v>
      </c>
      <c r="D12" s="81">
        <v>155</v>
      </c>
      <c r="G12" s="77" t="s">
        <v>288</v>
      </c>
      <c r="I12" s="81"/>
      <c r="K12" s="77" t="s">
        <v>289</v>
      </c>
      <c r="M12" s="81">
        <v>6</v>
      </c>
    </row>
    <row r="13" spans="2:13">
      <c r="B13" s="77" t="s">
        <v>290</v>
      </c>
      <c r="D13" s="85">
        <v>100</v>
      </c>
      <c r="G13" s="77" t="s">
        <v>291</v>
      </c>
      <c r="I13" s="81">
        <v>84</v>
      </c>
      <c r="K13" s="77" t="s">
        <v>292</v>
      </c>
      <c r="M13" s="81"/>
    </row>
    <row r="14" spans="2:13">
      <c r="B14" s="77" t="s">
        <v>293</v>
      </c>
      <c r="D14" s="81">
        <f>D12-D13</f>
        <v>55</v>
      </c>
      <c r="G14" s="75" t="s">
        <v>294</v>
      </c>
      <c r="H14" s="65"/>
      <c r="I14" s="81">
        <v>0.1</v>
      </c>
      <c r="K14" s="77" t="s">
        <v>295</v>
      </c>
      <c r="M14" s="81">
        <v>3</v>
      </c>
    </row>
    <row r="15" spans="2:13">
      <c r="B15" s="77" t="s">
        <v>296</v>
      </c>
      <c r="D15" s="81">
        <v>5</v>
      </c>
      <c r="G15" s="77" t="s">
        <v>297</v>
      </c>
      <c r="H15" s="65"/>
      <c r="I15" s="81">
        <v>0.6</v>
      </c>
      <c r="K15" s="77" t="s">
        <v>298</v>
      </c>
      <c r="M15" s="81">
        <v>1</v>
      </c>
    </row>
    <row r="16" spans="2:13">
      <c r="B16" s="78" t="s">
        <v>299</v>
      </c>
      <c r="C16" s="82"/>
      <c r="D16" s="83">
        <f>D14+D11+D15</f>
        <v>155</v>
      </c>
      <c r="G16" s="77" t="s">
        <v>300</v>
      </c>
      <c r="H16" s="65"/>
      <c r="I16" s="81">
        <v>10</v>
      </c>
      <c r="K16" s="77" t="s">
        <v>301</v>
      </c>
      <c r="M16" s="81">
        <v>-1</v>
      </c>
    </row>
    <row r="17" spans="2:13">
      <c r="B17" s="75" t="s">
        <v>302</v>
      </c>
      <c r="D17" s="76" t="s">
        <v>270</v>
      </c>
      <c r="G17" s="77" t="s">
        <v>303</v>
      </c>
      <c r="I17" s="87">
        <f>SUM(I13:I16)</f>
        <v>94.699999999999989</v>
      </c>
      <c r="K17" s="88" t="s">
        <v>304</v>
      </c>
      <c r="L17" s="89"/>
      <c r="M17" s="85">
        <f>SUM(M11:M16)</f>
        <v>4</v>
      </c>
    </row>
    <row r="18" spans="2:13">
      <c r="B18" s="77" t="s">
        <v>305</v>
      </c>
      <c r="D18" s="81"/>
      <c r="G18" s="77" t="s">
        <v>306</v>
      </c>
      <c r="I18" s="76">
        <f>I10-I17</f>
        <v>37.900000000000034</v>
      </c>
      <c r="K18" s="90" t="s">
        <v>307</v>
      </c>
      <c r="L18" s="91"/>
      <c r="M18" s="92">
        <f>M17+M8+M7</f>
        <v>37.270000000000024</v>
      </c>
    </row>
    <row r="19" spans="2:13">
      <c r="B19" s="77" t="s">
        <v>308</v>
      </c>
      <c r="D19" s="81">
        <v>40</v>
      </c>
      <c r="G19" s="77"/>
      <c r="I19" s="81"/>
      <c r="K19" s="93" t="s">
        <v>309</v>
      </c>
      <c r="L19" s="94"/>
      <c r="M19" s="95"/>
    </row>
    <row r="20" spans="2:13">
      <c r="B20" s="77" t="s">
        <v>310</v>
      </c>
      <c r="D20" s="81">
        <v>15</v>
      </c>
      <c r="G20" s="77" t="s">
        <v>311</v>
      </c>
      <c r="I20" s="81"/>
      <c r="K20" s="77" t="s">
        <v>312</v>
      </c>
      <c r="M20" s="81"/>
    </row>
    <row r="21" spans="2:13">
      <c r="B21" s="77" t="s">
        <v>313</v>
      </c>
      <c r="D21" s="85">
        <v>5</v>
      </c>
      <c r="G21" s="77" t="s">
        <v>314</v>
      </c>
      <c r="I21" s="96">
        <f>0.05*5</f>
        <v>0.25</v>
      </c>
      <c r="K21" s="77" t="s">
        <v>315</v>
      </c>
      <c r="M21" s="81">
        <v>-5</v>
      </c>
    </row>
    <row r="22" spans="2:13">
      <c r="B22" s="77" t="s">
        <v>316</v>
      </c>
      <c r="C22" s="65"/>
      <c r="D22" s="81">
        <f>SUM(D19:D21)</f>
        <v>60</v>
      </c>
      <c r="G22" s="77" t="s">
        <v>317</v>
      </c>
      <c r="I22" s="97">
        <f>0.08*D23</f>
        <v>2.4</v>
      </c>
      <c r="K22" s="77" t="s">
        <v>318</v>
      </c>
      <c r="M22" s="87">
        <v>10</v>
      </c>
    </row>
    <row r="23" spans="2:13">
      <c r="B23" s="77" t="s">
        <v>319</v>
      </c>
      <c r="C23" s="65"/>
      <c r="D23" s="85">
        <v>30</v>
      </c>
      <c r="G23" s="77" t="s">
        <v>320</v>
      </c>
      <c r="I23" s="98">
        <v>-2.1</v>
      </c>
      <c r="K23" s="77" t="s">
        <v>321</v>
      </c>
      <c r="M23" s="81">
        <f>SUM(M21:M22)</f>
        <v>5</v>
      </c>
    </row>
    <row r="24" spans="2:13">
      <c r="B24" s="77" t="s">
        <v>322</v>
      </c>
      <c r="D24" s="81">
        <f>SUM(D22:D23)</f>
        <v>90</v>
      </c>
      <c r="G24" s="77"/>
      <c r="H24" s="65"/>
      <c r="I24" s="81"/>
      <c r="K24" s="77" t="s">
        <v>323</v>
      </c>
      <c r="M24" s="81"/>
    </row>
    <row r="25" spans="2:13">
      <c r="B25" s="88" t="s">
        <v>324</v>
      </c>
      <c r="C25" s="89"/>
      <c r="D25" s="85">
        <f>155-90</f>
        <v>65</v>
      </c>
      <c r="G25" s="77" t="s">
        <v>325</v>
      </c>
      <c r="I25" s="99">
        <f>I10-I17+I23</f>
        <v>35.800000000000033</v>
      </c>
      <c r="K25" s="77" t="s">
        <v>326</v>
      </c>
      <c r="M25" s="81">
        <v>-3</v>
      </c>
    </row>
    <row r="26" spans="2:13">
      <c r="B26" s="90" t="s">
        <v>327</v>
      </c>
      <c r="C26" s="100"/>
      <c r="D26" s="101">
        <f>SUM(D24:D25)</f>
        <v>155</v>
      </c>
      <c r="G26" s="77" t="s">
        <v>328</v>
      </c>
      <c r="H26" s="65"/>
      <c r="I26" s="81">
        <f>0.35*I25</f>
        <v>12.53000000000001</v>
      </c>
      <c r="K26" s="77" t="s">
        <v>329</v>
      </c>
      <c r="M26" s="87">
        <v>2</v>
      </c>
    </row>
    <row r="27" spans="2:13">
      <c r="G27" s="78" t="s">
        <v>330</v>
      </c>
      <c r="H27" s="82"/>
      <c r="I27" s="102">
        <f>I25-I26</f>
        <v>23.270000000000024</v>
      </c>
      <c r="K27" s="88" t="s">
        <v>331</v>
      </c>
      <c r="L27" s="89"/>
      <c r="M27" s="85">
        <f>SUM(M25:M26)</f>
        <v>-1</v>
      </c>
    </row>
    <row r="28" spans="2:13">
      <c r="K28" s="78" t="s">
        <v>332</v>
      </c>
      <c r="L28" s="82"/>
      <c r="M28" s="103">
        <f>M27+M23</f>
        <v>4</v>
      </c>
    </row>
    <row r="29" spans="2:13">
      <c r="K29" s="77" t="s">
        <v>333</v>
      </c>
      <c r="M29" s="104"/>
    </row>
    <row r="30" spans="2:13">
      <c r="K30" s="77" t="s">
        <v>334</v>
      </c>
      <c r="M30" s="81">
        <v>-5</v>
      </c>
    </row>
    <row r="31" spans="2:13">
      <c r="K31" s="77" t="s">
        <v>335</v>
      </c>
      <c r="M31" s="81">
        <v>2</v>
      </c>
    </row>
    <row r="32" spans="2:13">
      <c r="K32" s="77" t="s">
        <v>336</v>
      </c>
      <c r="M32" s="81">
        <v>1</v>
      </c>
    </row>
    <row r="33" spans="11:13">
      <c r="K33" s="88" t="s">
        <v>337</v>
      </c>
      <c r="L33" s="89"/>
      <c r="M33" s="85">
        <v>-2.4</v>
      </c>
    </row>
    <row r="34" spans="11:13">
      <c r="K34" s="90" t="s">
        <v>338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339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40625" defaultRowHeight="15.75"/>
  <cols>
    <col min="1" max="1" width="4.5703125" style="129" customWidth="1"/>
    <col min="2" max="2" width="12.42578125" style="129" customWidth="1"/>
    <col min="3" max="3" width="11.85546875" style="129" customWidth="1"/>
    <col min="4" max="4" width="14.5703125" style="129" customWidth="1"/>
    <col min="5" max="5" width="23" style="129" customWidth="1"/>
    <col min="6" max="6" width="18" style="129" customWidth="1"/>
    <col min="7" max="7" width="11" style="129" customWidth="1"/>
    <col min="8" max="8" width="13.5703125" style="129" customWidth="1"/>
    <col min="9" max="9" width="3.42578125" style="129" customWidth="1"/>
    <col min="10" max="10" width="12.5703125" style="129" customWidth="1"/>
    <col min="11" max="11" width="12.140625" style="129" customWidth="1"/>
    <col min="12" max="12" width="12" style="129" customWidth="1"/>
    <col min="13" max="13" width="15.85546875" style="129" customWidth="1"/>
    <col min="14" max="14" width="2" style="129" customWidth="1"/>
    <col min="15" max="15" width="10.42578125" style="129" customWidth="1"/>
    <col min="16" max="16" width="9.5703125" style="129" customWidth="1"/>
    <col min="17" max="17" width="12.140625" style="129" customWidth="1"/>
    <col min="18" max="18" width="10.5703125" style="129" bestFit="1" customWidth="1"/>
    <col min="19" max="24" width="9.140625" style="129" customWidth="1"/>
    <col min="25" max="16384" width="9.140625" style="129"/>
  </cols>
  <sheetData>
    <row r="1" spans="2:22" ht="20.25" customHeight="1">
      <c r="B1" s="115" t="s">
        <v>340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270" t="s">
        <v>341</v>
      </c>
      <c r="D4" s="271"/>
      <c r="E4" s="271"/>
      <c r="F4" s="271"/>
      <c r="G4" s="271"/>
      <c r="H4" s="271"/>
      <c r="I4" s="128"/>
      <c r="J4" s="270" t="s">
        <v>342</v>
      </c>
      <c r="K4" s="271"/>
      <c r="L4" s="271"/>
      <c r="M4" s="115"/>
      <c r="N4" s="130"/>
      <c r="O4" s="130"/>
      <c r="P4" s="130"/>
    </row>
    <row r="5" spans="2:22" ht="20.25" customHeight="1">
      <c r="B5" s="115" t="s">
        <v>343</v>
      </c>
      <c r="C5" s="117" t="s">
        <v>344</v>
      </c>
      <c r="D5" s="117" t="s">
        <v>345</v>
      </c>
      <c r="E5" s="117" t="s">
        <v>346</v>
      </c>
      <c r="F5" s="117" t="s">
        <v>347</v>
      </c>
      <c r="G5" s="117" t="s">
        <v>348</v>
      </c>
      <c r="H5" s="117" t="s">
        <v>345</v>
      </c>
      <c r="I5" s="117"/>
      <c r="J5" s="117" t="s">
        <v>349</v>
      </c>
      <c r="K5" s="115" t="s">
        <v>350</v>
      </c>
      <c r="L5" s="117" t="s">
        <v>351</v>
      </c>
      <c r="M5" s="117" t="s">
        <v>352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353</v>
      </c>
      <c r="D12" s="117" t="s">
        <v>354</v>
      </c>
      <c r="E12" s="117" t="s">
        <v>355</v>
      </c>
      <c r="F12" s="117"/>
      <c r="I12" s="116"/>
      <c r="J12" s="118"/>
      <c r="K12" s="117" t="s">
        <v>356</v>
      </c>
      <c r="L12" s="116"/>
      <c r="M12" s="116"/>
      <c r="U12" s="130"/>
      <c r="V12" s="130"/>
    </row>
    <row r="13" spans="2:22" ht="20.25" customHeight="1">
      <c r="B13" s="115" t="s">
        <v>19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348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357</v>
      </c>
      <c r="D14" s="157" t="s">
        <v>351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358</v>
      </c>
      <c r="C15" s="120">
        <v>0.1</v>
      </c>
      <c r="D15" s="120">
        <v>0.14000000000000001</v>
      </c>
      <c r="E15" s="116"/>
      <c r="F15" s="116"/>
      <c r="I15" s="116"/>
      <c r="J15" s="135" t="s">
        <v>344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359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1" width="9.5703125" style="64" bestFit="1" customWidth="1"/>
    <col min="12" max="12" width="8.85546875" style="64" customWidth="1"/>
    <col min="13" max="13" width="9.570312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72" t="s">
        <v>360</v>
      </c>
      <c r="B1" s="266"/>
      <c r="C1" s="266"/>
      <c r="D1" s="266"/>
      <c r="E1" s="266"/>
      <c r="F1" s="108"/>
      <c r="G1" s="108"/>
      <c r="H1" s="108"/>
      <c r="J1" s="273"/>
      <c r="K1" s="266"/>
      <c r="L1" s="266"/>
      <c r="M1" s="266"/>
      <c r="N1" s="266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275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361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277</v>
      </c>
      <c r="B7" s="65"/>
      <c r="C7" s="65"/>
      <c r="D7" s="65"/>
      <c r="E7" s="65"/>
      <c r="F7" s="65"/>
      <c r="J7" s="64" t="s">
        <v>364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280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283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366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367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369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303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344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306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370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371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253</v>
      </c>
    </row>
    <row r="16" spans="1:17">
      <c r="A16" s="64" t="s">
        <v>317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330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364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344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30">
      <c r="A19" s="64" t="s">
        <v>325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9" t="s">
        <v>372</v>
      </c>
    </row>
    <row r="20" spans="1:19">
      <c r="A20" s="64" t="s">
        <v>328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70" t="s">
        <v>330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359</v>
      </c>
      <c r="K21" s="64">
        <v>0.18</v>
      </c>
    </row>
    <row r="22" spans="1:19">
      <c r="G22" s="73"/>
      <c r="J22" s="64" t="s">
        <v>374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349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375</v>
      </c>
      <c r="K24" s="64">
        <f>30-20</f>
        <v>10</v>
      </c>
      <c r="N24" s="70"/>
    </row>
    <row r="25" spans="1:19">
      <c r="H25" s="110"/>
      <c r="J25" s="64" t="s">
        <v>376</v>
      </c>
      <c r="K25" s="66">
        <f>K23-K24</f>
        <v>607.50035360888171</v>
      </c>
    </row>
    <row r="26" spans="1:19">
      <c r="J26" s="64" t="s">
        <v>377</v>
      </c>
      <c r="K26" s="64">
        <v>50</v>
      </c>
      <c r="N26" s="70"/>
    </row>
    <row r="27" spans="1:19">
      <c r="J27" s="64" t="s">
        <v>378</v>
      </c>
      <c r="K27" s="71">
        <f>K25/K26</f>
        <v>12.150007072177635</v>
      </c>
    </row>
    <row r="28" spans="1:19">
      <c r="J28" s="64" t="s">
        <v>379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3" width="9.570312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72" t="s">
        <v>360</v>
      </c>
      <c r="B1" s="266"/>
      <c r="C1" s="266"/>
      <c r="D1" s="266"/>
      <c r="E1" s="266"/>
      <c r="F1" s="108"/>
      <c r="G1" s="108"/>
      <c r="H1" s="108"/>
      <c r="J1" s="273"/>
      <c r="K1" s="266"/>
      <c r="L1" s="266"/>
      <c r="M1" s="266"/>
      <c r="N1" s="266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275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380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381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382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364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277</v>
      </c>
      <c r="B9" s="113"/>
      <c r="C9" s="65"/>
      <c r="D9" s="65"/>
      <c r="E9" s="65"/>
      <c r="F9" s="65"/>
      <c r="J9" s="64" t="s">
        <v>366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280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283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369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367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344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253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303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370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306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371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253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330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317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364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372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64" t="s">
        <v>325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359</v>
      </c>
      <c r="K21" s="64">
        <v>0.18</v>
      </c>
    </row>
    <row r="22" spans="1:19">
      <c r="A22" s="64" t="s">
        <v>328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374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330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383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375</v>
      </c>
      <c r="K24" s="64">
        <f>30-20</f>
        <v>10</v>
      </c>
      <c r="N24" s="70"/>
    </row>
    <row r="25" spans="1:19">
      <c r="H25" s="73"/>
      <c r="J25" s="64" t="s">
        <v>376</v>
      </c>
      <c r="K25" s="66">
        <f>K23-K24</f>
        <v>670.33731375149682</v>
      </c>
    </row>
    <row r="26" spans="1:19">
      <c r="G26" s="110"/>
      <c r="J26" s="64" t="s">
        <v>377</v>
      </c>
      <c r="K26" s="64">
        <v>50</v>
      </c>
      <c r="N26" s="70"/>
    </row>
    <row r="27" spans="1:19">
      <c r="H27" s="110"/>
      <c r="J27" s="64" t="s">
        <v>378</v>
      </c>
      <c r="K27" s="71">
        <f>K25/K26</f>
        <v>13.406746275029937</v>
      </c>
    </row>
    <row r="28" spans="1:19">
      <c r="J28" s="64" t="s">
        <v>379</v>
      </c>
      <c r="K28" s="64">
        <v>12.15</v>
      </c>
    </row>
    <row r="29" spans="1:19">
      <c r="J29" s="112" t="s">
        <v>100</v>
      </c>
      <c r="K29" s="114">
        <f>K27/K28-1</f>
        <v>0.10343590740987141</v>
      </c>
      <c r="L29" s="64" t="s">
        <v>598</v>
      </c>
    </row>
    <row r="31" spans="1:19">
      <c r="J31" s="68" t="s">
        <v>599</v>
      </c>
      <c r="K31" s="64">
        <v>0.19</v>
      </c>
    </row>
    <row r="32" spans="1:19">
      <c r="J32" s="64" t="s">
        <v>601</v>
      </c>
      <c r="R32" s="71"/>
      <c r="S32" s="71"/>
    </row>
    <row r="33" spans="10:18">
      <c r="J33" s="64" t="s">
        <v>600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602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40625" defaultRowHeight="15"/>
  <cols>
    <col min="1" max="1" width="8.5703125" style="64" customWidth="1"/>
    <col min="2" max="2" width="9.140625" style="142" customWidth="1"/>
    <col min="3" max="3" width="22.42578125" style="65" customWidth="1"/>
    <col min="4" max="4" width="32.42578125" style="64" customWidth="1"/>
    <col min="5" max="5" width="10.85546875" style="64" customWidth="1"/>
    <col min="6" max="6" width="9.5703125" style="64" bestFit="1" customWidth="1"/>
    <col min="7" max="9" width="9.140625" style="64" customWidth="1"/>
    <col min="10" max="10" width="10.140625" style="64" bestFit="1" customWidth="1"/>
    <col min="11" max="16" width="9.140625" style="64" customWidth="1"/>
    <col min="17" max="16384" width="9.140625" style="64"/>
  </cols>
  <sheetData>
    <row r="1" spans="2:6">
      <c r="B1" s="143"/>
      <c r="C1" s="138"/>
      <c r="D1" s="89"/>
      <c r="E1" s="89"/>
      <c r="F1" s="89"/>
    </row>
    <row r="2" spans="2:6">
      <c r="E2" s="274" t="s">
        <v>384</v>
      </c>
      <c r="F2" s="266"/>
    </row>
    <row r="3" spans="2:6">
      <c r="B3" s="143" t="s">
        <v>385</v>
      </c>
      <c r="C3" s="138"/>
      <c r="D3" s="89"/>
      <c r="E3" s="139" t="s">
        <v>8</v>
      </c>
      <c r="F3" s="139" t="s">
        <v>9</v>
      </c>
    </row>
    <row r="4" spans="2:6">
      <c r="C4" s="275"/>
      <c r="D4" s="263"/>
      <c r="E4" s="263"/>
      <c r="F4" s="263"/>
    </row>
    <row r="5" spans="2:6">
      <c r="B5" s="144">
        <v>1</v>
      </c>
      <c r="C5" s="65" t="s">
        <v>386</v>
      </c>
      <c r="D5" s="64" t="s">
        <v>269</v>
      </c>
      <c r="E5" s="64">
        <v>200</v>
      </c>
      <c r="F5" s="64">
        <v>200</v>
      </c>
    </row>
    <row r="6" spans="2:6">
      <c r="B6" s="144">
        <f>B5+1</f>
        <v>2</v>
      </c>
      <c r="C6" s="65" t="s">
        <v>266</v>
      </c>
      <c r="D6" s="64" t="s">
        <v>387</v>
      </c>
      <c r="E6" s="64">
        <v>20</v>
      </c>
      <c r="F6" s="64">
        <v>20</v>
      </c>
    </row>
    <row r="7" spans="2:6">
      <c r="B7" s="144">
        <f>B6+1</f>
        <v>3</v>
      </c>
      <c r="D7" s="140" t="s">
        <v>350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388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389</v>
      </c>
      <c r="D10" s="64" t="s">
        <v>390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391</v>
      </c>
      <c r="D11" s="64" t="s">
        <v>392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306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366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368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393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330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394</v>
      </c>
      <c r="D18" s="64" t="s">
        <v>330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395</v>
      </c>
      <c r="D19" s="64" t="s">
        <v>396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521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397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522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398</v>
      </c>
      <c r="D24" s="64" t="s">
        <v>344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399</v>
      </c>
      <c r="D25" s="64" t="s">
        <v>400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401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348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402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403</v>
      </c>
      <c r="D30" s="64" t="s">
        <v>404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405</v>
      </c>
      <c r="D31" s="64" t="s">
        <v>406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407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408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409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410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411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412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373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413</v>
      </c>
      <c r="D40" s="64" t="s">
        <v>414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415</v>
      </c>
      <c r="D41" s="64" t="s">
        <v>416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417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418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5"/>
  <cols>
    <col min="2" max="2" width="16" bestFit="1" customWidth="1"/>
    <col min="3" max="3" width="11.85546875" customWidth="1"/>
    <col min="4" max="4" width="3.5703125" customWidth="1"/>
    <col min="5" max="5" width="16" bestFit="1" customWidth="1"/>
    <col min="6" max="6" width="14.140625" customWidth="1"/>
    <col min="7" max="7" width="14.5703125" customWidth="1"/>
    <col min="8" max="8" width="12.5703125" bestFit="1" customWidth="1"/>
    <col min="9" max="9" width="13.42578125" bestFit="1" customWidth="1"/>
    <col min="11" max="11" width="27" bestFit="1" customWidth="1"/>
    <col min="12" max="12" width="12" bestFit="1" customWidth="1"/>
    <col min="13" max="15" width="11.5703125" bestFit="1" customWidth="1"/>
    <col min="18" max="18" width="12.5703125" bestFit="1" customWidth="1"/>
    <col min="19" max="19" width="14.5703125" bestFit="1" customWidth="1"/>
    <col min="22" max="23" width="12.5703125" bestFit="1" customWidth="1"/>
  </cols>
  <sheetData>
    <row r="1" spans="1:15">
      <c r="A1" t="s">
        <v>98</v>
      </c>
    </row>
    <row r="2" spans="1:15">
      <c r="A2">
        <v>5.0000000000000001E-3</v>
      </c>
      <c r="C2" t="s">
        <v>262</v>
      </c>
      <c r="E2" s="250" t="s">
        <v>94</v>
      </c>
      <c r="F2" s="251"/>
      <c r="G2" s="251"/>
      <c r="H2" s="251"/>
      <c r="I2" s="251"/>
    </row>
    <row r="3" spans="1:15">
      <c r="A3" t="s">
        <v>244</v>
      </c>
      <c r="B3" t="s">
        <v>419</v>
      </c>
      <c r="C3" t="s">
        <v>420</v>
      </c>
      <c r="E3" t="s">
        <v>419</v>
      </c>
      <c r="F3" t="s">
        <v>420</v>
      </c>
      <c r="G3" t="s">
        <v>420</v>
      </c>
      <c r="H3" t="s">
        <v>420</v>
      </c>
      <c r="I3" t="s">
        <v>420</v>
      </c>
    </row>
    <row r="4" spans="1:15">
      <c r="F4" t="s">
        <v>421</v>
      </c>
      <c r="G4" t="s">
        <v>422</v>
      </c>
      <c r="H4" t="s">
        <v>423</v>
      </c>
      <c r="I4" t="s">
        <v>424</v>
      </c>
      <c r="L4" t="s">
        <v>224</v>
      </c>
    </row>
    <row r="5" spans="1:15">
      <c r="A5" t="s">
        <v>425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426</v>
      </c>
      <c r="M5" t="s">
        <v>427</v>
      </c>
      <c r="N5" t="s">
        <v>428</v>
      </c>
      <c r="O5" t="s">
        <v>429</v>
      </c>
    </row>
    <row r="6" spans="1:15">
      <c r="A6" t="s">
        <v>430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431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432</v>
      </c>
      <c r="L7">
        <v>1</v>
      </c>
      <c r="M7">
        <v>1.2</v>
      </c>
      <c r="N7">
        <v>1.6</v>
      </c>
      <c r="O7">
        <v>2</v>
      </c>
    </row>
    <row r="8" spans="1:15">
      <c r="A8" t="s">
        <v>433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434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435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436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437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438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439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440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441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442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443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444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445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446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447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448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449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450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451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452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453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454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455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456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457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458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459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460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461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462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463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464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465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466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5"/>
  <cols>
    <col min="1" max="1" width="15.85546875" bestFit="1" customWidth="1"/>
  </cols>
  <sheetData>
    <row r="1" spans="1:9">
      <c r="B1" s="250" t="s">
        <v>191</v>
      </c>
      <c r="C1" s="251"/>
      <c r="D1" s="251"/>
      <c r="E1" s="251"/>
      <c r="F1" s="251"/>
    </row>
    <row r="2" spans="1:9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473</v>
      </c>
      <c r="G9" t="s">
        <v>474</v>
      </c>
      <c r="H9" t="s">
        <v>475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5"/>
  <cols>
    <col min="1" max="1" width="15.85546875" bestFit="1" customWidth="1"/>
    <col min="8" max="8" width="11.42578125" customWidth="1"/>
    <col min="9" max="9" width="10.42578125" customWidth="1"/>
  </cols>
  <sheetData>
    <row r="1" spans="1:10">
      <c r="B1" s="250" t="s">
        <v>191</v>
      </c>
      <c r="C1" s="251"/>
      <c r="D1" s="251"/>
      <c r="E1" s="251"/>
      <c r="F1" s="251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473</v>
      </c>
      <c r="G13" t="s">
        <v>474</v>
      </c>
      <c r="H13" t="s">
        <v>475</v>
      </c>
      <c r="I13" t="s">
        <v>476</v>
      </c>
      <c r="J13" t="s">
        <v>477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5"/>
  <cols>
    <col min="1" max="1" width="18.85546875" bestFit="1" customWidth="1"/>
    <col min="8" max="8" width="11.42578125" customWidth="1"/>
    <col min="9" max="9" width="10.42578125" customWidth="1"/>
  </cols>
  <sheetData>
    <row r="1" spans="1:10">
      <c r="B1" s="250" t="s">
        <v>191</v>
      </c>
      <c r="C1" s="251"/>
      <c r="D1" s="251"/>
      <c r="E1" s="251"/>
      <c r="F1" s="251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473</v>
      </c>
      <c r="B13" t="s">
        <v>8</v>
      </c>
      <c r="C13" t="s">
        <v>10</v>
      </c>
      <c r="D13" t="s">
        <v>467</v>
      </c>
      <c r="E13" t="s">
        <v>468</v>
      </c>
      <c r="F13" t="s">
        <v>174</v>
      </c>
      <c r="G13" t="s">
        <v>474</v>
      </c>
      <c r="H13" t="s">
        <v>475</v>
      </c>
      <c r="I13" t="s">
        <v>476</v>
      </c>
      <c r="J13" t="s">
        <v>477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478</v>
      </c>
      <c r="B16" t="s">
        <v>8</v>
      </c>
      <c r="C16" t="s">
        <v>10</v>
      </c>
      <c r="D16" t="s">
        <v>467</v>
      </c>
      <c r="E16" t="s">
        <v>468</v>
      </c>
      <c r="F16" t="s">
        <v>174</v>
      </c>
    </row>
    <row r="17" spans="1:6">
      <c r="A17" t="s">
        <v>206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479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5"/>
  <cols>
    <col min="1" max="1" width="15.85546875" bestFit="1" customWidth="1"/>
    <col min="2" max="2" width="16.5703125" customWidth="1"/>
    <col min="3" max="3" width="12.42578125" customWidth="1"/>
    <col min="4" max="4" width="11.140625" customWidth="1"/>
    <col min="5" max="6" width="12" bestFit="1" customWidth="1"/>
    <col min="7" max="7" width="13.5703125" bestFit="1" customWidth="1"/>
    <col min="8" max="8" width="13" bestFit="1" customWidth="1"/>
    <col min="9" max="9" width="10.5703125" customWidth="1"/>
    <col min="12" max="13" width="12" bestFit="1" customWidth="1"/>
    <col min="14" max="23" width="13.5703125" bestFit="1" customWidth="1"/>
  </cols>
  <sheetData>
    <row r="1" spans="1:12">
      <c r="B1" s="253" t="s">
        <v>226</v>
      </c>
      <c r="C1" s="251"/>
      <c r="D1" s="251"/>
    </row>
    <row r="2" spans="1:12">
      <c r="B2" s="1" t="s">
        <v>227</v>
      </c>
      <c r="C2" s="1" t="s">
        <v>228</v>
      </c>
      <c r="D2" s="1" t="s">
        <v>229</v>
      </c>
      <c r="E2" s="1" t="s">
        <v>480</v>
      </c>
      <c r="F2" s="1" t="s">
        <v>481</v>
      </c>
      <c r="G2" s="1" t="s">
        <v>482</v>
      </c>
      <c r="H2" s="1" t="s">
        <v>483</v>
      </c>
      <c r="I2" s="1" t="s">
        <v>484</v>
      </c>
      <c r="J2" s="1" t="s">
        <v>485</v>
      </c>
      <c r="K2" s="1" t="s">
        <v>486</v>
      </c>
      <c r="L2" s="1" t="s">
        <v>193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53" t="s">
        <v>191</v>
      </c>
      <c r="C5" s="251"/>
      <c r="D5" s="251"/>
    </row>
    <row r="7" spans="1:12">
      <c r="B7" s="1" t="s">
        <v>227</v>
      </c>
      <c r="C7" s="1" t="s">
        <v>228</v>
      </c>
      <c r="D7" s="1" t="s">
        <v>229</v>
      </c>
      <c r="E7" s="1" t="s">
        <v>480</v>
      </c>
      <c r="F7" s="1" t="s">
        <v>481</v>
      </c>
      <c r="G7" s="1" t="s">
        <v>482</v>
      </c>
      <c r="H7" s="1" t="s">
        <v>483</v>
      </c>
      <c r="I7" s="1" t="s">
        <v>484</v>
      </c>
      <c r="J7" s="1" t="s">
        <v>485</v>
      </c>
      <c r="K7" s="1" t="s">
        <v>486</v>
      </c>
    </row>
    <row r="8" spans="1:12">
      <c r="A8" s="1" t="s">
        <v>227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228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229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480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481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482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483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484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485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486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53" t="s">
        <v>232</v>
      </c>
      <c r="C19" s="251"/>
      <c r="D19" s="251"/>
    </row>
    <row r="20" spans="1:12">
      <c r="B20" s="1" t="s">
        <v>227</v>
      </c>
      <c r="C20" s="1" t="s">
        <v>228</v>
      </c>
      <c r="D20" s="1" t="s">
        <v>229</v>
      </c>
      <c r="E20" s="1" t="s">
        <v>480</v>
      </c>
      <c r="F20" s="1" t="s">
        <v>481</v>
      </c>
      <c r="G20" s="1" t="s">
        <v>482</v>
      </c>
      <c r="H20" s="1" t="s">
        <v>483</v>
      </c>
      <c r="I20" s="1" t="s">
        <v>484</v>
      </c>
      <c r="J20" s="1" t="s">
        <v>485</v>
      </c>
      <c r="K20" s="1" t="s">
        <v>486</v>
      </c>
    </row>
    <row r="21" spans="1:12">
      <c r="A21" s="1" t="s">
        <v>487</v>
      </c>
      <c r="B21" s="162">
        <v>0.12</v>
      </c>
      <c r="C21" s="162">
        <v>0.08</v>
      </c>
      <c r="D21" s="162">
        <v>0.16</v>
      </c>
      <c r="E21" s="162">
        <v>7.0000000000000007E-2</v>
      </c>
      <c r="F21" s="162">
        <v>0.08</v>
      </c>
      <c r="G21" s="162">
        <v>0.11</v>
      </c>
      <c r="H21" s="162">
        <v>0.09</v>
      </c>
      <c r="I21" s="162">
        <v>0.08</v>
      </c>
      <c r="J21" s="162">
        <v>0.11</v>
      </c>
      <c r="K21" s="162">
        <f>1-SUM(B21:J21)</f>
        <v>0.10000000000000009</v>
      </c>
    </row>
    <row r="22" spans="1:12">
      <c r="A22" s="1" t="s">
        <v>488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489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206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490</v>
      </c>
      <c r="C26" s="1" t="s">
        <v>225</v>
      </c>
      <c r="D26" s="1" t="s">
        <v>37</v>
      </c>
      <c r="E26" s="1" t="s">
        <v>100</v>
      </c>
      <c r="F26" s="1"/>
      <c r="G26" s="1"/>
      <c r="H26" s="1"/>
      <c r="I26" s="1"/>
      <c r="J26" s="1"/>
    </row>
    <row r="27" spans="1:12">
      <c r="A27" s="1" t="s">
        <v>227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228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229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480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481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482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483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484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485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486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491</v>
      </c>
      <c r="C38" t="s">
        <v>225</v>
      </c>
      <c r="D38" t="s">
        <v>37</v>
      </c>
      <c r="E38" t="s">
        <v>100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206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492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493</v>
      </c>
      <c r="B43">
        <f>SQRT(B40)</f>
        <v>5.0000999960443923E-2</v>
      </c>
    </row>
    <row r="44" spans="1:19">
      <c r="A44" s="1" t="s">
        <v>100</v>
      </c>
      <c r="B44">
        <f>E40</f>
        <v>3.1611561870672031E-2</v>
      </c>
    </row>
    <row r="45" spans="1:19">
      <c r="A45" s="1" t="s">
        <v>494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5"/>
  <cols>
    <col min="1" max="1" width="15.85546875" bestFit="1" customWidth="1"/>
    <col min="2" max="2" width="13.5703125" bestFit="1" customWidth="1"/>
    <col min="8" max="8" width="15.85546875" bestFit="1" customWidth="1"/>
  </cols>
  <sheetData>
    <row r="1" spans="1:12">
      <c r="B1" s="253" t="s">
        <v>226</v>
      </c>
      <c r="C1" s="251"/>
      <c r="D1" s="251"/>
    </row>
    <row r="2" spans="1:12">
      <c r="B2" s="1" t="s">
        <v>227</v>
      </c>
      <c r="C2" s="1" t="s">
        <v>228</v>
      </c>
      <c r="D2" s="1" t="s">
        <v>495</v>
      </c>
      <c r="E2" s="1" t="s">
        <v>98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53" t="s">
        <v>191</v>
      </c>
      <c r="C5" s="251"/>
      <c r="D5" s="251"/>
    </row>
    <row r="7" spans="1:12">
      <c r="B7" s="1" t="s">
        <v>227</v>
      </c>
      <c r="C7" s="1" t="s">
        <v>228</v>
      </c>
      <c r="D7" s="1" t="s">
        <v>495</v>
      </c>
    </row>
    <row r="8" spans="1:12">
      <c r="A8" s="1" t="s">
        <v>227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228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495</v>
      </c>
      <c r="B10">
        <v>7.8192000000000018E-3</v>
      </c>
      <c r="C10">
        <v>1.371E-2</v>
      </c>
      <c r="D10">
        <v>1.6866720000000002E-2</v>
      </c>
    </row>
    <row r="13" spans="1:12">
      <c r="B13" s="250" t="s">
        <v>232</v>
      </c>
      <c r="C13" s="251"/>
      <c r="D13" s="251"/>
    </row>
    <row r="14" spans="1:12">
      <c r="B14" s="1" t="s">
        <v>227</v>
      </c>
      <c r="C14" s="1" t="s">
        <v>228</v>
      </c>
      <c r="D14" s="1" t="s">
        <v>495</v>
      </c>
      <c r="I14" s="1">
        <v>-0.25</v>
      </c>
      <c r="J14" s="1"/>
      <c r="K14" s="1"/>
      <c r="L14" s="1"/>
    </row>
    <row r="15" spans="1:12">
      <c r="A15" s="1" t="s">
        <v>230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487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496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497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498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499</v>
      </c>
      <c r="B21" t="s">
        <v>490</v>
      </c>
      <c r="C21" t="s">
        <v>225</v>
      </c>
      <c r="D21" t="s">
        <v>37</v>
      </c>
      <c r="E21" t="s">
        <v>100</v>
      </c>
      <c r="F21" t="s">
        <v>500</v>
      </c>
    </row>
    <row r="22" spans="1:9">
      <c r="A22" s="1" t="s">
        <v>227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228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206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493</v>
      </c>
      <c r="B28">
        <f>SQRT(SUMPRODUCT(MMULT(B17:D17,B8:D10),B17:D17))</f>
        <v>4.999997371290596E-2</v>
      </c>
    </row>
    <row r="29" spans="1:9">
      <c r="A29" s="1" t="s">
        <v>100</v>
      </c>
      <c r="B29">
        <f>SUMPRODUCT(B17:D17,B3:D3)</f>
        <v>6.7571003603079105E-3</v>
      </c>
    </row>
    <row r="30" spans="1:9">
      <c r="A30" s="1" t="s">
        <v>494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5"/>
  <cols>
    <col min="1" max="1" width="9.85546875" bestFit="1" customWidth="1"/>
    <col min="2" max="2" width="19.85546875" bestFit="1" customWidth="1"/>
  </cols>
  <sheetData>
    <row r="3" spans="1:3">
      <c r="B3" t="s">
        <v>506</v>
      </c>
      <c r="C3">
        <v>30</v>
      </c>
    </row>
    <row r="4" spans="1:3">
      <c r="A4" s="47" t="s">
        <v>223</v>
      </c>
      <c r="B4" t="s">
        <v>507</v>
      </c>
      <c r="C4">
        <v>0.5</v>
      </c>
    </row>
    <row r="5" spans="1:3">
      <c r="A5" t="s">
        <v>85</v>
      </c>
      <c r="B5" t="s">
        <v>508</v>
      </c>
      <c r="C5">
        <v>40</v>
      </c>
    </row>
    <row r="6" spans="1:3">
      <c r="A6" t="s">
        <v>509</v>
      </c>
      <c r="B6" t="s">
        <v>510</v>
      </c>
      <c r="C6">
        <v>0.5</v>
      </c>
    </row>
    <row r="7" spans="1:3">
      <c r="A7" t="s">
        <v>193</v>
      </c>
      <c r="B7" t="s">
        <v>511</v>
      </c>
      <c r="C7">
        <v>0.01</v>
      </c>
    </row>
    <row r="8" spans="1:3">
      <c r="A8" t="s">
        <v>512</v>
      </c>
      <c r="B8" t="s">
        <v>513</v>
      </c>
      <c r="C8">
        <v>69.342915559511255</v>
      </c>
    </row>
    <row r="9" spans="1:3">
      <c r="A9" t="s">
        <v>514</v>
      </c>
      <c r="B9" t="s">
        <v>515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516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4-VW</vt:lpstr>
      <vt:lpstr>4-EW</vt:lpstr>
      <vt:lpstr>4-Direct_Indirect</vt:lpstr>
      <vt:lpstr>4-Zero_Cost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7-Beta_and_Var</vt:lpstr>
      <vt:lpstr>7-alpha beta 1</vt:lpstr>
      <vt:lpstr>7-alpha beta 2</vt:lpstr>
      <vt:lpstr>7-Google and Tech</vt:lpstr>
      <vt:lpstr>7-Google Tech and Oil</vt:lpstr>
      <vt:lpstr>9-Lakers</vt:lpstr>
      <vt:lpstr>9-alpha beta</vt:lpstr>
      <vt:lpstr>9-Lakers2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Sheet3</vt:lpstr>
      <vt:lpstr>PA-2_old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2025-08-17T04:08:44Z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