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62AA3455-1F53-4EDB-A6A3-C272C84B90B1}" xr6:coauthVersionLast="47" xr6:coauthVersionMax="47" xr10:uidLastSave="{00000000-0000-0000-0000-000000000000}"/>
  <bookViews>
    <workbookView xWindow="57480" yWindow="-120" windowWidth="29040" windowHeight="15720" tabRatio="799" firstSheet="39" activeTab="49" xr2:uid="{00000000-000D-0000-FFFF-FFFF00000000}"/>
  </bookViews>
  <sheets>
    <sheet name="4-VW" sheetId="2" r:id="rId1"/>
    <sheet name="4-EW" sheetId="1" r:id="rId2"/>
    <sheet name="4-Direct_Indirect" sheetId="51" r:id="rId3"/>
    <sheet name="4-Zero_Cost" sheetId="68" r:id="rId4"/>
    <sheet name="5-Variance" sheetId="3" r:id="rId5"/>
    <sheet name="5-Variance Estimate" sheetId="4" r:id="rId6"/>
    <sheet name="5-Harley-Zion" sheetId="5" r:id="rId7"/>
    <sheet name="5-Geometric_Mean" sheetId="50" r:id="rId8"/>
    <sheet name="7-Cov1" sheetId="6" r:id="rId9"/>
    <sheet name="7-Var" sheetId="7" r:id="rId10"/>
    <sheet name="7-Var and Corr" sheetId="54" r:id="rId11"/>
    <sheet name="7-Beta_and_Var" sheetId="69" r:id="rId12"/>
    <sheet name="7-alpha beta 1" sheetId="53" r:id="rId13"/>
    <sheet name="7-alpha beta 2" sheetId="52" r:id="rId14"/>
    <sheet name="7-Google and Tech" sheetId="11" r:id="rId15"/>
    <sheet name="7-Google Tech and Oil" sheetId="13" r:id="rId16"/>
    <sheet name="9-Lakers" sheetId="70" r:id="rId17"/>
    <sheet name="9-alpha beta" sheetId="8" r:id="rId18"/>
    <sheet name="9-Lakers2" sheetId="71" r:id="rId19"/>
    <sheet name="8-Var1" sheetId="14" r:id="rId20"/>
    <sheet name="8-Efficient Frontier" sheetId="15" r:id="rId21"/>
    <sheet name="8-active portfolio" sheetId="16" r:id="rId22"/>
    <sheet name="8-alpha" sheetId="17" r:id="rId23"/>
    <sheet name="8-Rate of Change" sheetId="19" r:id="rId24"/>
    <sheet name="9-Systematic_Risk" sheetId="22" r:id="rId25"/>
    <sheet name="8-Var2" sheetId="18" r:id="rId26"/>
    <sheet name="9-Alpha" sheetId="23" r:id="rId27"/>
    <sheet name="9-max corr" sheetId="55" r:id="rId28"/>
    <sheet name="10-Out of Sample" sheetId="25" r:id="rId29"/>
    <sheet name="10-Tangent Indirect" sheetId="56" r:id="rId30"/>
    <sheet name="10-LoBeta" sheetId="61" r:id="rId31"/>
    <sheet name="10-Estimating Alpha" sheetId="62" r:id="rId32"/>
    <sheet name="10-Tweights5" sheetId="63" r:id="rId33"/>
    <sheet name="10-FF5" sheetId="60" r:id="rId34"/>
    <sheet name="12-PE_Metrics" sheetId="64" r:id="rId35"/>
    <sheet name="13-butterfly" sheetId="48" r:id="rId36"/>
    <sheet name="FI_IRR" sheetId="72" r:id="rId37"/>
    <sheet name="FI_coupon1" sheetId="78" r:id="rId38"/>
    <sheet name="FI_parbonds" sheetId="74" r:id="rId39"/>
    <sheet name="FI_duration" sheetId="75" r:id="rId40"/>
    <sheet name="FI_Convexity" sheetId="76" r:id="rId41"/>
    <sheet name="FI_real yields" sheetId="77" r:id="rId42"/>
    <sheet name="IR-IR" sheetId="79" r:id="rId43"/>
    <sheet name="14-IR0" sheetId="80" r:id="rId44"/>
    <sheet name="14-IR1" sheetId="66" r:id="rId45"/>
    <sheet name="IR-2" sheetId="81" r:id="rId46"/>
    <sheet name="IR-3" sheetId="82" r:id="rId47"/>
    <sheet name="PA-1" sheetId="83" r:id="rId48"/>
    <sheet name="PA-2" sheetId="86" r:id="rId49"/>
    <sheet name="PA-3" sheetId="87" r:id="rId50"/>
    <sheet name="IR-measuring active risk" sheetId="42" r:id="rId51"/>
    <sheet name="15-Accounting" sheetId="36" r:id="rId52"/>
    <sheet name="15-FCFF vs FCFE" sheetId="37" r:id="rId53"/>
    <sheet name="15-Consensus Model" sheetId="38" r:id="rId54"/>
    <sheet name="15-Thesis Model" sheetId="39" r:id="rId55"/>
    <sheet name="15-Summary" sheetId="40" r:id="rId56"/>
    <sheet name="14-alpha and leverage" sheetId="41" r:id="rId57"/>
    <sheet name="14-scaling h and active risk" sheetId="43" r:id="rId58"/>
    <sheet name="14-scaling h and IR" sheetId="44" r:id="rId59"/>
    <sheet name="14-Maximizing IR1" sheetId="45" r:id="rId60"/>
    <sheet name="14-Maximizing IR" sheetId="46" r:id="rId61"/>
    <sheet name="14-Maximizing IR with ETF" sheetId="47" r:id="rId62"/>
    <sheet name="16-Debt Value" sheetId="49" r:id="rId63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1" hidden="1">'10-Estimating Alpha'!$I$15:$J$15</definedName>
    <definedName name="solver_adj" localSheetId="28" hidden="1">'10-Out of Sample'!$E$13</definedName>
    <definedName name="solver_adj" localSheetId="32" hidden="1">'10-Tweights5'!$K$15:$N$15</definedName>
    <definedName name="solver_adj" localSheetId="44" hidden="1">'14-IR1'!$B$14</definedName>
    <definedName name="solver_adj" localSheetId="60" hidden="1">'14-Maximizing IR'!$B$22:$J$22</definedName>
    <definedName name="solver_adj" localSheetId="59" hidden="1">'14-Maximizing IR1'!$B$14:$E$14</definedName>
    <definedName name="solver_adj" localSheetId="53" hidden="1">'15-Consensus Model'!$S$22</definedName>
    <definedName name="solver_adj" localSheetId="54" hidden="1">'15-Thesis Model'!$S$22</definedName>
    <definedName name="solver_adj" localSheetId="62" hidden="1">'16-Debt Value'!$C$8</definedName>
    <definedName name="solver_adj" localSheetId="9" hidden="1">'7-Var'!$C$37:$C$62</definedName>
    <definedName name="solver_adj" localSheetId="21" hidden="1">'8-active portfolio'!$C$13:$E$13</definedName>
    <definedName name="solver_adj" localSheetId="22" hidden="1">'8-alpha'!$K$42:$L$42</definedName>
    <definedName name="solver_adj" localSheetId="20" hidden="1">'8-Efficient Frontier'!$B$27:$C$36</definedName>
    <definedName name="solver_adj" localSheetId="25" hidden="1">'8-Var2'!$B$16:$C$16</definedName>
    <definedName name="solver_adj" localSheetId="27" hidden="1">'9-max corr'!$B$27</definedName>
    <definedName name="solver_adj" localSheetId="40" hidden="1">FI_Convexity!$G$29:$G$30</definedName>
    <definedName name="solver_adj" localSheetId="45" hidden="1">'IR-2'!$B$22:$K$22</definedName>
    <definedName name="solver_adj" localSheetId="46" hidden="1">'IR-3'!$B$22:$K$22</definedName>
    <definedName name="solver_cvg" localSheetId="31" hidden="1">0.0001</definedName>
    <definedName name="solver_cvg" localSheetId="28" hidden="1">0.0001</definedName>
    <definedName name="solver_cvg" localSheetId="32" hidden="1">0.0001</definedName>
    <definedName name="solver_cvg" localSheetId="44" hidden="1">0.0001</definedName>
    <definedName name="solver_cvg" localSheetId="60" hidden="1">0.0001</definedName>
    <definedName name="solver_cvg" localSheetId="59" hidden="1">0.0001</definedName>
    <definedName name="solver_cvg" localSheetId="53" hidden="1">0.0001</definedName>
    <definedName name="solver_cvg" localSheetId="54" hidden="1">0.0001</definedName>
    <definedName name="solver_cvg" localSheetId="62" hidden="1">0.0001</definedName>
    <definedName name="solver_cvg" localSheetId="9" hidden="1">0.0001</definedName>
    <definedName name="solver_cvg" localSheetId="21" hidden="1">0.0001</definedName>
    <definedName name="solver_cvg" localSheetId="22" hidden="1">0.0001</definedName>
    <definedName name="solver_cvg" localSheetId="20" hidden="1">0.0001</definedName>
    <definedName name="solver_cvg" localSheetId="25" hidden="1">0.0001</definedName>
    <definedName name="solver_cvg" localSheetId="27" hidden="1">0.0001</definedName>
    <definedName name="solver_cvg" localSheetId="40" hidden="1">0.0001</definedName>
    <definedName name="solver_cvg" localSheetId="45" hidden="1">0.000001</definedName>
    <definedName name="solver_cvg" localSheetId="46" hidden="1">0.0001</definedName>
    <definedName name="solver_drv" localSheetId="31" hidden="1">1</definedName>
    <definedName name="solver_drv" localSheetId="28" hidden="1">1</definedName>
    <definedName name="solver_drv" localSheetId="32" hidden="1">1</definedName>
    <definedName name="solver_drv" localSheetId="44" hidden="1">1</definedName>
    <definedName name="solver_drv" localSheetId="60" hidden="1">2</definedName>
    <definedName name="solver_drv" localSheetId="59" hidden="1">2</definedName>
    <definedName name="solver_drv" localSheetId="53" hidden="1">1</definedName>
    <definedName name="solver_drv" localSheetId="54" hidden="1">1</definedName>
    <definedName name="solver_drv" localSheetId="62" hidden="1">1</definedName>
    <definedName name="solver_drv" localSheetId="9" hidden="1">1</definedName>
    <definedName name="solver_drv" localSheetId="21" hidden="1">1</definedName>
    <definedName name="solver_drv" localSheetId="22" hidden="1">1</definedName>
    <definedName name="solver_drv" localSheetId="20" hidden="1">1</definedName>
    <definedName name="solver_drv" localSheetId="25" hidden="1">1</definedName>
    <definedName name="solver_drv" localSheetId="27" hidden="1">1</definedName>
    <definedName name="solver_drv" localSheetId="40" hidden="1">1</definedName>
    <definedName name="solver_drv" localSheetId="45" hidden="1">2</definedName>
    <definedName name="solver_drv" localSheetId="46" hidden="1">2</definedName>
    <definedName name="solver_eng" localSheetId="31" hidden="1">1</definedName>
    <definedName name="solver_eng" localSheetId="28" hidden="1">1</definedName>
    <definedName name="solver_eng" localSheetId="32" hidden="1">1</definedName>
    <definedName name="solver_eng" localSheetId="44" hidden="1">1</definedName>
    <definedName name="solver_eng" localSheetId="60" hidden="1">1</definedName>
    <definedName name="solver_eng" localSheetId="59" hidden="1">1</definedName>
    <definedName name="solver_eng" localSheetId="53" hidden="1">1</definedName>
    <definedName name="solver_eng" localSheetId="54" hidden="1">1</definedName>
    <definedName name="solver_eng" localSheetId="62" hidden="1">1</definedName>
    <definedName name="solver_eng" localSheetId="9" hidden="1">1</definedName>
    <definedName name="solver_eng" localSheetId="21" hidden="1">1</definedName>
    <definedName name="solver_eng" localSheetId="22" hidden="1">1</definedName>
    <definedName name="solver_eng" localSheetId="20" hidden="1">1</definedName>
    <definedName name="solver_eng" localSheetId="25" hidden="1">1</definedName>
    <definedName name="solver_eng" localSheetId="27" hidden="1">1</definedName>
    <definedName name="solver_eng" localSheetId="40" hidden="1">2</definedName>
    <definedName name="solver_eng" localSheetId="45" hidden="1">1</definedName>
    <definedName name="solver_eng" localSheetId="46" hidden="1">1</definedName>
    <definedName name="solver_eng" localSheetId="48" hidden="1">1</definedName>
    <definedName name="solver_est" localSheetId="31" hidden="1">1</definedName>
    <definedName name="solver_est" localSheetId="28" hidden="1">1</definedName>
    <definedName name="solver_est" localSheetId="32" hidden="1">1</definedName>
    <definedName name="solver_est" localSheetId="44" hidden="1">1</definedName>
    <definedName name="solver_est" localSheetId="60" hidden="1">1</definedName>
    <definedName name="solver_est" localSheetId="59" hidden="1">1</definedName>
    <definedName name="solver_est" localSheetId="53" hidden="1">1</definedName>
    <definedName name="solver_est" localSheetId="54" hidden="1">1</definedName>
    <definedName name="solver_est" localSheetId="62" hidden="1">1</definedName>
    <definedName name="solver_est" localSheetId="9" hidden="1">1</definedName>
    <definedName name="solver_est" localSheetId="21" hidden="1">1</definedName>
    <definedName name="solver_est" localSheetId="22" hidden="1">1</definedName>
    <definedName name="solver_est" localSheetId="20" hidden="1">1</definedName>
    <definedName name="solver_est" localSheetId="25" hidden="1">1</definedName>
    <definedName name="solver_est" localSheetId="27" hidden="1">1</definedName>
    <definedName name="solver_est" localSheetId="40" hidden="1">1</definedName>
    <definedName name="solver_est" localSheetId="45" hidden="1">1</definedName>
    <definedName name="solver_est" localSheetId="46" hidden="1">1</definedName>
    <definedName name="solver_itr" localSheetId="31" hidden="1">2147483647</definedName>
    <definedName name="solver_itr" localSheetId="28" hidden="1">2147483647</definedName>
    <definedName name="solver_itr" localSheetId="32" hidden="1">2147483647</definedName>
    <definedName name="solver_itr" localSheetId="44" hidden="1">2147483647</definedName>
    <definedName name="solver_itr" localSheetId="60" hidden="1">2147483647</definedName>
    <definedName name="solver_itr" localSheetId="59" hidden="1">2147483647</definedName>
    <definedName name="solver_itr" localSheetId="53" hidden="1">2147483647</definedName>
    <definedName name="solver_itr" localSheetId="54" hidden="1">2147483647</definedName>
    <definedName name="solver_itr" localSheetId="62" hidden="1">2147483647</definedName>
    <definedName name="solver_itr" localSheetId="9" hidden="1">2147483647</definedName>
    <definedName name="solver_itr" localSheetId="21" hidden="1">2147483647</definedName>
    <definedName name="solver_itr" localSheetId="22" hidden="1">2147483647</definedName>
    <definedName name="solver_itr" localSheetId="20" hidden="1">2147483647</definedName>
    <definedName name="solver_itr" localSheetId="25" hidden="1">2147483647</definedName>
    <definedName name="solver_itr" localSheetId="27" hidden="1">2147483647</definedName>
    <definedName name="solver_itr" localSheetId="40" hidden="1">2147483647</definedName>
    <definedName name="solver_itr" localSheetId="45" hidden="1">2147483647</definedName>
    <definedName name="solver_itr" localSheetId="46" hidden="1">2147483647</definedName>
    <definedName name="solver_lhs1" localSheetId="60" hidden="1">'14-Maximizing IR'!$B$43</definedName>
    <definedName name="solver_lhs1" localSheetId="59" hidden="1">'14-Maximizing IR1'!$H$14</definedName>
    <definedName name="solver_lhs1" localSheetId="9" hidden="1">'7-Var'!$B$64</definedName>
    <definedName name="solver_lhs1" localSheetId="21" hidden="1">'8-active portfolio'!$B$16</definedName>
    <definedName name="solver_lhs1" localSheetId="20" hidden="1">'8-Efficient Frontier'!$E$27:$E$36</definedName>
    <definedName name="solver_lhs1" localSheetId="45" hidden="1">'IR-2'!$C$40</definedName>
    <definedName name="solver_lhs1" localSheetId="46" hidden="1">'IR-3'!$C$39</definedName>
    <definedName name="solver_lhs2" localSheetId="60" hidden="1">'14-Maximizing IR'!$C$41</definedName>
    <definedName name="solver_lhs2" localSheetId="9" hidden="1">'7-Var'!$B$65</definedName>
    <definedName name="solver_lhs2" localSheetId="45" hidden="1">'IR-2'!$I$27</definedName>
    <definedName name="solver_lhs2" localSheetId="46" hidden="1">'IR-3'!$H$27</definedName>
    <definedName name="solver_lhs3" localSheetId="60" hidden="1">'14-Maximizing IR'!$I$25</definedName>
    <definedName name="solver_lhs3" localSheetId="9" hidden="1">'7-Var'!$C$64</definedName>
    <definedName name="solver_lhs3" localSheetId="45" hidden="1">'IR-2'!$M$22</definedName>
    <definedName name="solver_lhs3" localSheetId="46" hidden="1">'IR-3'!$H$27</definedName>
    <definedName name="solver_lhs4" localSheetId="9" hidden="1">'7-Var'!$C$65</definedName>
    <definedName name="solver_lhs4" localSheetId="46" hidden="1">'IR-3'!$H$27</definedName>
    <definedName name="solver_lhs5" localSheetId="46" hidden="1">'IR-3'!$H$27</definedName>
    <definedName name="solver_mip" localSheetId="31" hidden="1">2147483647</definedName>
    <definedName name="solver_mip" localSheetId="28" hidden="1">2147483647</definedName>
    <definedName name="solver_mip" localSheetId="32" hidden="1">2147483647</definedName>
    <definedName name="solver_mip" localSheetId="44" hidden="1">2147483647</definedName>
    <definedName name="solver_mip" localSheetId="60" hidden="1">2147483647</definedName>
    <definedName name="solver_mip" localSheetId="59" hidden="1">2147483647</definedName>
    <definedName name="solver_mip" localSheetId="53" hidden="1">2147483647</definedName>
    <definedName name="solver_mip" localSheetId="54" hidden="1">2147483647</definedName>
    <definedName name="solver_mip" localSheetId="62" hidden="1">2147483647</definedName>
    <definedName name="solver_mip" localSheetId="9" hidden="1">2147483647</definedName>
    <definedName name="solver_mip" localSheetId="21" hidden="1">2147483647</definedName>
    <definedName name="solver_mip" localSheetId="22" hidden="1">2147483647</definedName>
    <definedName name="solver_mip" localSheetId="20" hidden="1">2147483647</definedName>
    <definedName name="solver_mip" localSheetId="25" hidden="1">2147483647</definedName>
    <definedName name="solver_mip" localSheetId="27" hidden="1">2147483647</definedName>
    <definedName name="solver_mip" localSheetId="40" hidden="1">2147483647</definedName>
    <definedName name="solver_mip" localSheetId="45" hidden="1">2147483647</definedName>
    <definedName name="solver_mip" localSheetId="46" hidden="1">2147483647</definedName>
    <definedName name="solver_mni" localSheetId="31" hidden="1">30</definedName>
    <definedName name="solver_mni" localSheetId="28" hidden="1">30</definedName>
    <definedName name="solver_mni" localSheetId="32" hidden="1">30</definedName>
    <definedName name="solver_mni" localSheetId="44" hidden="1">30</definedName>
    <definedName name="solver_mni" localSheetId="60" hidden="1">30</definedName>
    <definedName name="solver_mni" localSheetId="59" hidden="1">30</definedName>
    <definedName name="solver_mni" localSheetId="53" hidden="1">30</definedName>
    <definedName name="solver_mni" localSheetId="54" hidden="1">30</definedName>
    <definedName name="solver_mni" localSheetId="62" hidden="1">30</definedName>
    <definedName name="solver_mni" localSheetId="9" hidden="1">30</definedName>
    <definedName name="solver_mni" localSheetId="21" hidden="1">30</definedName>
    <definedName name="solver_mni" localSheetId="22" hidden="1">30</definedName>
    <definedName name="solver_mni" localSheetId="20" hidden="1">30</definedName>
    <definedName name="solver_mni" localSheetId="25" hidden="1">30</definedName>
    <definedName name="solver_mni" localSheetId="27" hidden="1">30</definedName>
    <definedName name="solver_mni" localSheetId="40" hidden="1">30</definedName>
    <definedName name="solver_mni" localSheetId="45" hidden="1">30</definedName>
    <definedName name="solver_mni" localSheetId="46" hidden="1">30</definedName>
    <definedName name="solver_mrt" localSheetId="31" hidden="1">0.075</definedName>
    <definedName name="solver_mrt" localSheetId="28" hidden="1">0.075</definedName>
    <definedName name="solver_mrt" localSheetId="32" hidden="1">0.075</definedName>
    <definedName name="solver_mrt" localSheetId="44" hidden="1">0.075</definedName>
    <definedName name="solver_mrt" localSheetId="60" hidden="1">0.075</definedName>
    <definedName name="solver_mrt" localSheetId="59" hidden="1">0.075</definedName>
    <definedName name="solver_mrt" localSheetId="53" hidden="1">0.075</definedName>
    <definedName name="solver_mrt" localSheetId="54" hidden="1">0.075</definedName>
    <definedName name="solver_mrt" localSheetId="62" hidden="1">0.075</definedName>
    <definedName name="solver_mrt" localSheetId="9" hidden="1">0.075</definedName>
    <definedName name="solver_mrt" localSheetId="21" hidden="1">0.075</definedName>
    <definedName name="solver_mrt" localSheetId="22" hidden="1">0.075</definedName>
    <definedName name="solver_mrt" localSheetId="20" hidden="1">0.075</definedName>
    <definedName name="solver_mrt" localSheetId="25" hidden="1">0.075</definedName>
    <definedName name="solver_mrt" localSheetId="27" hidden="1">0.075</definedName>
    <definedName name="solver_mrt" localSheetId="40" hidden="1">0.075</definedName>
    <definedName name="solver_mrt" localSheetId="45" hidden="1">0.075</definedName>
    <definedName name="solver_mrt" localSheetId="46" hidden="1">0.075</definedName>
    <definedName name="solver_msl" localSheetId="31" hidden="1">2</definedName>
    <definedName name="solver_msl" localSheetId="28" hidden="1">2</definedName>
    <definedName name="solver_msl" localSheetId="32" hidden="1">2</definedName>
    <definedName name="solver_msl" localSheetId="44" hidden="1">2</definedName>
    <definedName name="solver_msl" localSheetId="60" hidden="1">2</definedName>
    <definedName name="solver_msl" localSheetId="59" hidden="1">2</definedName>
    <definedName name="solver_msl" localSheetId="53" hidden="1">2</definedName>
    <definedName name="solver_msl" localSheetId="54" hidden="1">2</definedName>
    <definedName name="solver_msl" localSheetId="62" hidden="1">2</definedName>
    <definedName name="solver_msl" localSheetId="9" hidden="1">2</definedName>
    <definedName name="solver_msl" localSheetId="21" hidden="1">2</definedName>
    <definedName name="solver_msl" localSheetId="22" hidden="1">2</definedName>
    <definedName name="solver_msl" localSheetId="20" hidden="1">2</definedName>
    <definedName name="solver_msl" localSheetId="25" hidden="1">2</definedName>
    <definedName name="solver_msl" localSheetId="27" hidden="1">2</definedName>
    <definedName name="solver_msl" localSheetId="40" hidden="1">2</definedName>
    <definedName name="solver_msl" localSheetId="45" hidden="1">2</definedName>
    <definedName name="solver_msl" localSheetId="46" hidden="1">2</definedName>
    <definedName name="solver_neg" localSheetId="31" hidden="1">2</definedName>
    <definedName name="solver_neg" localSheetId="28" hidden="1">2</definedName>
    <definedName name="solver_neg" localSheetId="32" hidden="1">2</definedName>
    <definedName name="solver_neg" localSheetId="44" hidden="1">2</definedName>
    <definedName name="solver_neg" localSheetId="60" hidden="1">2</definedName>
    <definedName name="solver_neg" localSheetId="59" hidden="1">2</definedName>
    <definedName name="solver_neg" localSheetId="53" hidden="1">2</definedName>
    <definedName name="solver_neg" localSheetId="54" hidden="1">2</definedName>
    <definedName name="solver_neg" localSheetId="62" hidden="1">1</definedName>
    <definedName name="solver_neg" localSheetId="9" hidden="1">2</definedName>
    <definedName name="solver_neg" localSheetId="21" hidden="1">2</definedName>
    <definedName name="solver_neg" localSheetId="22" hidden="1">2</definedName>
    <definedName name="solver_neg" localSheetId="20" hidden="1">2</definedName>
    <definedName name="solver_neg" localSheetId="25" hidden="1">2</definedName>
    <definedName name="solver_neg" localSheetId="27" hidden="1">2</definedName>
    <definedName name="solver_neg" localSheetId="40" hidden="1">2</definedName>
    <definedName name="solver_neg" localSheetId="45" hidden="1">2</definedName>
    <definedName name="solver_neg" localSheetId="46" hidden="1">2</definedName>
    <definedName name="solver_neg" localSheetId="48" hidden="1">1</definedName>
    <definedName name="solver_nod" localSheetId="31" hidden="1">2147483647</definedName>
    <definedName name="solver_nod" localSheetId="28" hidden="1">2147483647</definedName>
    <definedName name="solver_nod" localSheetId="32" hidden="1">2147483647</definedName>
    <definedName name="solver_nod" localSheetId="44" hidden="1">2147483647</definedName>
    <definedName name="solver_nod" localSheetId="60" hidden="1">2147483647</definedName>
    <definedName name="solver_nod" localSheetId="59" hidden="1">2147483647</definedName>
    <definedName name="solver_nod" localSheetId="53" hidden="1">2147483647</definedName>
    <definedName name="solver_nod" localSheetId="54" hidden="1">2147483647</definedName>
    <definedName name="solver_nod" localSheetId="62" hidden="1">2147483647</definedName>
    <definedName name="solver_nod" localSheetId="9" hidden="1">2147483647</definedName>
    <definedName name="solver_nod" localSheetId="21" hidden="1">2147483647</definedName>
    <definedName name="solver_nod" localSheetId="22" hidden="1">2147483647</definedName>
    <definedName name="solver_nod" localSheetId="20" hidden="1">2147483647</definedName>
    <definedName name="solver_nod" localSheetId="25" hidden="1">2147483647</definedName>
    <definedName name="solver_nod" localSheetId="27" hidden="1">2147483647</definedName>
    <definedName name="solver_nod" localSheetId="40" hidden="1">2147483647</definedName>
    <definedName name="solver_nod" localSheetId="45" hidden="1">2147483647</definedName>
    <definedName name="solver_nod" localSheetId="46" hidden="1">2147483647</definedName>
    <definedName name="solver_num" localSheetId="31" hidden="1">0</definedName>
    <definedName name="solver_num" localSheetId="28" hidden="1">0</definedName>
    <definedName name="solver_num" localSheetId="32" hidden="1">0</definedName>
    <definedName name="solver_num" localSheetId="44" hidden="1">0</definedName>
    <definedName name="solver_num" localSheetId="60" hidden="1">2</definedName>
    <definedName name="solver_num" localSheetId="59" hidden="1">1</definedName>
    <definedName name="solver_num" localSheetId="53" hidden="1">0</definedName>
    <definedName name="solver_num" localSheetId="54" hidden="1">0</definedName>
    <definedName name="solver_num" localSheetId="62" hidden="1">0</definedName>
    <definedName name="solver_num" localSheetId="9" hidden="1">4</definedName>
    <definedName name="solver_num" localSheetId="21" hidden="1">0</definedName>
    <definedName name="solver_num" localSheetId="22" hidden="1">0</definedName>
    <definedName name="solver_num" localSheetId="20" hidden="1">1</definedName>
    <definedName name="solver_num" localSheetId="25" hidden="1">0</definedName>
    <definedName name="solver_num" localSheetId="27" hidden="1">0</definedName>
    <definedName name="solver_num" localSheetId="40" hidden="1">0</definedName>
    <definedName name="solver_num" localSheetId="45" hidden="1">3</definedName>
    <definedName name="solver_num" localSheetId="46" hidden="1">2</definedName>
    <definedName name="solver_num" localSheetId="48" hidden="1">0</definedName>
    <definedName name="solver_nwt" localSheetId="31" hidden="1">1</definedName>
    <definedName name="solver_nwt" localSheetId="28" hidden="1">1</definedName>
    <definedName name="solver_nwt" localSheetId="32" hidden="1">1</definedName>
    <definedName name="solver_nwt" localSheetId="44" hidden="1">1</definedName>
    <definedName name="solver_nwt" localSheetId="60" hidden="1">1</definedName>
    <definedName name="solver_nwt" localSheetId="59" hidden="1">1</definedName>
    <definedName name="solver_nwt" localSheetId="53" hidden="1">1</definedName>
    <definedName name="solver_nwt" localSheetId="54" hidden="1">1</definedName>
    <definedName name="solver_nwt" localSheetId="62" hidden="1">1</definedName>
    <definedName name="solver_nwt" localSheetId="9" hidden="1">1</definedName>
    <definedName name="solver_nwt" localSheetId="21" hidden="1">1</definedName>
    <definedName name="solver_nwt" localSheetId="22" hidden="1">1</definedName>
    <definedName name="solver_nwt" localSheetId="20" hidden="1">1</definedName>
    <definedName name="solver_nwt" localSheetId="25" hidden="1">1</definedName>
    <definedName name="solver_nwt" localSheetId="27" hidden="1">1</definedName>
    <definedName name="solver_nwt" localSheetId="40" hidden="1">1</definedName>
    <definedName name="solver_nwt" localSheetId="45" hidden="1">1</definedName>
    <definedName name="solver_nwt" localSheetId="46" hidden="1">1</definedName>
    <definedName name="solver_opt" localSheetId="31" hidden="1">'10-Estimating Alpha'!$M$15</definedName>
    <definedName name="solver_opt" localSheetId="28" hidden="1">'10-Out of Sample'!$J$13</definedName>
    <definedName name="solver_opt" localSheetId="32" hidden="1">'10-Tweights5'!$J$21</definedName>
    <definedName name="solver_opt" localSheetId="44" hidden="1">'14-IR1'!$H$9</definedName>
    <definedName name="solver_opt" localSheetId="60" hidden="1">'14-Maximizing IR'!$B$45</definedName>
    <definedName name="solver_opt" localSheetId="59" hidden="1">'14-Maximizing IR1'!$J$14</definedName>
    <definedName name="solver_opt" localSheetId="53" hidden="1">'15-Consensus Model'!$K$27</definedName>
    <definedName name="solver_opt" localSheetId="54" hidden="1">'15-Thesis Model'!$K$27</definedName>
    <definedName name="solver_opt" localSheetId="62" hidden="1">'16-Debt Value'!$C$9</definedName>
    <definedName name="solver_opt" localSheetId="9" hidden="1">'7-Var'!$A$66</definedName>
    <definedName name="solver_opt" localSheetId="21" hidden="1">'8-active portfolio'!$B$17</definedName>
    <definedName name="solver_opt" localSheetId="22" hidden="1">'8-alpha'!$N$46</definedName>
    <definedName name="solver_opt" localSheetId="20" hidden="1">'8-Efficient Frontier'!$F$38</definedName>
    <definedName name="solver_opt" localSheetId="25" hidden="1">'8-Var2'!$B$25</definedName>
    <definedName name="solver_opt" localSheetId="27" hidden="1">'9-max corr'!$F$27</definedName>
    <definedName name="solver_opt" localSheetId="40" hidden="1">FI_Convexity!$H$40</definedName>
    <definedName name="solver_opt" localSheetId="45" hidden="1">'IR-2'!$H$27</definedName>
    <definedName name="solver_opt" localSheetId="46" hidden="1">'IR-3'!$G$27</definedName>
    <definedName name="solver_opt" localSheetId="48" hidden="1">'PA-2'!$F$3</definedName>
    <definedName name="solver_pre" localSheetId="31" hidden="1">0.000001</definedName>
    <definedName name="solver_pre" localSheetId="28" hidden="1">0.000001</definedName>
    <definedName name="solver_pre" localSheetId="32" hidden="1">0.000001</definedName>
    <definedName name="solver_pre" localSheetId="44" hidden="1">0.000001</definedName>
    <definedName name="solver_pre" localSheetId="60" hidden="1">0.000001</definedName>
    <definedName name="solver_pre" localSheetId="59" hidden="1">0.000001</definedName>
    <definedName name="solver_pre" localSheetId="53" hidden="1">0.000001</definedName>
    <definedName name="solver_pre" localSheetId="54" hidden="1">0.000001</definedName>
    <definedName name="solver_pre" localSheetId="62" hidden="1">0.000001</definedName>
    <definedName name="solver_pre" localSheetId="9" hidden="1">0.000001</definedName>
    <definedName name="solver_pre" localSheetId="21" hidden="1">0.000001</definedName>
    <definedName name="solver_pre" localSheetId="22" hidden="1">0.000001</definedName>
    <definedName name="solver_pre" localSheetId="20" hidden="1">0.000001</definedName>
    <definedName name="solver_pre" localSheetId="25" hidden="1">0.000001</definedName>
    <definedName name="solver_pre" localSheetId="27" hidden="1">0.000001</definedName>
    <definedName name="solver_pre" localSheetId="40" hidden="1">0.000001</definedName>
    <definedName name="solver_pre" localSheetId="45" hidden="1">0.000000001</definedName>
    <definedName name="solver_pre" localSheetId="46" hidden="1">0.000001</definedName>
    <definedName name="solver_rbv" localSheetId="31" hidden="1">1</definedName>
    <definedName name="solver_rbv" localSheetId="28" hidden="1">1</definedName>
    <definedName name="solver_rbv" localSheetId="32" hidden="1">1</definedName>
    <definedName name="solver_rbv" localSheetId="44" hidden="1">1</definedName>
    <definedName name="solver_rbv" localSheetId="60" hidden="1">2</definedName>
    <definedName name="solver_rbv" localSheetId="59" hidden="1">2</definedName>
    <definedName name="solver_rbv" localSheetId="53" hidden="1">1</definedName>
    <definedName name="solver_rbv" localSheetId="54" hidden="1">1</definedName>
    <definedName name="solver_rbv" localSheetId="62" hidden="1">1</definedName>
    <definedName name="solver_rbv" localSheetId="9" hidden="1">1</definedName>
    <definedName name="solver_rbv" localSheetId="21" hidden="1">1</definedName>
    <definedName name="solver_rbv" localSheetId="22" hidden="1">1</definedName>
    <definedName name="solver_rbv" localSheetId="20" hidden="1">1</definedName>
    <definedName name="solver_rbv" localSheetId="25" hidden="1">1</definedName>
    <definedName name="solver_rbv" localSheetId="27" hidden="1">1</definedName>
    <definedName name="solver_rbv" localSheetId="40" hidden="1">1</definedName>
    <definedName name="solver_rbv" localSheetId="45" hidden="1">2</definedName>
    <definedName name="solver_rbv" localSheetId="46" hidden="1">2</definedName>
    <definedName name="solver_rel1" localSheetId="60" hidden="1">2</definedName>
    <definedName name="solver_rel1" localSheetId="59" hidden="1">2</definedName>
    <definedName name="solver_rel1" localSheetId="9" hidden="1">2</definedName>
    <definedName name="solver_rel1" localSheetId="21" hidden="1">2</definedName>
    <definedName name="solver_rel1" localSheetId="20" hidden="1">2</definedName>
    <definedName name="solver_rel1" localSheetId="45" hidden="1">2</definedName>
    <definedName name="solver_rel1" localSheetId="46" hidden="1">2</definedName>
    <definedName name="solver_rel2" localSheetId="60" hidden="1">2</definedName>
    <definedName name="solver_rel2" localSheetId="9" hidden="1">2</definedName>
    <definedName name="solver_rel2" localSheetId="45" hidden="1">2</definedName>
    <definedName name="solver_rel2" localSheetId="46" hidden="1">2</definedName>
    <definedName name="solver_rel3" localSheetId="60" hidden="1">2</definedName>
    <definedName name="solver_rel3" localSheetId="9" hidden="1">2</definedName>
    <definedName name="solver_rel3" localSheetId="45" hidden="1">2</definedName>
    <definedName name="solver_rel3" localSheetId="46" hidden="1">2</definedName>
    <definedName name="solver_rel4" localSheetId="9" hidden="1">2</definedName>
    <definedName name="solver_rel4" localSheetId="46" hidden="1">2</definedName>
    <definedName name="solver_rel5" localSheetId="46" hidden="1">2</definedName>
    <definedName name="solver_rhs1" localSheetId="60" hidden="1">0.05</definedName>
    <definedName name="solver_rhs1" localSheetId="59" hidden="1">0.05</definedName>
    <definedName name="solver_rhs1" localSheetId="9" hidden="1">0</definedName>
    <definedName name="solver_rhs1" localSheetId="21" hidden="1">0.2</definedName>
    <definedName name="solver_rhs1" localSheetId="20" hidden="1">'8-Efficient Frontier'!$G$27:$G$36</definedName>
    <definedName name="solver_rhs1" localSheetId="45" hidden="1">0</definedName>
    <definedName name="solver_rhs1" localSheetId="46" hidden="1">0</definedName>
    <definedName name="solver_rhs2" localSheetId="60" hidden="1">1</definedName>
    <definedName name="solver_rhs2" localSheetId="9" hidden="1">1</definedName>
    <definedName name="solver_rhs2" localSheetId="45" hidden="1">0.05</definedName>
    <definedName name="solver_rhs2" localSheetId="46" hidden="1">0.05</definedName>
    <definedName name="solver_rhs3" localSheetId="60" hidden="1">0</definedName>
    <definedName name="solver_rhs3" localSheetId="9" hidden="1">0</definedName>
    <definedName name="solver_rhs3" localSheetId="45" hidden="1">0</definedName>
    <definedName name="solver_rhs3" localSheetId="46" hidden="1">0.05</definedName>
    <definedName name="solver_rhs4" localSheetId="9" hidden="1">1</definedName>
    <definedName name="solver_rhs4" localSheetId="46" hidden="1">0.05</definedName>
    <definedName name="solver_rhs5" localSheetId="46" hidden="1">0.05</definedName>
    <definedName name="solver_rlx" localSheetId="31" hidden="1">2</definedName>
    <definedName name="solver_rlx" localSheetId="28" hidden="1">2</definedName>
    <definedName name="solver_rlx" localSheetId="32" hidden="1">2</definedName>
    <definedName name="solver_rlx" localSheetId="44" hidden="1">2</definedName>
    <definedName name="solver_rlx" localSheetId="60" hidden="1">2</definedName>
    <definedName name="solver_rlx" localSheetId="59" hidden="1">2</definedName>
    <definedName name="solver_rlx" localSheetId="53" hidden="1">2</definedName>
    <definedName name="solver_rlx" localSheetId="54" hidden="1">2</definedName>
    <definedName name="solver_rlx" localSheetId="62" hidden="1">2</definedName>
    <definedName name="solver_rlx" localSheetId="9" hidden="1">2</definedName>
    <definedName name="solver_rlx" localSheetId="21" hidden="1">2</definedName>
    <definedName name="solver_rlx" localSheetId="22" hidden="1">2</definedName>
    <definedName name="solver_rlx" localSheetId="20" hidden="1">2</definedName>
    <definedName name="solver_rlx" localSheetId="25" hidden="1">2</definedName>
    <definedName name="solver_rlx" localSheetId="27" hidden="1">2</definedName>
    <definedName name="solver_rlx" localSheetId="40" hidden="1">2</definedName>
    <definedName name="solver_rlx" localSheetId="45" hidden="1">2</definedName>
    <definedName name="solver_rlx" localSheetId="46" hidden="1">2</definedName>
    <definedName name="solver_rsd" localSheetId="31" hidden="1">0</definedName>
    <definedName name="solver_rsd" localSheetId="28" hidden="1">0</definedName>
    <definedName name="solver_rsd" localSheetId="32" hidden="1">0</definedName>
    <definedName name="solver_rsd" localSheetId="44" hidden="1">0</definedName>
    <definedName name="solver_rsd" localSheetId="60" hidden="1">0</definedName>
    <definedName name="solver_rsd" localSheetId="59" hidden="1">0</definedName>
    <definedName name="solver_rsd" localSheetId="53" hidden="1">0</definedName>
    <definedName name="solver_rsd" localSheetId="54" hidden="1">0</definedName>
    <definedName name="solver_rsd" localSheetId="62" hidden="1">0</definedName>
    <definedName name="solver_rsd" localSheetId="9" hidden="1">0</definedName>
    <definedName name="solver_rsd" localSheetId="21" hidden="1">0</definedName>
    <definedName name="solver_rsd" localSheetId="22" hidden="1">0</definedName>
    <definedName name="solver_rsd" localSheetId="20" hidden="1">0</definedName>
    <definedName name="solver_rsd" localSheetId="25" hidden="1">0</definedName>
    <definedName name="solver_rsd" localSheetId="27" hidden="1">0</definedName>
    <definedName name="solver_rsd" localSheetId="40" hidden="1">0</definedName>
    <definedName name="solver_rsd" localSheetId="45" hidden="1">0</definedName>
    <definedName name="solver_rsd" localSheetId="46" hidden="1">0</definedName>
    <definedName name="solver_scl" localSheetId="31" hidden="1">1</definedName>
    <definedName name="solver_scl" localSheetId="28" hidden="1">1</definedName>
    <definedName name="solver_scl" localSheetId="32" hidden="1">1</definedName>
    <definedName name="solver_scl" localSheetId="44" hidden="1">1</definedName>
    <definedName name="solver_scl" localSheetId="60" hidden="1">2</definedName>
    <definedName name="solver_scl" localSheetId="59" hidden="1">2</definedName>
    <definedName name="solver_scl" localSheetId="53" hidden="1">1</definedName>
    <definedName name="solver_scl" localSheetId="54" hidden="1">1</definedName>
    <definedName name="solver_scl" localSheetId="62" hidden="1">1</definedName>
    <definedName name="solver_scl" localSheetId="9" hidden="1">1</definedName>
    <definedName name="solver_scl" localSheetId="21" hidden="1">1</definedName>
    <definedName name="solver_scl" localSheetId="22" hidden="1">1</definedName>
    <definedName name="solver_scl" localSheetId="20" hidden="1">1</definedName>
    <definedName name="solver_scl" localSheetId="25" hidden="1">1</definedName>
    <definedName name="solver_scl" localSheetId="27" hidden="1">1</definedName>
    <definedName name="solver_scl" localSheetId="40" hidden="1">1</definedName>
    <definedName name="solver_scl" localSheetId="45" hidden="1">2</definedName>
    <definedName name="solver_scl" localSheetId="46" hidden="1">2</definedName>
    <definedName name="solver_sho" localSheetId="31" hidden="1">2</definedName>
    <definedName name="solver_sho" localSheetId="28" hidden="1">2</definedName>
    <definedName name="solver_sho" localSheetId="32" hidden="1">2</definedName>
    <definedName name="solver_sho" localSheetId="44" hidden="1">2</definedName>
    <definedName name="solver_sho" localSheetId="60" hidden="1">2</definedName>
    <definedName name="solver_sho" localSheetId="59" hidden="1">2</definedName>
    <definedName name="solver_sho" localSheetId="53" hidden="1">2</definedName>
    <definedName name="solver_sho" localSheetId="54" hidden="1">2</definedName>
    <definedName name="solver_sho" localSheetId="62" hidden="1">2</definedName>
    <definedName name="solver_sho" localSheetId="9" hidden="1">2</definedName>
    <definedName name="solver_sho" localSheetId="21" hidden="1">2</definedName>
    <definedName name="solver_sho" localSheetId="22" hidden="1">2</definedName>
    <definedName name="solver_sho" localSheetId="20" hidden="1">2</definedName>
    <definedName name="solver_sho" localSheetId="25" hidden="1">2</definedName>
    <definedName name="solver_sho" localSheetId="27" hidden="1">2</definedName>
    <definedName name="solver_sho" localSheetId="40" hidden="1">2</definedName>
    <definedName name="solver_sho" localSheetId="45" hidden="1">2</definedName>
    <definedName name="solver_sho" localSheetId="46" hidden="1">2</definedName>
    <definedName name="solver_ssz" localSheetId="31" hidden="1">100</definedName>
    <definedName name="solver_ssz" localSheetId="28" hidden="1">100</definedName>
    <definedName name="solver_ssz" localSheetId="32" hidden="1">100</definedName>
    <definedName name="solver_ssz" localSheetId="44" hidden="1">100</definedName>
    <definedName name="solver_ssz" localSheetId="60" hidden="1">100</definedName>
    <definedName name="solver_ssz" localSheetId="59" hidden="1">100</definedName>
    <definedName name="solver_ssz" localSheetId="53" hidden="1">100</definedName>
    <definedName name="solver_ssz" localSheetId="54" hidden="1">100</definedName>
    <definedName name="solver_ssz" localSheetId="62" hidden="1">100</definedName>
    <definedName name="solver_ssz" localSheetId="9" hidden="1">100</definedName>
    <definedName name="solver_ssz" localSheetId="21" hidden="1">100</definedName>
    <definedName name="solver_ssz" localSheetId="22" hidden="1">100</definedName>
    <definedName name="solver_ssz" localSheetId="20" hidden="1">100</definedName>
    <definedName name="solver_ssz" localSheetId="25" hidden="1">100</definedName>
    <definedName name="solver_ssz" localSheetId="27" hidden="1">100</definedName>
    <definedName name="solver_ssz" localSheetId="40" hidden="1">100</definedName>
    <definedName name="solver_ssz" localSheetId="45" hidden="1">100</definedName>
    <definedName name="solver_ssz" localSheetId="46" hidden="1">100</definedName>
    <definedName name="solver_tim" localSheetId="31" hidden="1">2147483647</definedName>
    <definedName name="solver_tim" localSheetId="28" hidden="1">2147483647</definedName>
    <definedName name="solver_tim" localSheetId="32" hidden="1">2147483647</definedName>
    <definedName name="solver_tim" localSheetId="44" hidden="1">2147483647</definedName>
    <definedName name="solver_tim" localSheetId="60" hidden="1">2147483647</definedName>
    <definedName name="solver_tim" localSheetId="59" hidden="1">2147483647</definedName>
    <definedName name="solver_tim" localSheetId="53" hidden="1">2147483647</definedName>
    <definedName name="solver_tim" localSheetId="54" hidden="1">2147483647</definedName>
    <definedName name="solver_tim" localSheetId="62" hidden="1">2147483647</definedName>
    <definedName name="solver_tim" localSheetId="9" hidden="1">2147483647</definedName>
    <definedName name="solver_tim" localSheetId="21" hidden="1">2147483647</definedName>
    <definedName name="solver_tim" localSheetId="22" hidden="1">2147483647</definedName>
    <definedName name="solver_tim" localSheetId="20" hidden="1">2147483647</definedName>
    <definedName name="solver_tim" localSheetId="25" hidden="1">2147483647</definedName>
    <definedName name="solver_tim" localSheetId="27" hidden="1">2147483647</definedName>
    <definedName name="solver_tim" localSheetId="40" hidden="1">2147483647</definedName>
    <definedName name="solver_tim" localSheetId="45" hidden="1">2147483647</definedName>
    <definedName name="solver_tim" localSheetId="46" hidden="1">2147483647</definedName>
    <definedName name="solver_tol" localSheetId="31" hidden="1">0.01</definedName>
    <definedName name="solver_tol" localSheetId="28" hidden="1">0.01</definedName>
    <definedName name="solver_tol" localSheetId="32" hidden="1">0.01</definedName>
    <definedName name="solver_tol" localSheetId="44" hidden="1">0.01</definedName>
    <definedName name="solver_tol" localSheetId="60" hidden="1">0.01</definedName>
    <definedName name="solver_tol" localSheetId="59" hidden="1">0.01</definedName>
    <definedName name="solver_tol" localSheetId="53" hidden="1">0.01</definedName>
    <definedName name="solver_tol" localSheetId="54" hidden="1">0.01</definedName>
    <definedName name="solver_tol" localSheetId="62" hidden="1">0.01</definedName>
    <definedName name="solver_tol" localSheetId="9" hidden="1">0.01</definedName>
    <definedName name="solver_tol" localSheetId="21" hidden="1">0.01</definedName>
    <definedName name="solver_tol" localSheetId="22" hidden="1">0.01</definedName>
    <definedName name="solver_tol" localSheetId="20" hidden="1">0.01</definedName>
    <definedName name="solver_tol" localSheetId="25" hidden="1">0.01</definedName>
    <definedName name="solver_tol" localSheetId="27" hidden="1">0.01</definedName>
    <definedName name="solver_tol" localSheetId="40" hidden="1">0.01</definedName>
    <definedName name="solver_tol" localSheetId="45" hidden="1">0.01</definedName>
    <definedName name="solver_tol" localSheetId="46" hidden="1">0.01</definedName>
    <definedName name="solver_typ" localSheetId="31" hidden="1">1</definedName>
    <definedName name="solver_typ" localSheetId="28" hidden="1">1</definedName>
    <definedName name="solver_typ" localSheetId="32" hidden="1">1</definedName>
    <definedName name="solver_typ" localSheetId="44" hidden="1">3</definedName>
    <definedName name="solver_typ" localSheetId="60" hidden="1">1</definedName>
    <definedName name="solver_typ" localSheetId="59" hidden="1">1</definedName>
    <definedName name="solver_typ" localSheetId="53" hidden="1">3</definedName>
    <definedName name="solver_typ" localSheetId="54" hidden="1">3</definedName>
    <definedName name="solver_typ" localSheetId="62" hidden="1">3</definedName>
    <definedName name="solver_typ" localSheetId="9" hidden="1">3</definedName>
    <definedName name="solver_typ" localSheetId="21" hidden="1">1</definedName>
    <definedName name="solver_typ" localSheetId="22" hidden="1">1</definedName>
    <definedName name="solver_typ" localSheetId="20" hidden="1">2</definedName>
    <definedName name="solver_typ" localSheetId="25" hidden="1">1</definedName>
    <definedName name="solver_typ" localSheetId="27" hidden="1">1</definedName>
    <definedName name="solver_typ" localSheetId="40" hidden="1">3</definedName>
    <definedName name="solver_typ" localSheetId="45" hidden="1">1</definedName>
    <definedName name="solver_typ" localSheetId="46" hidden="1">1</definedName>
    <definedName name="solver_typ" localSheetId="48" hidden="1">1</definedName>
    <definedName name="solver_val" localSheetId="31" hidden="1">0</definedName>
    <definedName name="solver_val" localSheetId="28" hidden="1">0</definedName>
    <definedName name="solver_val" localSheetId="32" hidden="1">0</definedName>
    <definedName name="solver_val" localSheetId="44" hidden="1">1</definedName>
    <definedName name="solver_val" localSheetId="60" hidden="1">0</definedName>
    <definedName name="solver_val" localSheetId="59" hidden="1">0</definedName>
    <definedName name="solver_val" localSheetId="53" hidden="1">12.15</definedName>
    <definedName name="solver_val" localSheetId="54" hidden="1">12.15</definedName>
    <definedName name="solver_val" localSheetId="62" hidden="1">30</definedName>
    <definedName name="solver_val" localSheetId="9" hidden="1">0</definedName>
    <definedName name="solver_val" localSheetId="21" hidden="1">0</definedName>
    <definedName name="solver_val" localSheetId="22" hidden="1">0</definedName>
    <definedName name="solver_val" localSheetId="20" hidden="1">-0.1</definedName>
    <definedName name="solver_val" localSheetId="25" hidden="1">0</definedName>
    <definedName name="solver_val" localSheetId="27" hidden="1">0</definedName>
    <definedName name="solver_val" localSheetId="40" hidden="1">0</definedName>
    <definedName name="solver_val" localSheetId="45" hidden="1">0</definedName>
    <definedName name="solver_val" localSheetId="46" hidden="1">0</definedName>
    <definedName name="solver_val" localSheetId="48" hidden="1">0</definedName>
    <definedName name="solver_ver" localSheetId="31" hidden="1">3</definedName>
    <definedName name="solver_ver" localSheetId="28" hidden="1">3</definedName>
    <definedName name="solver_ver" localSheetId="32" hidden="1">3</definedName>
    <definedName name="solver_ver" localSheetId="44" hidden="1">3</definedName>
    <definedName name="solver_ver" localSheetId="60" hidden="1">3</definedName>
    <definedName name="solver_ver" localSheetId="59" hidden="1">3</definedName>
    <definedName name="solver_ver" localSheetId="53" hidden="1">3</definedName>
    <definedName name="solver_ver" localSheetId="54" hidden="1">3</definedName>
    <definedName name="solver_ver" localSheetId="62" hidden="1">3</definedName>
    <definedName name="solver_ver" localSheetId="9" hidden="1">3</definedName>
    <definedName name="solver_ver" localSheetId="21" hidden="1">3</definedName>
    <definedName name="solver_ver" localSheetId="22" hidden="1">3</definedName>
    <definedName name="solver_ver" localSheetId="20" hidden="1">3</definedName>
    <definedName name="solver_ver" localSheetId="25" hidden="1">3</definedName>
    <definedName name="solver_ver" localSheetId="27" hidden="1">3</definedName>
    <definedName name="solver_ver" localSheetId="40" hidden="1">3</definedName>
    <definedName name="solver_ver" localSheetId="45" hidden="1">3</definedName>
    <definedName name="solver_ver" localSheetId="46" hidden="1">3</definedName>
    <definedName name="solver_ver" localSheetId="4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83" l="1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X10" i="86" l="1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AG13" i="86" l="1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AG24" i="86" l="1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C11" i="51"/>
  <c r="C10" i="51"/>
  <c r="C9" i="51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L6" i="70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A4" i="50"/>
  <c r="E4" i="50"/>
  <c r="A5" i="50"/>
  <c r="E5" i="50"/>
  <c r="A6" i="50"/>
  <c r="A7" i="50" s="1"/>
  <c r="A8" i="50" s="1"/>
  <c r="A9" i="50" s="1"/>
  <c r="A10" i="50" s="1"/>
  <c r="A11" i="50" s="1"/>
  <c r="A12" i="50" s="1"/>
  <c r="E6" i="50"/>
  <c r="J6" i="5"/>
  <c r="G14" i="5" s="1"/>
  <c r="L6" i="5"/>
  <c r="G7" i="5"/>
  <c r="G16" i="5" s="1"/>
  <c r="H7" i="5"/>
  <c r="G24" i="5" s="1"/>
  <c r="J7" i="5"/>
  <c r="L7" i="5"/>
  <c r="G8" i="5"/>
  <c r="H8" i="5"/>
  <c r="J8" i="5"/>
  <c r="L8" i="5"/>
  <c r="G9" i="5"/>
  <c r="H9" i="5"/>
  <c r="J9" i="5"/>
  <c r="L9" i="5"/>
  <c r="J10" i="5"/>
  <c r="L10" i="5"/>
  <c r="J11" i="5"/>
  <c r="G13" i="5" s="1"/>
  <c r="L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G19" i="5"/>
  <c r="G25" i="5"/>
  <c r="G26" i="5"/>
  <c r="C8" i="4"/>
  <c r="C9" i="4"/>
  <c r="D9" i="3"/>
  <c r="E6" i="3" s="1"/>
  <c r="G3" i="68"/>
  <c r="H3" i="68"/>
  <c r="G4" i="68"/>
  <c r="H4" i="68" s="1"/>
  <c r="H10" i="68" s="1"/>
  <c r="G5" i="68"/>
  <c r="H5" i="68" s="1"/>
  <c r="G6" i="68"/>
  <c r="H6" i="68"/>
  <c r="C8" i="68"/>
  <c r="D8" i="68"/>
  <c r="E8" i="68"/>
  <c r="G8" i="68"/>
  <c r="C10" i="68"/>
  <c r="D10" i="68"/>
  <c r="E10" i="68"/>
  <c r="D3" i="51"/>
  <c r="D4" i="51"/>
  <c r="D5" i="51"/>
  <c r="D6" i="51"/>
  <c r="D7" i="51"/>
  <c r="F6" i="1"/>
  <c r="G6" i="1"/>
  <c r="H6" i="1" s="1"/>
  <c r="G7" i="1"/>
  <c r="H7" i="1"/>
  <c r="F7" i="1"/>
  <c r="I7" i="1"/>
  <c r="G8" i="1"/>
  <c r="I11" i="1" s="1"/>
  <c r="H8" i="1"/>
  <c r="I8" i="1" s="1"/>
  <c r="F8" i="1"/>
  <c r="C12" i="2"/>
  <c r="C13" i="2"/>
  <c r="C14" i="2"/>
  <c r="C16" i="2"/>
  <c r="D14" i="2" s="1"/>
  <c r="C24" i="2" s="1"/>
  <c r="D24" i="2" s="1"/>
  <c r="C31" i="2" s="1"/>
  <c r="D13" i="2"/>
  <c r="C23" i="2" s="1"/>
  <c r="D23" i="2" s="1"/>
  <c r="C30" i="2" s="1"/>
  <c r="E36" i="2"/>
  <c r="E37" i="2"/>
  <c r="F36" i="2" s="1"/>
  <c r="E38" i="2"/>
  <c r="F24" i="80" l="1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H8" i="68"/>
  <c r="K19" i="63"/>
  <c r="J20" i="63"/>
  <c r="K20" i="63" s="1"/>
  <c r="F6" i="3"/>
  <c r="E18" i="15"/>
  <c r="F18" i="15"/>
  <c r="E7" i="3"/>
  <c r="F7" i="3" s="1"/>
  <c r="G12" i="5"/>
  <c r="E15" i="6"/>
  <c r="H15" i="6" s="1"/>
  <c r="N45" i="17"/>
  <c r="J6" i="53"/>
  <c r="N43" i="17"/>
  <c r="K20" i="18"/>
  <c r="I26" i="36"/>
  <c r="I27" i="36"/>
  <c r="M7" i="36" s="1"/>
  <c r="M18" i="36" s="1"/>
  <c r="M36" i="36" s="1"/>
  <c r="E15" i="40"/>
  <c r="E16" i="40"/>
  <c r="D12" i="2"/>
  <c r="C22" i="2" s="1"/>
  <c r="D22" i="2" s="1"/>
  <c r="C29" i="2" s="1"/>
  <c r="C36" i="2" s="1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8" i="2"/>
  <c r="G10" i="68"/>
  <c r="G21" i="5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E22" i="39"/>
  <c r="E23" i="39" s="1"/>
  <c r="N4" i="39" s="1"/>
  <c r="O6" i="41"/>
  <c r="F37" i="2"/>
  <c r="F40" i="2" s="1"/>
  <c r="F13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H11" i="68"/>
  <c r="N49" i="17"/>
  <c r="N51" i="17" s="1"/>
  <c r="I47" i="17"/>
  <c r="I48" i="17"/>
  <c r="I50" i="17" s="1"/>
  <c r="L8" i="41"/>
  <c r="M8" i="41"/>
  <c r="N8" i="41"/>
  <c r="O8" i="41"/>
  <c r="G20" i="5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5" i="8"/>
  <c r="J5" i="8" s="1"/>
  <c r="J4" i="8"/>
  <c r="T9" i="25"/>
  <c r="I6" i="1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C12" i="5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I10" i="78" l="1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C40" i="2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D11" i="3"/>
  <c r="D12" i="3" s="1"/>
  <c r="B19" i="38"/>
  <c r="B14" i="38"/>
  <c r="C37" i="2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D10" i="3"/>
  <c r="F18" i="66"/>
  <c r="I18" i="66"/>
  <c r="B19" i="66"/>
  <c r="F19" i="66" s="1"/>
  <c r="C38" i="2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I10" i="1"/>
  <c r="J6" i="1" s="1"/>
  <c r="B19" i="47"/>
  <c r="C19" i="47"/>
  <c r="F22" i="47" a="1"/>
  <c r="F22" i="47" s="1"/>
  <c r="N46" i="17"/>
  <c r="O50" i="17"/>
  <c r="K18" i="63"/>
  <c r="K21" i="63" s="1"/>
  <c r="J21" i="63"/>
  <c r="E19" i="56"/>
  <c r="J18" i="66" l="1"/>
  <c r="Q34" i="76"/>
  <c r="Q36" i="76" s="1"/>
  <c r="P7" i="38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J8" i="1"/>
  <c r="J7" i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N12" i="38" l="1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<sst xmlns="http://schemas.openxmlformats.org/spreadsheetml/2006/main" count="1966" uniqueCount="878">
  <si>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</si>
  <si>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</si>
  <si>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</si>
  <si>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</si>
  <si>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</si>
  <si>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</si>
  <si>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</si>
  <si>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</si>
  <si>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</si>
  <si>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</si>
  <si>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</si>
  <si>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</si>
  <si>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</si>
  <si>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</si>
  <si>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</si>
  <si>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</si>
  <si>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</si>
  <si>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</si>
  <si>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</si>
  <si>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</si>
  <si>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</si>
  <si>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</si>
  <si>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</si>
  <si>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</si>
  <si>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</si>
  <si>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</si>
  <si>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</si>
  <si>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</si>
  <si>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</si>
  <si>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</si>
  <si>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</si>
  <si>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</si>
  <si>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</si>
  <si>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</si>
  <si>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</si>
  <si>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</si>
  <si>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</si>
  <si>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</si>
  <si>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</si>
  <si>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</si>
  <si>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</si>
  <si>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</si>
  <si>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</si>
  <si>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</si>
  <si>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</si>
  <si>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</si>
  <si>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</si>
  <si>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</si>
  <si>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</si>
  <si>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</si>
  <si>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</si>
  <si>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</si>
  <si>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</si>
  <si>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</si>
  <si>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</si>
  <si>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</si>
  <si>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</si>
  <si>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</si>
  <si>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</si>
  <si>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</si>
  <si>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</si>
  <si>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</si>
  <si>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</si>
  <si>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</si>
  <si>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</si>
  <si>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</si>
  <si>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</si>
  <si>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</si>
  <si>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</si>
  <si>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</si>
  <si>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</si>
  <si>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</si>
  <si>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</si>
  <si>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</si>
  <si>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</si>
  <si>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</si>
  <si>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</si>
  <si>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</si>
  <si>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</si>
  <si>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</si>
  <si>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</si>
  <si>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</si>
  <si>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</si>
  <si>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</si>
  <si>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</si>
  <si>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</si>
  <si>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</si>
  <si>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</si>
  <si>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</si>
  <si>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</si>
  <si>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</si>
  <si>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</si>
  <si>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</si>
  <si>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</si>
  <si>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</si>
  <si>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</si>
  <si>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</si>
  <si>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</si>
  <si>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</si>
  <si>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</si>
  <si>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</si>
  <si>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</si>
  <si>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</si>
  <si>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</si>
  <si>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</si>
  <si>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</si>
  <si>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</si>
  <si>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</si>
  <si>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</si>
  <si>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</si>
  <si>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</si>
  <si>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</si>
  <si>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</si>
  <si>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</si>
  <si>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</si>
  <si>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</si>
  <si>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</si>
  <si>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</si>
  <si>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</si>
  <si>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</si>
  <si>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</si>
  <si>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</si>
  <si>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</si>
  <si>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</si>
  <si>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</si>
  <si>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</si>
  <si>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</si>
  <si>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</si>
  <si>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</si>
  <si>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</si>
  <si>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</si>
  <si>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</si>
  <si>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</si>
  <si>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</si>
  <si>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</si>
  <si>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</si>
  <si>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</si>
  <si>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</si>
  <si>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</si>
  <si>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</si>
  <si>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</si>
  <si>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</si>
  <si>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</si>
  <si>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</si>
  <si>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</si>
  <si>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</si>
  <si>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</si>
  <si>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</si>
  <si>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</si>
  <si>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</si>
  <si>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</si>
  <si>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</si>
  <si>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</si>
  <si>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</si>
  <si>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</si>
  <si>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</si>
  <si>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</si>
  <si>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</si>
  <si>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</si>
  <si>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</si>
  <si>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</si>
  <si>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</si>
  <si>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</si>
  <si>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</si>
  <si>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</si>
  <si>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</si>
  <si>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</si>
  <si>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</si>
  <si>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</si>
  <si>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</si>
  <si>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</si>
  <si>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</si>
  <si>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</si>
  <si>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</si>
  <si>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</si>
  <si>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</si>
  <si>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</si>
  <si>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</si>
  <si>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</si>
  <si>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</si>
  <si>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</si>
  <si>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</si>
  <si>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</si>
  <si>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</si>
  <si>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</si>
  <si>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</si>
  <si>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</si>
  <si>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</si>
  <si>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</si>
  <si>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</si>
  <si>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</si>
  <si>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</si>
  <si>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</si>
  <si>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</si>
  <si>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</si>
  <si>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</si>
  <si>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</si>
  <si>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</si>
  <si>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</si>
  <si>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</si>
  <si>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</si>
  <si>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</si>
  <si>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</si>
  <si>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</si>
  <si>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</si>
  <si>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</si>
  <si>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</si>
  <si>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</si>
  <si>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</si>
  <si>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</si>
  <si>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</si>
  <si>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</si>
  <si>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</si>
  <si>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</si>
  <si>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</si>
  <si>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</si>
  <si>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</si>
  <si>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</si>
  <si>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</si>
  <si>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</si>
  <si>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</si>
  <si>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</si>
  <si>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</si>
  <si>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</si>
  <si>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</si>
  <si>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</si>
  <si>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</si>
  <si>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</si>
  <si>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</si>
  <si>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</si>
  <si>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</si>
  <si>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</si>
  <si>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</si>
  <si>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</si>
  <si>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</si>
  <si>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</si>
  <si>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</si>
  <si>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</si>
  <si>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</si>
  <si>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</si>
  <si>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</si>
  <si>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</si>
  <si>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</si>
  <si>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</si>
  <si>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</si>
  <si>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</si>
  <si>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</si>
  <si>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</si>
  <si>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</si>
  <si>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</si>
  <si>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</si>
  <si>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</si>
  <si>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</si>
  <si>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</si>
  <si>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</si>
  <si>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</si>
  <si>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</si>
  <si>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</si>
  <si>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</si>
  <si>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</si>
  <si>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</si>
  <si>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</si>
  <si>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</si>
  <si>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</si>
  <si>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</si>
  <si>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</si>
  <si>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</si>
  <si>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</si>
  <si>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</si>
  <si>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</si>
  <si>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</si>
  <si>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</si>
  <si>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</si>
  <si>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</si>
  <si>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</si>
  <si>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</si>
  <si>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</si>
  <si>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</si>
  <si>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</si>
  <si>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</si>
  <si>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</si>
  <si>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</si>
  <si>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</si>
  <si>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</si>
  <si>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</si>
  <si>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</si>
  <si>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</si>
  <si>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</si>
  <si>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</si>
  <si>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</si>
  <si>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</si>
  <si>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</si>
  <si>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</si>
  <si>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</si>
  <si>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</si>
  <si>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</si>
  <si>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</si>
  <si>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</si>
  <si>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</si>
  <si>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</si>
  <si>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</si>
  <si>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</si>
  <si>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</si>
  <si>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</si>
  <si>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</si>
  <si>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</si>
  <si>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</si>
  <si>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</si>
  <si>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</si>
  <si>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</si>
  <si>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</si>
  <si>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</si>
  <si>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</si>
  <si>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</si>
  <si>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</si>
  <si>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</si>
  <si>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</si>
  <si>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</si>
  <si>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</si>
  <si>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</si>
  <si>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</si>
  <si>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</si>
  <si>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</si>
  <si>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</si>
  <si>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</si>
  <si>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</si>
  <si>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</si>
  <si>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</si>
  <si>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</si>
  <si>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</si>
  <si>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</si>
  <si>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</si>
  <si>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</si>
  <si>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</si>
  <si>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</si>
  <si>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</si>
  <si>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</si>
  <si>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</si>
  <si>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</si>
  <si>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</si>
  <si>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</si>
  <si>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</si>
  <si>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</si>
  <si>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</si>
  <si>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</si>
  <si>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</si>
  <si>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</si>
  <si>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</si>
  <si>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</si>
  <si>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</si>
  <si>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</si>
  <si>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</si>
  <si>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</si>
  <si>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</si>
  <si>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</si>
  <si>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</si>
  <si>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</si>
  <si>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</si>
  <si>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</si>
  <si>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</si>
  <si>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</si>
  <si>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</si>
  <si>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</si>
  <si>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</si>
  <si>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</si>
  <si>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</si>
  <si>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</si>
  <si>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</si>
  <si>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</si>
  <si>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</si>
  <si>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</si>
  <si>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</si>
  <si>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</si>
  <si>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</si>
  <si>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</si>
  <si>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</si>
  <si>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</si>
  <si>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</si>
  <si>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</si>
  <si>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</si>
  <si>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</si>
  <si>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</si>
  <si>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</si>
  <si>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</si>
  <si>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</si>
  <si>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</si>
  <si>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</si>
  <si>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</si>
  <si>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</si>
  <si>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</si>
  <si>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</si>
  <si>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</si>
  <si>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</si>
  <si>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</si>
  <si>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</si>
  <si>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</si>
  <si>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</si>
  <si>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</si>
  <si>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</si>
  <si>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</si>
  <si>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</si>
  <si>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</si>
  <si>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</si>
  <si>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</si>
  <si>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</si>
  <si>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</si>
  <si>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</si>
  <si>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</si>
  <si>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</si>
  <si>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</si>
  <si>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</si>
  <si>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</si>
  <si>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</si>
  <si>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</si>
  <si>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</si>
  <si>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</si>
  <si>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</si>
  <si>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</si>
  <si>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</si>
  <si>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</si>
  <si>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</si>
  <si>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</si>
  <si>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</si>
  <si>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</si>
  <si>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</si>
  <si>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</si>
  <si>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</si>
  <si>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</si>
  <si>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</si>
  <si>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</si>
  <si>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</si>
  <si>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</si>
  <si>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</si>
  <si>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</si>
  <si>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</si>
  <si>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</si>
  <si>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</si>
  <si>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</si>
  <si>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</si>
  <si>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</si>
  <si>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</si>
  <si>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</si>
  <si>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</si>
  <si>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</si>
  <si>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</si>
  <si>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</si>
  <si>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</si>
  <si>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</si>
  <si>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</si>
  <si>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</si>
  <si>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</si>
  <si>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</si>
  <si>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</si>
  <si>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</si>
  <si>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</si>
  <si>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</si>
  <si>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</si>
  <si>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</si>
  <si>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</si>
  <si>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</si>
  <si>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</si>
  <si>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</si>
  <si>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</si>
  <si>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</si>
  <si>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</si>
  <si>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</si>
  <si>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</si>
  <si>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</si>
  <si>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</si>
  <si>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</si>
  <si>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</si>
  <si>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</si>
  <si>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</si>
  <si>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</si>
  <si>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</si>
  <si>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</si>
  <si>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</si>
  <si>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</si>
  <si>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</si>
  <si>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</si>
  <si>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</si>
  <si>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</si>
  <si>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</si>
  <si>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</si>
  <si>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</si>
  <si>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</si>
  <si>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</si>
  <si>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</si>
  <si>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</si>
  <si>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</si>
  <si>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</si>
  <si>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</si>
  <si>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</si>
  <si>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</si>
  <si>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</si>
  <si>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</si>
  <si>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</si>
  <si>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</si>
  <si>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</si>
  <si>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</si>
  <si>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</si>
  <si>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</si>
  <si>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</si>
  <si>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</si>
  <si>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</si>
  <si>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</si>
  <si>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</si>
  <si>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</si>
  <si>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</si>
  <si>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</si>
  <si>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</si>
  <si>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</si>
  <si>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</si>
  <si>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</si>
  <si>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</si>
  <si>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</si>
  <si>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</si>
  <si>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</si>
  <si>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</si>
  <si>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</si>
  <si>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</si>
  <si>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</si>
  <si>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</si>
  <si>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</si>
  <si>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</si>
  <si>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</si>
  <si>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</si>
  <si>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</si>
  <si>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</si>
  <si>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</si>
  <si>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</si>
  <si>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</si>
  <si>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</si>
  <si>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</si>
  <si>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</si>
  <si>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</si>
  <si>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</si>
  <si>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</si>
  <si>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</si>
  <si>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</si>
  <si>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</si>
  <si>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</si>
  <si>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</si>
  <si>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</si>
  <si>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</si>
  <si>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</si>
  <si>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</si>
  <si>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</si>
  <si>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</si>
  <si>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</si>
  <si>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</si>
  <si>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</si>
  <si>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</si>
  <si>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</si>
  <si>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</si>
  <si>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</si>
  <si>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</si>
  <si>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</si>
  <si>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</si>
  <si>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</si>
  <si>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</si>
  <si>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</si>
  <si>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</si>
  <si>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</si>
  <si>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</si>
  <si>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</si>
  <si>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</si>
  <si>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</si>
  <si>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</si>
  <si>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</si>
  <si>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</si>
  <si>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</si>
  <si>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</si>
  <si>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</si>
  <si>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</si>
  <si>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</si>
  <si>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</si>
  <si>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</si>
  <si>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</si>
  <si>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</si>
  <si>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</si>
  <si>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</si>
  <si>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</si>
  <si>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</si>
  <si>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</si>
  <si>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</si>
  <si>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</si>
  <si>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</si>
  <si>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</si>
  <si>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</si>
  <si>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</si>
  <si>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</si>
  <si>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</si>
  <si>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</si>
  <si>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</si>
  <si>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</si>
  <si>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</si>
  <si>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</si>
  <si>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</si>
  <si>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</si>
  <si>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</si>
  <si>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</si>
  <si>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</si>
  <si>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</si>
  <si>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Fund Weight</t>
  </si>
  <si>
    <t>Benchmark Weight</t>
  </si>
  <si>
    <t>Active Weight</t>
  </si>
  <si>
    <t>Asset 1</t>
  </si>
  <si>
    <t>Asset 2</t>
  </si>
  <si>
    <t>Asset 3</t>
  </si>
  <si>
    <t>Asset 4</t>
  </si>
  <si>
    <t>Asset 5</t>
  </si>
  <si>
    <t>benchmark return</t>
  </si>
  <si>
    <t>active return</t>
  </si>
  <si>
    <t>portfolio return (direct )</t>
  </si>
  <si>
    <t>portfolio return (indirect )</t>
  </si>
  <si>
    <t>Small/Value</t>
  </si>
  <si>
    <t>Small/Growth</t>
  </si>
  <si>
    <t>Large/Growth</t>
  </si>
  <si>
    <t>Active 1</t>
  </si>
  <si>
    <t>Active 2</t>
  </si>
  <si>
    <t>Total Active</t>
  </si>
  <si>
    <t>Direct Approach</t>
  </si>
  <si>
    <t>Indirect Approach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</si>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</sst>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36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80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0" fontId="0" fillId="0" borderId="0" xfId="0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center"/>
    </xf>
    <xf numFmtId="0" fontId="2" fillId="0" borderId="0" xfId="0" applyFont="1"/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5703125" bestFit="1" customWidth="1"/>
    <col min="12" max="12" width="11.5703125" bestFit="1" customWidth="1"/>
  </cols>
  <sheetData>
    <row r="1" spans="1:6">
      <c r="B1" s="44"/>
      <c r="C1" s="44"/>
      <c r="D1" s="44"/>
      <c r="E1" s="44"/>
      <c r="F1" s="44"/>
    </row>
    <row r="2" spans="1:6">
      <c r="C2" s="253" t="s">
        <v>13</v>
      </c>
      <c r="D2" s="254"/>
      <c r="E2" s="253" t="s">
        <v>14</v>
      </c>
      <c r="F2" s="254"/>
    </row>
    <row r="3" spans="1:6">
      <c r="B3" s="44"/>
      <c r="C3" s="45" t="s">
        <v>15</v>
      </c>
      <c r="D3" s="45" t="s">
        <v>16</v>
      </c>
      <c r="E3" s="45" t="s">
        <v>15</v>
      </c>
      <c r="F3" s="45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5" t="s">
        <v>10</v>
      </c>
      <c r="C6" s="45">
        <v>33</v>
      </c>
      <c r="D6" s="45">
        <v>200</v>
      </c>
      <c r="E6" s="45">
        <v>35</v>
      </c>
      <c r="F6" s="45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6"/>
    </row>
    <row r="26" spans="2:12">
      <c r="L26" s="46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0">
        <f>C29/SUM($C$29:$C$31)</f>
        <v>0.65948275862068961</v>
      </c>
      <c r="E36">
        <f>F4*E4</f>
        <v>30600</v>
      </c>
      <c r="F36" s="40">
        <f>E36/SUM($E$36:$E$38)</f>
        <v>0.65948275862068961</v>
      </c>
    </row>
    <row r="37" spans="2:6">
      <c r="B37" t="s">
        <v>9</v>
      </c>
      <c r="C37" s="40">
        <f>C30/SUM($C$29:$C$31)</f>
        <v>0.18965517241379307</v>
      </c>
      <c r="E37">
        <f>F5*E5</f>
        <v>8800</v>
      </c>
      <c r="F37" s="40">
        <f>E37/SUM($E$36:$E$38)</f>
        <v>0.18965517241379309</v>
      </c>
    </row>
    <row r="38" spans="2:6">
      <c r="B38" t="s">
        <v>10</v>
      </c>
      <c r="C38" s="40">
        <f>C31/SUM($C$29:$C$31)</f>
        <v>0.15086206896551724</v>
      </c>
      <c r="E38">
        <f>F6*E6</f>
        <v>7000</v>
      </c>
      <c r="F38" s="40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59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59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59">
        <f>H8*(1+F8)</f>
        <v>353.53535353535352</v>
      </c>
      <c r="J8" s="6">
        <f>I8/$I$10</f>
        <v>0.36238232529986142</v>
      </c>
    </row>
    <row r="10" spans="3:10">
      <c r="G10" s="61" t="s">
        <v>11</v>
      </c>
      <c r="H10" s="2">
        <v>1000</v>
      </c>
      <c r="I10" s="158">
        <f>SUM(I6:I8)</f>
        <v>975.58663558663557</v>
      </c>
    </row>
    <row r="11" spans="3:10">
      <c r="F11" t="s">
        <v>12</v>
      </c>
      <c r="I11" s="160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2:E12"/>
  <sheetViews>
    <sheetView workbookViewId="0">
      <selection activeCell="C12" sqref="C12"/>
    </sheetView>
  </sheetViews>
  <sheetFormatPr defaultRowHeight="15"/>
  <cols>
    <col min="2" max="2" width="14.5703125" customWidth="1"/>
    <col min="3" max="3" width="10.85546875" customWidth="1"/>
    <col min="4" max="4" width="13.5703125" bestFit="1" customWidth="1"/>
    <col min="7" max="7" width="13.42578125" bestFit="1" customWidth="1"/>
  </cols>
  <sheetData>
    <row r="2" spans="1:5">
      <c r="A2" t="s">
        <v>603</v>
      </c>
      <c r="B2" s="1" t="s">
        <v>604</v>
      </c>
      <c r="C2" s="1" t="s">
        <v>605</v>
      </c>
      <c r="D2" s="1" t="s">
        <v>606</v>
      </c>
      <c r="E2" s="1" t="s">
        <v>245</v>
      </c>
    </row>
    <row r="3" spans="1:5">
      <c r="A3" t="s">
        <v>607</v>
      </c>
      <c r="B3" s="190">
        <v>0</v>
      </c>
      <c r="C3" s="190">
        <v>0.2</v>
      </c>
      <c r="D3" s="190">
        <f>B3-C3</f>
        <v>-0.2</v>
      </c>
      <c r="E3" s="190">
        <v>0.05</v>
      </c>
    </row>
    <row r="4" spans="1:5">
      <c r="A4" t="s">
        <v>608</v>
      </c>
      <c r="B4" s="190">
        <v>0.45</v>
      </c>
      <c r="C4" s="190">
        <v>0.4</v>
      </c>
      <c r="D4" s="190">
        <f t="shared" ref="D4:D7" si="0">B4-C4</f>
        <v>4.9999999999999989E-2</v>
      </c>
      <c r="E4" s="190">
        <v>-0.08</v>
      </c>
    </row>
    <row r="5" spans="1:5">
      <c r="A5" t="s">
        <v>609</v>
      </c>
      <c r="B5" s="190">
        <v>0.4</v>
      </c>
      <c r="C5" s="190">
        <v>0.1</v>
      </c>
      <c r="D5" s="190">
        <f t="shared" si="0"/>
        <v>0.30000000000000004</v>
      </c>
      <c r="E5" s="190">
        <v>0.2</v>
      </c>
    </row>
    <row r="6" spans="1:5">
      <c r="A6" t="s">
        <v>610</v>
      </c>
      <c r="B6" s="190">
        <v>-0.1</v>
      </c>
      <c r="C6" s="190">
        <v>0.3</v>
      </c>
      <c r="D6" s="190">
        <f t="shared" si="0"/>
        <v>-0.4</v>
      </c>
      <c r="E6" s="190">
        <v>0.17</v>
      </c>
    </row>
    <row r="7" spans="1:5">
      <c r="A7" t="s">
        <v>611</v>
      </c>
      <c r="B7" s="190">
        <v>0.2</v>
      </c>
      <c r="C7" s="190">
        <v>0</v>
      </c>
      <c r="D7" s="190">
        <f t="shared" si="0"/>
        <v>0.2</v>
      </c>
      <c r="E7" s="190">
        <v>0.02</v>
      </c>
    </row>
    <row r="8" spans="1:5">
      <c r="B8" s="190"/>
      <c r="C8" s="190"/>
      <c r="D8" s="190"/>
    </row>
    <row r="9" spans="1:5">
      <c r="A9" s="1" t="s">
        <v>614</v>
      </c>
      <c r="C9">
        <f>SUMPRODUCT(B3:B7,E3:E7)</f>
        <v>3.100000000000001E-2</v>
      </c>
    </row>
    <row r="10" spans="1:5">
      <c r="A10" t="s">
        <v>612</v>
      </c>
      <c r="C10">
        <f>SUMPRODUCT(C3:C7,E3:E7)</f>
        <v>4.9000000000000009E-2</v>
      </c>
    </row>
    <row r="11" spans="1:5">
      <c r="A11" t="s">
        <v>613</v>
      </c>
      <c r="C11">
        <f>SUMPRODUCT(D3:D7,E3:E7)</f>
        <v>-1.7999999999999992E-2</v>
      </c>
    </row>
    <row r="12" spans="1:5">
      <c r="A12" s="1" t="s">
        <v>615</v>
      </c>
      <c r="C12">
        <f>C10+C11</f>
        <v>3.1000000000000017E-2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J11"/>
  <sheetViews>
    <sheetView workbookViewId="0">
      <selection activeCell="H18" sqref="H18"/>
    </sheetView>
  </sheetViews>
  <sheetFormatPr defaultRowHeight="15"/>
  <cols>
    <col min="1" max="1" width="7.85546875" bestFit="1" customWidth="1"/>
    <col min="2" max="2" width="13.42578125" customWidth="1"/>
    <col min="3" max="3" width="10.85546875" bestFit="1" customWidth="1"/>
    <col min="4" max="5" width="8" bestFit="1" customWidth="1"/>
    <col min="6" max="6" width="2.85546875" customWidth="1"/>
    <col min="7" max="7" width="11.42578125" bestFit="1" customWidth="1"/>
    <col min="9" max="9" width="4" customWidth="1"/>
  </cols>
  <sheetData>
    <row r="1" spans="1:10">
      <c r="C1" s="255" t="s">
        <v>478</v>
      </c>
      <c r="D1" s="255"/>
      <c r="E1" s="255"/>
      <c r="F1" s="255"/>
      <c r="G1" s="255"/>
      <c r="H1" s="255"/>
      <c r="J1" s="56" t="s">
        <v>246</v>
      </c>
    </row>
    <row r="2" spans="1:10">
      <c r="A2" s="1" t="s">
        <v>603</v>
      </c>
      <c r="B2" s="1" t="s">
        <v>625</v>
      </c>
      <c r="C2" s="1" t="s">
        <v>206</v>
      </c>
      <c r="D2" s="1" t="s">
        <v>619</v>
      </c>
      <c r="E2" s="1" t="s">
        <v>620</v>
      </c>
      <c r="F2" s="1"/>
      <c r="G2" s="1" t="s">
        <v>621</v>
      </c>
      <c r="H2" s="1" t="s">
        <v>527</v>
      </c>
    </row>
    <row r="3" spans="1:10">
      <c r="A3" s="4">
        <v>1</v>
      </c>
      <c r="B3" t="s">
        <v>616</v>
      </c>
      <c r="C3" s="190">
        <v>0.15</v>
      </c>
      <c r="D3" s="190">
        <v>0.1</v>
      </c>
      <c r="E3" s="191">
        <v>0.11</v>
      </c>
      <c r="F3" s="190"/>
      <c r="G3" s="190">
        <f>D3+E3</f>
        <v>0.21000000000000002</v>
      </c>
      <c r="H3" s="190">
        <f>C3+G3</f>
        <v>0.36</v>
      </c>
      <c r="J3">
        <v>0.25</v>
      </c>
    </row>
    <row r="4" spans="1:10">
      <c r="A4" s="4">
        <v>2</v>
      </c>
      <c r="B4" t="s">
        <v>617</v>
      </c>
      <c r="C4" s="190">
        <v>0.1</v>
      </c>
      <c r="D4" s="190">
        <v>7.0000000000000007E-2</v>
      </c>
      <c r="E4" s="190">
        <v>-0.06</v>
      </c>
      <c r="F4" s="190"/>
      <c r="G4" s="190">
        <f t="shared" ref="G4:G6" si="0">D4+E4</f>
        <v>1.0000000000000009E-2</v>
      </c>
      <c r="H4" s="190">
        <f t="shared" ref="H4:H6" si="1">C4+G4</f>
        <v>0.11000000000000001</v>
      </c>
      <c r="J4">
        <v>0.05</v>
      </c>
    </row>
    <row r="5" spans="1:10">
      <c r="A5" s="4">
        <v>3</v>
      </c>
      <c r="B5" t="s">
        <v>624</v>
      </c>
      <c r="C5" s="190">
        <v>0.45</v>
      </c>
      <c r="D5" s="190">
        <v>-0.11</v>
      </c>
      <c r="E5" s="191">
        <v>0.04</v>
      </c>
      <c r="F5" s="190"/>
      <c r="G5" s="190">
        <f t="shared" si="0"/>
        <v>-7.0000000000000007E-2</v>
      </c>
      <c r="H5" s="190">
        <f t="shared" si="1"/>
        <v>0.38</v>
      </c>
      <c r="J5">
        <v>0.3</v>
      </c>
    </row>
    <row r="6" spans="1:10">
      <c r="A6" s="4">
        <v>4</v>
      </c>
      <c r="B6" t="s">
        <v>618</v>
      </c>
      <c r="C6" s="190">
        <v>0.3</v>
      </c>
      <c r="D6" s="190">
        <v>-0.06</v>
      </c>
      <c r="E6" s="190">
        <v>-0.09</v>
      </c>
      <c r="F6" s="190"/>
      <c r="G6" s="190">
        <f t="shared" si="0"/>
        <v>-0.15</v>
      </c>
      <c r="H6" s="190">
        <f t="shared" si="1"/>
        <v>0.15</v>
      </c>
      <c r="J6">
        <v>-0.02</v>
      </c>
    </row>
    <row r="7" spans="1:10">
      <c r="C7" s="190"/>
      <c r="D7" s="190"/>
      <c r="F7" s="190"/>
    </row>
    <row r="8" spans="1:10">
      <c r="A8" t="s">
        <v>20</v>
      </c>
      <c r="C8" s="190">
        <f>SUM(C3:C6)</f>
        <v>1</v>
      </c>
      <c r="D8" s="190">
        <f>SUM(D3:D6)</f>
        <v>0</v>
      </c>
      <c r="E8" s="190">
        <f>SUM(E3:E6)</f>
        <v>0</v>
      </c>
      <c r="G8" s="190">
        <f>SUM(G3:G6)</f>
        <v>0</v>
      </c>
      <c r="H8" s="190">
        <f>SUM(H3:H6)</f>
        <v>1</v>
      </c>
    </row>
    <row r="10" spans="1:10">
      <c r="A10" s="1" t="s">
        <v>246</v>
      </c>
      <c r="B10" s="1"/>
      <c r="C10" s="199">
        <f>SUMPRODUCT(C3:C6,J3:J6)</f>
        <v>0.17149999999999999</v>
      </c>
      <c r="D10" s="199">
        <f>SUMPRODUCT(D3:D6,J3:J6)</f>
        <v>-3.3000000000000008E-3</v>
      </c>
      <c r="E10" s="199">
        <f>SUMPRODUCT(E3:E6,J3:J6)</f>
        <v>3.8300000000000008E-2</v>
      </c>
      <c r="G10" s="199">
        <f>SUMPRODUCT(G3:G6,J3:J6)</f>
        <v>3.5000000000000003E-2</v>
      </c>
      <c r="H10" s="199">
        <f>SUMPRODUCT(H3:H6,J3:J6)</f>
        <v>0.20649999999999999</v>
      </c>
      <c r="I10" t="s">
        <v>622</v>
      </c>
    </row>
    <row r="11" spans="1:10">
      <c r="H11" s="199">
        <f>SUM(C10:E10)</f>
        <v>0.20649999999999999</v>
      </c>
      <c r="I11" t="s">
        <v>623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61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65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65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65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65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65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65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65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65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65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65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65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65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65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65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65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65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65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65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65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65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65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65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65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65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65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65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65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65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65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65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65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65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65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65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65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65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65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65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65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65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65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65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65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65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65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65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65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65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65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65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65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65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65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65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65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65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65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65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65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425781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520</v>
      </c>
    </row>
    <row r="2" spans="1:5">
      <c r="B2" t="s">
        <v>517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518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519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472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42578125" customWidth="1"/>
    <col min="3" max="3" width="10.42578125" bestFit="1" customWidth="1"/>
    <col min="7" max="7" width="17.5703125" customWidth="1"/>
  </cols>
  <sheetData>
    <row r="2" spans="1:8">
      <c r="E2" s="253" t="s">
        <v>60</v>
      </c>
      <c r="F2" s="254"/>
      <c r="H2" t="s">
        <v>61</v>
      </c>
    </row>
    <row r="3" spans="1:8">
      <c r="A3" t="s">
        <v>244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5703125" bestFit="1" customWidth="1"/>
  </cols>
  <sheetData>
    <row r="1" spans="1:5">
      <c r="E1" t="s">
        <v>73</v>
      </c>
    </row>
    <row r="2" spans="1:5">
      <c r="B2" t="s">
        <v>527</v>
      </c>
      <c r="C2" t="s">
        <v>74</v>
      </c>
      <c r="E2" t="s">
        <v>45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529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5"/>
  <sheetData>
    <row r="4" spans="2:5">
      <c r="B4" s="1" t="s">
        <v>527</v>
      </c>
      <c r="C4" s="1" t="s">
        <v>247</v>
      </c>
    </row>
    <row r="5" spans="2:5">
      <c r="B5" s="1" t="s">
        <v>41</v>
      </c>
      <c r="C5" s="1" t="s">
        <v>41</v>
      </c>
      <c r="D5" s="1" t="s">
        <v>526</v>
      </c>
      <c r="E5" s="1" t="s">
        <v>528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56" t="s">
        <v>478</v>
      </c>
      <c r="C8" s="256"/>
      <c r="D8" s="1" t="s">
        <v>45</v>
      </c>
    </row>
    <row r="9" spans="2:5">
      <c r="B9" s="3" t="s">
        <v>8</v>
      </c>
      <c r="C9" s="3" t="s">
        <v>527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5"/>
  <cols>
    <col min="1" max="1" width="9.42578125" bestFit="1" customWidth="1"/>
    <col min="2" max="2" width="9" bestFit="1" customWidth="1"/>
    <col min="3" max="3" width="12.42578125" bestFit="1" customWidth="1"/>
    <col min="4" max="4" width="2.42578125" customWidth="1"/>
    <col min="5" max="5" width="13.42578125" bestFit="1" customWidth="1"/>
  </cols>
  <sheetData>
    <row r="1" spans="1:5">
      <c r="A1" s="1" t="s">
        <v>244</v>
      </c>
      <c r="B1" s="1" t="s">
        <v>45</v>
      </c>
      <c r="C1" s="1" t="s">
        <v>630</v>
      </c>
      <c r="E1" s="1" t="s">
        <v>626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41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627</v>
      </c>
      <c r="B64" s="40">
        <f>SLOPE(C2:C61,B2:B61)</f>
        <v>0.6172588196669182</v>
      </c>
      <c r="C64" s="40"/>
      <c r="D64" s="40"/>
      <c r="E64" s="40"/>
    </row>
    <row r="65" spans="1:2">
      <c r="A65" s="192" t="s">
        <v>628</v>
      </c>
      <c r="B65" s="193">
        <f>(B64-1)</f>
        <v>-0.3827411803330818</v>
      </c>
    </row>
    <row r="66" spans="1:2">
      <c r="A66" s="192" t="s">
        <v>629</v>
      </c>
      <c r="B66" s="193">
        <f>(E63/B63-1)*100</f>
        <v>-0.37571597481538266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6" t="s">
        <v>93</v>
      </c>
      <c r="J1" s="254"/>
      <c r="L1" s="256" t="s">
        <v>93</v>
      </c>
      <c r="M1" s="254"/>
      <c r="R1" s="1"/>
    </row>
    <row r="2" spans="1:18">
      <c r="I2" s="256" t="s">
        <v>94</v>
      </c>
      <c r="J2" s="254"/>
      <c r="L2" s="256" t="s">
        <v>95</v>
      </c>
      <c r="M2" s="254"/>
    </row>
    <row r="3" spans="1:18">
      <c r="B3" s="256" t="s">
        <v>95</v>
      </c>
      <c r="C3" s="254"/>
      <c r="F3" s="256" t="s">
        <v>94</v>
      </c>
      <c r="G3" s="254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100</v>
      </c>
      <c r="J5" s="40">
        <f>INTERCEPT(F5:F40,G5:G40)</f>
        <v>1.5992832356627025E-2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103</v>
      </c>
      <c r="J6" s="40">
        <f>SLOPE(F5:F40,G5:G40)</f>
        <v>1.9104011679319399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4257812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0.5703125" customWidth="1"/>
    <col min="12" max="12" width="12.85546875" bestFit="1" customWidth="1"/>
    <col min="18" max="18" width="12.85546875" bestFit="1" customWidth="1"/>
  </cols>
  <sheetData>
    <row r="1" spans="1:18">
      <c r="I1" s="256" t="s">
        <v>93</v>
      </c>
      <c r="J1" s="254"/>
      <c r="L1" s="256" t="s">
        <v>93</v>
      </c>
      <c r="M1" s="254"/>
      <c r="R1" s="1"/>
    </row>
    <row r="2" spans="1:18">
      <c r="I2" s="256" t="s">
        <v>94</v>
      </c>
      <c r="J2" s="254"/>
      <c r="L2" s="256" t="s">
        <v>95</v>
      </c>
      <c r="M2" s="254"/>
    </row>
    <row r="3" spans="1:18">
      <c r="B3" s="256" t="s">
        <v>95</v>
      </c>
      <c r="C3" s="254"/>
      <c r="F3" s="256" t="s">
        <v>94</v>
      </c>
      <c r="G3" s="254"/>
    </row>
    <row r="4" spans="1:18">
      <c r="A4" t="s">
        <v>77</v>
      </c>
      <c r="B4" s="49" t="s">
        <v>74</v>
      </c>
      <c r="C4" s="49" t="s">
        <v>97</v>
      </c>
      <c r="D4" s="1" t="s">
        <v>98</v>
      </c>
      <c r="F4" s="49" t="s">
        <v>74</v>
      </c>
      <c r="G4" s="49" t="s">
        <v>97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100</v>
      </c>
      <c r="J5" s="40">
        <f>INTERCEPT(F5:F40,G5:G40)</f>
        <v>1.5920502618598321E-2</v>
      </c>
      <c r="L5" t="s">
        <v>101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103</v>
      </c>
      <c r="J6" s="40">
        <f>SLOPE(F5:F40,G5:G40)</f>
        <v>1.9182902417238019</v>
      </c>
      <c r="L6" t="s">
        <v>104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5703125" bestFit="1" customWidth="1"/>
    <col min="5" max="5" width="3.85546875" customWidth="1"/>
    <col min="6" max="6" width="12.5703125" bestFit="1" customWidth="1"/>
  </cols>
  <sheetData>
    <row r="1" spans="1:9">
      <c r="B1" t="s">
        <v>87</v>
      </c>
      <c r="C1" t="s">
        <v>88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89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90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91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92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1"/>
    </row>
    <row r="22" spans="1:10">
      <c r="A22" s="43">
        <v>43371</v>
      </c>
      <c r="B22">
        <v>-2.0068267408298101E-2</v>
      </c>
      <c r="C22">
        <v>2.04473980356001E-3</v>
      </c>
      <c r="I22" s="161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570312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5" width="9.5703125" customWidth="1"/>
    <col min="16" max="16" width="8.425781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256" t="s">
        <v>95</v>
      </c>
      <c r="C1" s="254"/>
      <c r="D1" s="254"/>
      <c r="I1" s="256"/>
      <c r="J1" s="254"/>
      <c r="K1" s="254"/>
    </row>
    <row r="2" spans="1:18">
      <c r="A2" t="s">
        <v>244</v>
      </c>
      <c r="B2" t="s">
        <v>87</v>
      </c>
      <c r="C2" t="s">
        <v>88</v>
      </c>
      <c r="D2" t="s">
        <v>162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5"/>
  <cols>
    <col min="1" max="1" width="14.42578125" customWidth="1"/>
    <col min="2" max="2" width="24.5703125" customWidth="1"/>
    <col min="3" max="3" width="10.42578125" style="212" bestFit="1" customWidth="1"/>
    <col min="4" max="4" width="14.5703125" style="158" customWidth="1"/>
    <col min="11" max="11" width="17" bestFit="1" customWidth="1"/>
    <col min="12" max="12" width="12.5703125" bestFit="1" customWidth="1"/>
  </cols>
  <sheetData>
    <row r="1" spans="1:12">
      <c r="B1" s="1" t="s">
        <v>709</v>
      </c>
    </row>
    <row r="2" spans="1:12">
      <c r="B2" s="1"/>
      <c r="C2" s="3" t="s">
        <v>716</v>
      </c>
      <c r="D2" s="218" t="s">
        <v>715</v>
      </c>
    </row>
    <row r="3" spans="1:12">
      <c r="D3" s="217" t="s">
        <v>710</v>
      </c>
    </row>
    <row r="4" spans="1:12" ht="30">
      <c r="A4" s="210" t="s">
        <v>642</v>
      </c>
      <c r="B4" s="210" t="s">
        <v>694</v>
      </c>
      <c r="C4" s="213" t="s">
        <v>640</v>
      </c>
      <c r="D4" s="215" t="s">
        <v>641</v>
      </c>
      <c r="I4" s="1" t="s">
        <v>714</v>
      </c>
    </row>
    <row r="5" spans="1:12">
      <c r="A5" s="211" t="s">
        <v>643</v>
      </c>
      <c r="B5" s="211" t="s">
        <v>695</v>
      </c>
      <c r="C5" s="214">
        <v>30</v>
      </c>
      <c r="D5" s="216">
        <v>36.6</v>
      </c>
      <c r="F5" s="253" t="s">
        <v>711</v>
      </c>
      <c r="G5" s="253"/>
      <c r="I5">
        <f>D5-$G$6-$G$7*C5</f>
        <v>-28.823515647060841</v>
      </c>
      <c r="K5" t="s">
        <v>713</v>
      </c>
      <c r="L5">
        <f>AVERAGE(I5:I55)</f>
        <v>8.0806820929580018E-15</v>
      </c>
    </row>
    <row r="6" spans="1:12">
      <c r="A6" s="211" t="s">
        <v>644</v>
      </c>
      <c r="B6" s="211" t="s">
        <v>695</v>
      </c>
      <c r="C6" s="212">
        <v>27.7</v>
      </c>
      <c r="D6" s="216">
        <v>48.8</v>
      </c>
      <c r="F6" t="s">
        <v>101</v>
      </c>
      <c r="G6">
        <f>INTERCEPT(D5:D55,C5:C55)</f>
        <v>34.894176754316554</v>
      </c>
      <c r="I6">
        <f t="shared" ref="I6:I55" si="0">D6-$G$6-$G$7*C6</f>
        <v>-14.282932998617117</v>
      </c>
      <c r="K6" t="s">
        <v>717</v>
      </c>
      <c r="L6">
        <f>COVAR(I5:I55,C5:C55)</f>
        <v>-4.640623397538583E-15</v>
      </c>
    </row>
    <row r="7" spans="1:12">
      <c r="A7" s="211" t="s">
        <v>645</v>
      </c>
      <c r="B7" s="211" t="s">
        <v>695</v>
      </c>
      <c r="C7" s="212">
        <v>26.2</v>
      </c>
      <c r="D7" s="216">
        <v>64.600000000000009</v>
      </c>
      <c r="F7" t="s">
        <v>104</v>
      </c>
      <c r="G7">
        <f>SLOPE(D5:D55,C5:C55)</f>
        <v>1.017644629758143</v>
      </c>
      <c r="I7">
        <f t="shared" si="0"/>
        <v>3.0435339460201085</v>
      </c>
    </row>
    <row r="8" spans="1:12">
      <c r="A8" s="211" t="s">
        <v>646</v>
      </c>
      <c r="B8" s="211" t="s">
        <v>695</v>
      </c>
      <c r="C8" s="212">
        <v>25.8</v>
      </c>
      <c r="D8" s="216">
        <v>54.900000000000006</v>
      </c>
      <c r="I8">
        <f t="shared" si="0"/>
        <v>-6.2494082020766371</v>
      </c>
    </row>
    <row r="9" spans="1:12">
      <c r="A9" s="211" t="s">
        <v>647</v>
      </c>
      <c r="B9" s="211" t="s">
        <v>695</v>
      </c>
      <c r="C9" s="212">
        <v>23.8</v>
      </c>
      <c r="D9" s="216">
        <v>57.3</v>
      </c>
      <c r="F9" s="253" t="s">
        <v>712</v>
      </c>
      <c r="G9" s="253"/>
      <c r="I9">
        <f t="shared" si="0"/>
        <v>-1.8141189425603592</v>
      </c>
    </row>
    <row r="10" spans="1:12">
      <c r="A10" s="211" t="s">
        <v>648</v>
      </c>
      <c r="B10" s="211" t="s">
        <v>695</v>
      </c>
      <c r="C10" s="212">
        <v>24.8</v>
      </c>
      <c r="D10" s="216">
        <v>73.2</v>
      </c>
      <c r="F10" t="s">
        <v>101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11" t="s">
        <v>649</v>
      </c>
      <c r="B11" s="211" t="s">
        <v>695</v>
      </c>
      <c r="C11" s="212">
        <v>26.2</v>
      </c>
      <c r="D11" s="216">
        <v>65.900000000000006</v>
      </c>
      <c r="F11" t="s">
        <v>104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11" t="s">
        <v>650</v>
      </c>
      <c r="B12" s="211" t="s">
        <v>695</v>
      </c>
      <c r="C12" s="212">
        <v>23.9</v>
      </c>
      <c r="D12" s="216">
        <v>69.5</v>
      </c>
      <c r="I12">
        <f t="shared" si="0"/>
        <v>10.284116594463832</v>
      </c>
    </row>
    <row r="13" spans="1:12">
      <c r="A13" s="211" t="s">
        <v>651</v>
      </c>
      <c r="B13" s="211" t="s">
        <v>695</v>
      </c>
      <c r="C13" s="212">
        <v>21.8</v>
      </c>
      <c r="D13" s="216">
        <v>70.7</v>
      </c>
      <c r="I13">
        <f t="shared" si="0"/>
        <v>13.621170316955933</v>
      </c>
    </row>
    <row r="14" spans="1:12">
      <c r="A14" s="211" t="s">
        <v>652</v>
      </c>
      <c r="B14" s="211" t="s">
        <v>695</v>
      </c>
      <c r="C14" s="212">
        <v>21.5</v>
      </c>
      <c r="D14" s="216">
        <v>65.900000000000006</v>
      </c>
      <c r="I14">
        <f t="shared" si="0"/>
        <v>9.1264637058833777</v>
      </c>
    </row>
    <row r="15" spans="1:12">
      <c r="A15" s="211" t="s">
        <v>653</v>
      </c>
      <c r="B15" s="211" t="s">
        <v>695</v>
      </c>
      <c r="C15" s="214">
        <v>22</v>
      </c>
      <c r="D15" s="216">
        <v>75.599999999999994</v>
      </c>
      <c r="I15">
        <f t="shared" si="0"/>
        <v>18.317641391004294</v>
      </c>
    </row>
    <row r="16" spans="1:12">
      <c r="A16" s="211" t="s">
        <v>654</v>
      </c>
      <c r="B16" s="211" t="s">
        <v>695</v>
      </c>
      <c r="C16" s="212">
        <v>23.4</v>
      </c>
      <c r="D16" s="216">
        <v>75.599999999999994</v>
      </c>
      <c r="I16">
        <f t="shared" si="0"/>
        <v>16.892938909342895</v>
      </c>
    </row>
    <row r="17" spans="1:9">
      <c r="A17" s="211" t="s">
        <v>655</v>
      </c>
      <c r="B17" s="211" t="s">
        <v>696</v>
      </c>
      <c r="C17" s="212">
        <v>23.9</v>
      </c>
      <c r="D17" s="216">
        <v>79.3</v>
      </c>
      <c r="I17">
        <f t="shared" si="0"/>
        <v>20.084116594463829</v>
      </c>
    </row>
    <row r="18" spans="1:9">
      <c r="A18" s="211" t="s">
        <v>656</v>
      </c>
      <c r="B18" s="211" t="s">
        <v>696</v>
      </c>
      <c r="C18" s="212">
        <v>19.600000000000001</v>
      </c>
      <c r="D18" s="216">
        <v>75.599999999999994</v>
      </c>
      <c r="I18">
        <f t="shared" si="0"/>
        <v>20.759988502423838</v>
      </c>
    </row>
    <row r="19" spans="1:9">
      <c r="A19" s="211" t="s">
        <v>657</v>
      </c>
      <c r="B19" s="211" t="s">
        <v>696</v>
      </c>
      <c r="C19" s="212">
        <v>22.5</v>
      </c>
      <c r="D19" s="216">
        <v>69.5</v>
      </c>
      <c r="I19">
        <f t="shared" si="0"/>
        <v>11.708819076125231</v>
      </c>
    </row>
    <row r="20" spans="1:9">
      <c r="A20" s="211" t="s">
        <v>658</v>
      </c>
      <c r="B20" s="211" t="s">
        <v>696</v>
      </c>
      <c r="C20" s="212">
        <v>22.3</v>
      </c>
      <c r="D20" s="216">
        <v>76.8</v>
      </c>
      <c r="I20">
        <f t="shared" si="0"/>
        <v>19.212348002076855</v>
      </c>
    </row>
    <row r="21" spans="1:9">
      <c r="A21" s="211" t="s">
        <v>659</v>
      </c>
      <c r="B21" s="211" t="s">
        <v>696</v>
      </c>
      <c r="C21" s="212">
        <v>19.399999999999999</v>
      </c>
      <c r="D21" s="216">
        <v>70.7</v>
      </c>
      <c r="I21">
        <f t="shared" si="0"/>
        <v>16.063517428375476</v>
      </c>
    </row>
    <row r="22" spans="1:9">
      <c r="A22" s="211" t="s">
        <v>660</v>
      </c>
      <c r="B22" s="211" t="s">
        <v>697</v>
      </c>
      <c r="C22" s="212">
        <v>19.899999999999999</v>
      </c>
      <c r="D22" s="216">
        <v>52.400000000000006</v>
      </c>
      <c r="I22">
        <f t="shared" si="0"/>
        <v>-2.7453048865035932</v>
      </c>
    </row>
    <row r="23" spans="1:9">
      <c r="A23" s="211" t="s">
        <v>661</v>
      </c>
      <c r="B23" s="211" t="s">
        <v>698</v>
      </c>
      <c r="C23" s="212">
        <v>15.1</v>
      </c>
      <c r="D23" s="216">
        <v>47.599999999999994</v>
      </c>
      <c r="I23">
        <f t="shared" si="0"/>
        <v>-2.6606106636645173</v>
      </c>
    </row>
    <row r="24" spans="1:9">
      <c r="A24" s="211" t="s">
        <v>662</v>
      </c>
      <c r="B24" s="211" t="s">
        <v>699</v>
      </c>
      <c r="C24" s="212">
        <v>14.2</v>
      </c>
      <c r="D24" s="216">
        <v>40.200000000000003</v>
      </c>
      <c r="I24">
        <f t="shared" si="0"/>
        <v>-9.1447304968821808</v>
      </c>
    </row>
    <row r="25" spans="1:9">
      <c r="A25" s="211" t="s">
        <v>663</v>
      </c>
      <c r="B25" s="211" t="s">
        <v>700</v>
      </c>
      <c r="C25" s="212">
        <v>21.7</v>
      </c>
      <c r="D25" s="216">
        <v>58.5</v>
      </c>
      <c r="I25">
        <f t="shared" si="0"/>
        <v>1.5229347799317452</v>
      </c>
    </row>
    <row r="26" spans="1:9">
      <c r="A26" s="211" t="s">
        <v>664</v>
      </c>
      <c r="B26" s="211" t="s">
        <v>700</v>
      </c>
      <c r="C26" s="212">
        <v>21.2</v>
      </c>
      <c r="D26" s="216">
        <v>64.600000000000009</v>
      </c>
      <c r="I26">
        <f t="shared" si="0"/>
        <v>8.1317570948108262</v>
      </c>
    </row>
    <row r="27" spans="1:9">
      <c r="A27" s="211" t="s">
        <v>665</v>
      </c>
      <c r="B27" s="211" t="s">
        <v>701</v>
      </c>
      <c r="C27" s="212">
        <v>26.2</v>
      </c>
      <c r="D27" s="216">
        <v>68.300000000000011</v>
      </c>
      <c r="I27">
        <f t="shared" si="0"/>
        <v>6.7435339460201114</v>
      </c>
    </row>
    <row r="28" spans="1:9">
      <c r="A28" s="211" t="s">
        <v>666</v>
      </c>
      <c r="B28" s="211" t="s">
        <v>701</v>
      </c>
      <c r="C28" s="212">
        <v>28.3</v>
      </c>
      <c r="D28" s="216">
        <v>74.400000000000006</v>
      </c>
      <c r="I28">
        <f t="shared" si="0"/>
        <v>10.706480223528004</v>
      </c>
    </row>
    <row r="29" spans="1:9">
      <c r="A29" s="211" t="s">
        <v>667</v>
      </c>
      <c r="B29" s="211" t="s">
        <v>701</v>
      </c>
      <c r="C29" s="212">
        <v>26.3</v>
      </c>
      <c r="D29" s="216">
        <v>62</v>
      </c>
      <c r="I29">
        <f t="shared" si="0"/>
        <v>0.34176948304428478</v>
      </c>
    </row>
    <row r="30" spans="1:9">
      <c r="A30" s="211" t="s">
        <v>668</v>
      </c>
      <c r="B30" s="211" t="s">
        <v>701</v>
      </c>
      <c r="C30" s="212">
        <v>29.7</v>
      </c>
      <c r="D30" s="216">
        <v>81.699999999999989</v>
      </c>
      <c r="I30">
        <f t="shared" si="0"/>
        <v>16.581777741866588</v>
      </c>
    </row>
    <row r="31" spans="1:9">
      <c r="A31" s="211" t="s">
        <v>669</v>
      </c>
      <c r="B31" s="211" t="s">
        <v>701</v>
      </c>
      <c r="C31" s="212">
        <v>28.7</v>
      </c>
      <c r="D31" s="216">
        <v>68.300000000000011</v>
      </c>
      <c r="I31">
        <f t="shared" si="0"/>
        <v>4.1994223716247561</v>
      </c>
    </row>
    <row r="32" spans="1:9">
      <c r="A32" s="211" t="s">
        <v>670</v>
      </c>
      <c r="B32" s="211" t="s">
        <v>701</v>
      </c>
      <c r="C32" s="212">
        <v>27.2</v>
      </c>
      <c r="D32" s="216">
        <v>70.7</v>
      </c>
      <c r="I32">
        <f t="shared" si="0"/>
        <v>8.1258893162619614</v>
      </c>
    </row>
    <row r="33" spans="1:9">
      <c r="A33" s="211" t="s">
        <v>671</v>
      </c>
      <c r="B33" s="211" t="s">
        <v>702</v>
      </c>
      <c r="C33" s="214">
        <v>30</v>
      </c>
      <c r="D33" s="216">
        <v>61</v>
      </c>
      <c r="I33">
        <f t="shared" si="0"/>
        <v>-4.4235156470608423</v>
      </c>
    </row>
    <row r="34" spans="1:9">
      <c r="A34" s="211" t="s">
        <v>672</v>
      </c>
      <c r="B34" s="211" t="s">
        <v>702</v>
      </c>
      <c r="C34" s="214">
        <v>24</v>
      </c>
      <c r="D34" s="216">
        <v>68.300000000000011</v>
      </c>
      <c r="I34">
        <f t="shared" si="0"/>
        <v>8.9823521314880281</v>
      </c>
    </row>
    <row r="35" spans="1:9">
      <c r="A35" s="211" t="s">
        <v>673</v>
      </c>
      <c r="B35" s="211" t="s">
        <v>702</v>
      </c>
      <c r="C35" s="212">
        <v>27.6</v>
      </c>
      <c r="D35" s="216">
        <v>41.5</v>
      </c>
      <c r="I35">
        <f t="shared" si="0"/>
        <v>-21.481168535641302</v>
      </c>
    </row>
    <row r="36" spans="1:9">
      <c r="A36" s="211" t="s">
        <v>674</v>
      </c>
      <c r="B36" s="211" t="s">
        <v>702</v>
      </c>
      <c r="C36" s="212">
        <v>35.4</v>
      </c>
      <c r="D36" s="216">
        <v>54.900000000000006</v>
      </c>
      <c r="I36">
        <f t="shared" si="0"/>
        <v>-16.018796647754804</v>
      </c>
    </row>
    <row r="37" spans="1:9">
      <c r="A37" s="211" t="s">
        <v>675</v>
      </c>
      <c r="B37" s="211" t="s">
        <v>702</v>
      </c>
      <c r="C37" s="212">
        <v>31.6</v>
      </c>
      <c r="D37" s="216">
        <v>51.2</v>
      </c>
      <c r="I37">
        <f t="shared" si="0"/>
        <v>-15.851747054673872</v>
      </c>
    </row>
    <row r="38" spans="1:9">
      <c r="A38" s="211" t="s">
        <v>676</v>
      </c>
      <c r="B38" s="211" t="s">
        <v>702</v>
      </c>
      <c r="C38" s="212">
        <v>28.3</v>
      </c>
      <c r="D38" s="216">
        <v>69.5</v>
      </c>
      <c r="I38">
        <f t="shared" si="0"/>
        <v>5.8064802235279984</v>
      </c>
    </row>
    <row r="39" spans="1:9">
      <c r="A39" s="211" t="s">
        <v>677</v>
      </c>
      <c r="B39" s="211" t="s">
        <v>702</v>
      </c>
      <c r="C39" s="212">
        <v>26.8</v>
      </c>
      <c r="D39" s="216">
        <v>79.3</v>
      </c>
      <c r="I39">
        <f t="shared" si="0"/>
        <v>17.132947168165209</v>
      </c>
    </row>
    <row r="40" spans="1:9">
      <c r="A40" s="211" t="s">
        <v>678</v>
      </c>
      <c r="B40" s="211" t="s">
        <v>702</v>
      </c>
      <c r="C40" s="214">
        <v>27</v>
      </c>
      <c r="D40" s="216">
        <v>69.5</v>
      </c>
      <c r="I40">
        <f t="shared" si="0"/>
        <v>7.1294182422135854</v>
      </c>
    </row>
    <row r="41" spans="1:9">
      <c r="A41" s="211" t="s">
        <v>679</v>
      </c>
      <c r="B41" s="211" t="s">
        <v>702</v>
      </c>
      <c r="C41" s="212">
        <v>25.3</v>
      </c>
      <c r="D41" s="216">
        <v>69.5</v>
      </c>
      <c r="I41">
        <f t="shared" si="0"/>
        <v>8.8594141128024297</v>
      </c>
    </row>
    <row r="42" spans="1:9">
      <c r="A42" s="211" t="s">
        <v>680</v>
      </c>
      <c r="B42" s="211" t="s">
        <v>702</v>
      </c>
      <c r="C42" s="212">
        <v>27.9</v>
      </c>
      <c r="D42" s="216">
        <v>62.1</v>
      </c>
      <c r="I42">
        <f t="shared" si="0"/>
        <v>-1.1864619245687393</v>
      </c>
    </row>
    <row r="43" spans="1:9">
      <c r="A43" s="211" t="s">
        <v>681</v>
      </c>
      <c r="B43" s="211" t="s">
        <v>702</v>
      </c>
      <c r="C43" s="212">
        <v>27.3</v>
      </c>
      <c r="D43" s="216">
        <v>54.900000000000006</v>
      </c>
      <c r="I43">
        <f t="shared" si="0"/>
        <v>-7.7758751467138509</v>
      </c>
    </row>
    <row r="44" spans="1:9">
      <c r="A44" s="211" t="s">
        <v>682</v>
      </c>
      <c r="B44" s="211" t="s">
        <v>703</v>
      </c>
      <c r="C44" s="212">
        <v>17.399999999999999</v>
      </c>
      <c r="D44" s="216">
        <v>32.9</v>
      </c>
      <c r="I44">
        <f t="shared" si="0"/>
        <v>-19.701193312108241</v>
      </c>
    </row>
    <row r="45" spans="1:9">
      <c r="A45" s="211" t="s">
        <v>683</v>
      </c>
      <c r="B45" s="211" t="s">
        <v>704</v>
      </c>
      <c r="C45" s="214">
        <v>12</v>
      </c>
      <c r="D45" s="216">
        <v>25.6</v>
      </c>
      <c r="I45">
        <f t="shared" si="0"/>
        <v>-21.505912311414267</v>
      </c>
    </row>
    <row r="46" spans="1:9">
      <c r="A46" s="211" t="s">
        <v>684</v>
      </c>
      <c r="B46" s="211" t="s">
        <v>702</v>
      </c>
      <c r="C46" s="212">
        <v>17.600000000000001</v>
      </c>
      <c r="D46" s="216">
        <v>20.7</v>
      </c>
      <c r="I46">
        <f t="shared" si="0"/>
        <v>-32.104722238059871</v>
      </c>
    </row>
    <row r="47" spans="1:9">
      <c r="A47" s="211" t="s">
        <v>685</v>
      </c>
      <c r="B47" s="211" t="s">
        <v>705</v>
      </c>
      <c r="C47" s="212">
        <v>15.6</v>
      </c>
      <c r="D47" s="216">
        <v>31.7</v>
      </c>
      <c r="I47">
        <f t="shared" si="0"/>
        <v>-19.069432978543585</v>
      </c>
    </row>
    <row r="48" spans="1:9">
      <c r="A48" s="211" t="s">
        <v>686</v>
      </c>
      <c r="B48" s="211" t="s">
        <v>706</v>
      </c>
      <c r="C48" s="212">
        <v>16.100000000000001</v>
      </c>
      <c r="D48" s="216">
        <v>42.699999999999996</v>
      </c>
      <c r="I48">
        <f t="shared" si="0"/>
        <v>-8.5782552934226608</v>
      </c>
    </row>
    <row r="49" spans="1:9">
      <c r="A49" s="211" t="s">
        <v>687</v>
      </c>
      <c r="B49" s="211" t="s">
        <v>707</v>
      </c>
      <c r="C49" s="212">
        <v>27.4</v>
      </c>
      <c r="D49" s="216">
        <v>45.1</v>
      </c>
      <c r="I49">
        <f t="shared" si="0"/>
        <v>-17.677639609689667</v>
      </c>
    </row>
    <row r="50" spans="1:9">
      <c r="A50" s="211" t="s">
        <v>688</v>
      </c>
      <c r="B50" s="211" t="s">
        <v>708</v>
      </c>
      <c r="C50" s="212">
        <v>26.1</v>
      </c>
      <c r="D50" s="216">
        <v>73.2</v>
      </c>
      <c r="I50">
        <f t="shared" si="0"/>
        <v>11.745298408995914</v>
      </c>
    </row>
    <row r="51" spans="1:9">
      <c r="A51" s="211" t="s">
        <v>689</v>
      </c>
      <c r="B51" s="211" t="s">
        <v>707</v>
      </c>
      <c r="C51" s="214">
        <v>25</v>
      </c>
      <c r="D51" s="216">
        <v>58.3</v>
      </c>
      <c r="I51">
        <f t="shared" si="0"/>
        <v>-2.035292498270131</v>
      </c>
    </row>
    <row r="52" spans="1:9">
      <c r="A52" s="211" t="s">
        <v>690</v>
      </c>
      <c r="B52" s="211" t="s">
        <v>707</v>
      </c>
      <c r="C52" s="212">
        <v>30.3</v>
      </c>
      <c r="D52" s="216">
        <v>40.200000000000003</v>
      </c>
      <c r="I52">
        <f t="shared" si="0"/>
        <v>-25.528809035988285</v>
      </c>
    </row>
    <row r="53" spans="1:9">
      <c r="A53" s="211" t="s">
        <v>691</v>
      </c>
      <c r="B53" s="211" t="s">
        <v>707</v>
      </c>
      <c r="C53" s="212">
        <v>28.9</v>
      </c>
      <c r="D53" s="216">
        <v>52.400000000000006</v>
      </c>
      <c r="I53">
        <f t="shared" si="0"/>
        <v>-11.90410655432688</v>
      </c>
    </row>
    <row r="54" spans="1:9">
      <c r="A54" s="211" t="s">
        <v>692</v>
      </c>
      <c r="B54" s="211" t="s">
        <v>707</v>
      </c>
      <c r="C54" s="212">
        <v>25.7</v>
      </c>
      <c r="D54" s="216">
        <v>57.3</v>
      </c>
      <c r="I54">
        <f t="shared" si="0"/>
        <v>-3.7476437391008304</v>
      </c>
    </row>
    <row r="55" spans="1:9">
      <c r="A55" s="211" t="s">
        <v>693</v>
      </c>
      <c r="B55" s="211" t="s">
        <v>707</v>
      </c>
      <c r="C55" s="212">
        <v>24.4</v>
      </c>
      <c r="D55" s="216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40625" defaultRowHeight="15"/>
  <cols>
    <col min="1" max="1" width="13.42578125" customWidth="1"/>
    <col min="2" max="2" width="18.140625" style="4" bestFit="1" customWidth="1"/>
    <col min="3" max="3" width="13.42578125" style="4" customWidth="1"/>
    <col min="4" max="4" width="3.425781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256" t="s">
        <v>95</v>
      </c>
      <c r="C1" s="256"/>
      <c r="E1" s="256" t="s">
        <v>94</v>
      </c>
      <c r="F1" s="256"/>
      <c r="G1" s="3"/>
      <c r="H1" s="3"/>
      <c r="I1" s="166" t="s">
        <v>193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525</v>
      </c>
      <c r="F2" s="4" t="s">
        <v>264</v>
      </c>
      <c r="G2" s="4"/>
      <c r="H2" s="3" t="s">
        <v>523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100</v>
      </c>
      <c r="K3" s="3" t="s">
        <v>103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84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718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524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B8" sqref="B8"/>
    </sheetView>
  </sheetViews>
  <sheetFormatPr defaultRowHeight="15"/>
  <cols>
    <col min="2" max="2" width="45.42578125" customWidth="1"/>
    <col min="5" max="5" width="34.42578125" customWidth="1"/>
  </cols>
  <sheetData>
    <row r="1" spans="1:5">
      <c r="B1" s="1" t="s">
        <v>709</v>
      </c>
      <c r="C1" s="212"/>
      <c r="D1" s="212"/>
      <c r="E1" s="158"/>
    </row>
    <row r="2" spans="1:5">
      <c r="B2" s="1"/>
      <c r="E2" s="218" t="s">
        <v>715</v>
      </c>
    </row>
    <row r="3" spans="1:5">
      <c r="C3" s="3" t="s">
        <v>720</v>
      </c>
      <c r="D3" s="3" t="s">
        <v>721</v>
      </c>
      <c r="E3" s="218" t="s">
        <v>710</v>
      </c>
    </row>
    <row r="4" spans="1:5">
      <c r="A4" s="210" t="s">
        <v>642</v>
      </c>
      <c r="B4" s="210" t="s">
        <v>694</v>
      </c>
      <c r="C4" s="213" t="s">
        <v>640</v>
      </c>
      <c r="D4" s="210" t="s">
        <v>719</v>
      </c>
      <c r="E4" s="215" t="s">
        <v>641</v>
      </c>
    </row>
    <row r="5" spans="1:5">
      <c r="A5" s="211" t="s">
        <v>643</v>
      </c>
      <c r="B5" s="211" t="s">
        <v>695</v>
      </c>
      <c r="C5" s="214">
        <v>30</v>
      </c>
      <c r="D5">
        <v>106.4</v>
      </c>
      <c r="E5" s="216">
        <v>36.6</v>
      </c>
    </row>
    <row r="6" spans="1:5">
      <c r="A6" s="211" t="s">
        <v>644</v>
      </c>
      <c r="B6" s="211" t="s">
        <v>695</v>
      </c>
      <c r="C6" s="212">
        <v>27.7</v>
      </c>
      <c r="D6">
        <v>108</v>
      </c>
      <c r="E6" s="216">
        <v>48.8</v>
      </c>
    </row>
    <row r="7" spans="1:5">
      <c r="A7" s="211" t="s">
        <v>645</v>
      </c>
      <c r="B7" s="211" t="s">
        <v>695</v>
      </c>
      <c r="C7" s="212">
        <v>26.2</v>
      </c>
      <c r="D7">
        <v>104.7</v>
      </c>
      <c r="E7" s="216">
        <v>64.600000000000009</v>
      </c>
    </row>
    <row r="8" spans="1:5">
      <c r="A8" s="211" t="s">
        <v>646</v>
      </c>
      <c r="B8" s="211" t="s">
        <v>695</v>
      </c>
      <c r="C8" s="212">
        <v>25.8</v>
      </c>
      <c r="D8">
        <v>106.1</v>
      </c>
      <c r="E8" s="216">
        <v>54.900000000000006</v>
      </c>
    </row>
    <row r="9" spans="1:5">
      <c r="A9" s="211" t="s">
        <v>647</v>
      </c>
      <c r="B9" s="211" t="s">
        <v>695</v>
      </c>
      <c r="C9" s="212">
        <v>23.8</v>
      </c>
      <c r="D9">
        <v>105.9</v>
      </c>
      <c r="E9" s="216">
        <v>57.3</v>
      </c>
    </row>
    <row r="10" spans="1:5">
      <c r="A10" s="211" t="s">
        <v>648</v>
      </c>
      <c r="B10" s="211" t="s">
        <v>695</v>
      </c>
      <c r="C10" s="212">
        <v>24.8</v>
      </c>
      <c r="D10">
        <v>104.1</v>
      </c>
      <c r="E10" s="216">
        <v>73.2</v>
      </c>
    </row>
    <row r="11" spans="1:5">
      <c r="A11" s="211" t="s">
        <v>649</v>
      </c>
      <c r="B11" s="211" t="s">
        <v>695</v>
      </c>
      <c r="C11" s="212">
        <v>26.2</v>
      </c>
      <c r="D11">
        <v>102.7</v>
      </c>
      <c r="E11" s="216">
        <v>65.900000000000006</v>
      </c>
    </row>
    <row r="12" spans="1:5">
      <c r="A12" s="211" t="s">
        <v>650</v>
      </c>
      <c r="B12" s="211" t="s">
        <v>695</v>
      </c>
      <c r="C12" s="212">
        <v>23.9</v>
      </c>
      <c r="D12">
        <v>103.1</v>
      </c>
      <c r="E12" s="216">
        <v>69.5</v>
      </c>
    </row>
    <row r="13" spans="1:5">
      <c r="A13" s="211" t="s">
        <v>651</v>
      </c>
      <c r="B13" s="211" t="s">
        <v>695</v>
      </c>
      <c r="C13" s="212">
        <v>21.8</v>
      </c>
      <c r="D13">
        <v>103.8</v>
      </c>
      <c r="E13" s="216">
        <v>70.7</v>
      </c>
    </row>
    <row r="14" spans="1:5">
      <c r="A14" s="211" t="s">
        <v>652</v>
      </c>
      <c r="B14" s="211" t="s">
        <v>695</v>
      </c>
      <c r="C14" s="212">
        <v>21.5</v>
      </c>
      <c r="D14">
        <v>103.7</v>
      </c>
      <c r="E14" s="216">
        <v>65.900000000000006</v>
      </c>
    </row>
    <row r="15" spans="1:5">
      <c r="A15" s="211" t="s">
        <v>653</v>
      </c>
      <c r="B15" s="211" t="s">
        <v>695</v>
      </c>
      <c r="C15" s="214">
        <v>22</v>
      </c>
      <c r="D15">
        <v>103.2</v>
      </c>
      <c r="E15" s="216">
        <v>75.599999999999994</v>
      </c>
    </row>
    <row r="16" spans="1:5">
      <c r="A16" s="211" t="s">
        <v>654</v>
      </c>
      <c r="B16" s="211" t="s">
        <v>695</v>
      </c>
      <c r="C16" s="212">
        <v>23.4</v>
      </c>
      <c r="D16">
        <v>102.7</v>
      </c>
      <c r="E16" s="216">
        <v>75.599999999999994</v>
      </c>
    </row>
    <row r="17" spans="1:5">
      <c r="A17" s="211" t="s">
        <v>655</v>
      </c>
      <c r="B17" s="211" t="s">
        <v>696</v>
      </c>
      <c r="C17" s="212">
        <v>23.9</v>
      </c>
      <c r="D17">
        <v>101.6</v>
      </c>
      <c r="E17" s="216">
        <v>79.3</v>
      </c>
    </row>
    <row r="18" spans="1:5">
      <c r="A18" s="211" t="s">
        <v>656</v>
      </c>
      <c r="B18" s="211" t="s">
        <v>696</v>
      </c>
      <c r="C18" s="212">
        <v>19.600000000000001</v>
      </c>
      <c r="D18">
        <v>99.1</v>
      </c>
      <c r="E18" s="216">
        <v>75.599999999999994</v>
      </c>
    </row>
    <row r="19" spans="1:5">
      <c r="A19" s="211" t="s">
        <v>657</v>
      </c>
      <c r="B19" s="211" t="s">
        <v>696</v>
      </c>
      <c r="C19" s="212">
        <v>22.5</v>
      </c>
      <c r="D19">
        <v>100.1</v>
      </c>
      <c r="E19" s="216">
        <v>69.5</v>
      </c>
    </row>
    <row r="20" spans="1:5">
      <c r="A20" s="211" t="s">
        <v>658</v>
      </c>
      <c r="B20" s="211" t="s">
        <v>696</v>
      </c>
      <c r="C20" s="212">
        <v>22.3</v>
      </c>
      <c r="D20">
        <v>96.3</v>
      </c>
      <c r="E20" s="216">
        <v>76.8</v>
      </c>
    </row>
    <row r="21" spans="1:5">
      <c r="A21" s="211" t="s">
        <v>659</v>
      </c>
      <c r="B21" s="211" t="s">
        <v>696</v>
      </c>
      <c r="C21" s="212">
        <v>19.399999999999999</v>
      </c>
      <c r="D21">
        <v>94.1</v>
      </c>
      <c r="E21" s="216">
        <v>70.7</v>
      </c>
    </row>
    <row r="22" spans="1:5">
      <c r="A22" s="211" t="s">
        <v>660</v>
      </c>
      <c r="B22" s="211" t="s">
        <v>697</v>
      </c>
      <c r="C22" s="212">
        <v>19.899999999999999</v>
      </c>
      <c r="D22">
        <v>92.5</v>
      </c>
      <c r="E22" s="216">
        <v>52.400000000000006</v>
      </c>
    </row>
    <row r="23" spans="1:5">
      <c r="A23" s="211" t="s">
        <v>661</v>
      </c>
      <c r="B23" s="211" t="s">
        <v>698</v>
      </c>
      <c r="C23" s="212">
        <v>15.1</v>
      </c>
      <c r="D23">
        <v>96.2</v>
      </c>
      <c r="E23" s="216">
        <v>47.599999999999994</v>
      </c>
    </row>
    <row r="24" spans="1:5">
      <c r="A24" s="211" t="s">
        <v>662</v>
      </c>
      <c r="B24" s="211" t="s">
        <v>699</v>
      </c>
      <c r="C24" s="212">
        <v>14.2</v>
      </c>
      <c r="D24">
        <v>95.5</v>
      </c>
      <c r="E24" s="216">
        <v>40.200000000000003</v>
      </c>
    </row>
    <row r="25" spans="1:5">
      <c r="A25" s="211" t="s">
        <v>663</v>
      </c>
      <c r="B25" s="211" t="s">
        <v>700</v>
      </c>
      <c r="C25" s="212">
        <v>21.7</v>
      </c>
      <c r="D25">
        <v>95.2</v>
      </c>
      <c r="E25" s="216">
        <v>58.5</v>
      </c>
    </row>
    <row r="26" spans="1:5">
      <c r="A26" s="211" t="s">
        <v>664</v>
      </c>
      <c r="B26" s="211" t="s">
        <v>700</v>
      </c>
      <c r="C26" s="212">
        <v>21.2</v>
      </c>
      <c r="D26">
        <v>92.4</v>
      </c>
      <c r="E26" s="216">
        <v>64.600000000000009</v>
      </c>
    </row>
    <row r="27" spans="1:5">
      <c r="A27" s="211" t="s">
        <v>665</v>
      </c>
      <c r="B27" s="211" t="s">
        <v>701</v>
      </c>
      <c r="C27" s="212">
        <v>26.2</v>
      </c>
      <c r="D27">
        <v>91.1</v>
      </c>
      <c r="E27" s="216">
        <v>68.300000000000011</v>
      </c>
    </row>
    <row r="28" spans="1:5">
      <c r="A28" s="211" t="s">
        <v>666</v>
      </c>
      <c r="B28" s="211" t="s">
        <v>701</v>
      </c>
      <c r="C28" s="212">
        <v>28.3</v>
      </c>
      <c r="D28">
        <v>93.6</v>
      </c>
      <c r="E28" s="216">
        <v>74.400000000000006</v>
      </c>
    </row>
    <row r="29" spans="1:5">
      <c r="A29" s="211" t="s">
        <v>667</v>
      </c>
      <c r="B29" s="211" t="s">
        <v>701</v>
      </c>
      <c r="C29" s="212">
        <v>26.3</v>
      </c>
      <c r="D29">
        <v>91.6</v>
      </c>
      <c r="E29" s="216">
        <v>62</v>
      </c>
    </row>
    <row r="30" spans="1:5">
      <c r="A30" s="211" t="s">
        <v>668</v>
      </c>
      <c r="B30" s="211" t="s">
        <v>701</v>
      </c>
      <c r="C30" s="212">
        <v>29.7</v>
      </c>
      <c r="D30">
        <v>93.3</v>
      </c>
      <c r="E30" s="216">
        <v>81.699999999999989</v>
      </c>
    </row>
    <row r="31" spans="1:5">
      <c r="A31" s="211" t="s">
        <v>669</v>
      </c>
      <c r="B31" s="211" t="s">
        <v>701</v>
      </c>
      <c r="C31" s="212">
        <v>28.7</v>
      </c>
      <c r="D31">
        <v>91.7</v>
      </c>
      <c r="E31" s="216">
        <v>68.300000000000011</v>
      </c>
    </row>
    <row r="32" spans="1:5">
      <c r="A32" s="211" t="s">
        <v>670</v>
      </c>
      <c r="B32" s="211" t="s">
        <v>701</v>
      </c>
      <c r="C32" s="212">
        <v>27.2</v>
      </c>
      <c r="D32">
        <v>92.1</v>
      </c>
      <c r="E32" s="216">
        <v>70.7</v>
      </c>
    </row>
    <row r="33" spans="1:5">
      <c r="A33" s="211" t="s">
        <v>671</v>
      </c>
      <c r="B33" s="211" t="s">
        <v>702</v>
      </c>
      <c r="C33" s="214">
        <v>30</v>
      </c>
      <c r="D33">
        <v>92.5</v>
      </c>
      <c r="E33" s="216">
        <v>61</v>
      </c>
    </row>
    <row r="34" spans="1:5">
      <c r="A34" s="211" t="s">
        <v>672</v>
      </c>
      <c r="B34" s="211" t="s">
        <v>702</v>
      </c>
      <c r="C34" s="214">
        <v>24</v>
      </c>
      <c r="D34">
        <v>92.3</v>
      </c>
      <c r="E34" s="216">
        <v>68.300000000000011</v>
      </c>
    </row>
    <row r="35" spans="1:5">
      <c r="A35" s="211" t="s">
        <v>673</v>
      </c>
      <c r="B35" s="211" t="s">
        <v>702</v>
      </c>
      <c r="C35" s="212">
        <v>27.6</v>
      </c>
      <c r="D35">
        <v>90.8</v>
      </c>
      <c r="E35" s="216">
        <v>41.5</v>
      </c>
    </row>
    <row r="36" spans="1:5">
      <c r="A36" s="211" t="s">
        <v>674</v>
      </c>
      <c r="B36" s="211" t="s">
        <v>702</v>
      </c>
      <c r="C36" s="212">
        <v>35.4</v>
      </c>
      <c r="D36">
        <v>90.9</v>
      </c>
      <c r="E36" s="216">
        <v>54.900000000000006</v>
      </c>
    </row>
    <row r="37" spans="1:5">
      <c r="A37" s="211" t="s">
        <v>675</v>
      </c>
      <c r="B37" s="211" t="s">
        <v>702</v>
      </c>
      <c r="C37" s="212">
        <v>31.6</v>
      </c>
      <c r="D37">
        <v>93.5</v>
      </c>
      <c r="E37" s="216">
        <v>51.2</v>
      </c>
    </row>
    <row r="38" spans="1:5">
      <c r="A38" s="211" t="s">
        <v>676</v>
      </c>
      <c r="B38" s="211" t="s">
        <v>702</v>
      </c>
      <c r="C38" s="212">
        <v>28.3</v>
      </c>
      <c r="D38">
        <v>95.6</v>
      </c>
      <c r="E38" s="216">
        <v>69.5</v>
      </c>
    </row>
    <row r="39" spans="1:5">
      <c r="A39" s="211" t="s">
        <v>677</v>
      </c>
      <c r="B39" s="211" t="s">
        <v>702</v>
      </c>
      <c r="C39" s="212">
        <v>26.8</v>
      </c>
      <c r="D39">
        <v>94.3</v>
      </c>
      <c r="E39" s="216">
        <v>79.3</v>
      </c>
    </row>
    <row r="40" spans="1:5">
      <c r="A40" s="211" t="s">
        <v>678</v>
      </c>
      <c r="B40" s="211" t="s">
        <v>702</v>
      </c>
      <c r="C40" s="214">
        <v>27</v>
      </c>
      <c r="D40">
        <v>92.8</v>
      </c>
      <c r="E40" s="216">
        <v>69.5</v>
      </c>
    </row>
    <row r="41" spans="1:5">
      <c r="A41" s="211" t="s">
        <v>679</v>
      </c>
      <c r="B41" s="211" t="s">
        <v>702</v>
      </c>
      <c r="C41" s="212">
        <v>25.3</v>
      </c>
      <c r="D41">
        <v>90.7</v>
      </c>
      <c r="E41" s="216">
        <v>69.5</v>
      </c>
    </row>
    <row r="42" spans="1:5">
      <c r="A42" s="211" t="s">
        <v>680</v>
      </c>
      <c r="B42" s="211" t="s">
        <v>702</v>
      </c>
      <c r="C42" s="212">
        <v>27.9</v>
      </c>
      <c r="D42">
        <v>90.5</v>
      </c>
      <c r="E42" s="216">
        <v>62.1</v>
      </c>
    </row>
    <row r="43" spans="1:5">
      <c r="A43" s="211" t="s">
        <v>681</v>
      </c>
      <c r="B43" s="211" t="s">
        <v>702</v>
      </c>
      <c r="C43" s="212">
        <v>27.3</v>
      </c>
      <c r="D43">
        <v>94.4</v>
      </c>
      <c r="E43" s="216">
        <v>54.900000000000006</v>
      </c>
    </row>
    <row r="44" spans="1:5">
      <c r="A44" s="211" t="s">
        <v>682</v>
      </c>
      <c r="B44" s="211" t="s">
        <v>703</v>
      </c>
      <c r="C44" s="212">
        <v>17.399999999999999</v>
      </c>
      <c r="D44">
        <v>98.7</v>
      </c>
      <c r="E44" s="216">
        <v>32.9</v>
      </c>
    </row>
    <row r="45" spans="1:5">
      <c r="A45" s="211" t="s">
        <v>683</v>
      </c>
      <c r="B45" s="211" t="s">
        <v>704</v>
      </c>
      <c r="C45" s="214">
        <v>12</v>
      </c>
      <c r="D45">
        <v>94</v>
      </c>
      <c r="E45" s="216">
        <v>25.6</v>
      </c>
    </row>
    <row r="46" spans="1:5">
      <c r="A46" s="211" t="s">
        <v>684</v>
      </c>
      <c r="B46" s="211" t="s">
        <v>702</v>
      </c>
      <c r="C46" s="212">
        <v>17.600000000000001</v>
      </c>
      <c r="D46">
        <v>95.6</v>
      </c>
      <c r="E46" s="216">
        <v>20.7</v>
      </c>
    </row>
    <row r="47" spans="1:5">
      <c r="A47" s="211" t="s">
        <v>685</v>
      </c>
      <c r="B47" s="211" t="s">
        <v>705</v>
      </c>
      <c r="C47" s="212">
        <v>15.6</v>
      </c>
      <c r="D47">
        <v>98.5</v>
      </c>
      <c r="E47" s="216">
        <v>31.7</v>
      </c>
    </row>
    <row r="48" spans="1:5">
      <c r="A48" s="211" t="s">
        <v>686</v>
      </c>
      <c r="B48" s="211" t="s">
        <v>706</v>
      </c>
      <c r="C48" s="212">
        <v>16.100000000000001</v>
      </c>
      <c r="D48">
        <v>100.3</v>
      </c>
      <c r="E48" s="216">
        <v>42.699999999999996</v>
      </c>
    </row>
    <row r="49" spans="1:5">
      <c r="A49" s="211" t="s">
        <v>687</v>
      </c>
      <c r="B49" s="211" t="s">
        <v>707</v>
      </c>
      <c r="C49" s="212">
        <v>27.4</v>
      </c>
      <c r="D49">
        <v>103.2</v>
      </c>
      <c r="E49" s="216">
        <v>45.1</v>
      </c>
    </row>
    <row r="50" spans="1:5">
      <c r="A50" s="211" t="s">
        <v>688</v>
      </c>
      <c r="B50" s="211" t="s">
        <v>708</v>
      </c>
      <c r="C50" s="212">
        <v>26.1</v>
      </c>
      <c r="D50">
        <v>100.9</v>
      </c>
      <c r="E50" s="216">
        <v>73.2</v>
      </c>
    </row>
    <row r="51" spans="1:5">
      <c r="A51" s="211" t="s">
        <v>689</v>
      </c>
      <c r="B51" s="211" t="s">
        <v>707</v>
      </c>
      <c r="C51" s="214">
        <v>25</v>
      </c>
      <c r="D51">
        <v>98.7</v>
      </c>
      <c r="E51" s="216">
        <v>58.3</v>
      </c>
    </row>
    <row r="52" spans="1:5">
      <c r="A52" s="211" t="s">
        <v>690</v>
      </c>
      <c r="B52" s="211" t="s">
        <v>707</v>
      </c>
      <c r="C52" s="212">
        <v>30.3</v>
      </c>
      <c r="D52">
        <v>100.1</v>
      </c>
      <c r="E52" s="216">
        <v>40.200000000000003</v>
      </c>
    </row>
    <row r="53" spans="1:5">
      <c r="A53" s="211" t="s">
        <v>691</v>
      </c>
      <c r="B53" s="211" t="s">
        <v>707</v>
      </c>
      <c r="C53" s="212">
        <v>28.9</v>
      </c>
      <c r="D53">
        <v>101.3</v>
      </c>
      <c r="E53" s="216">
        <v>52.400000000000006</v>
      </c>
    </row>
    <row r="54" spans="1:5">
      <c r="A54" s="211" t="s">
        <v>692</v>
      </c>
      <c r="B54" s="211" t="s">
        <v>707</v>
      </c>
      <c r="C54" s="212">
        <v>25.7</v>
      </c>
      <c r="D54">
        <v>100.9</v>
      </c>
      <c r="E54" s="216">
        <v>57.3</v>
      </c>
    </row>
    <row r="55" spans="1:5">
      <c r="A55" s="211" t="s">
        <v>693</v>
      </c>
      <c r="B55" s="211" t="s">
        <v>707</v>
      </c>
      <c r="C55" s="212">
        <v>24.4</v>
      </c>
      <c r="D55">
        <v>97.6</v>
      </c>
      <c r="E55" s="216">
        <v>61.5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185</v>
      </c>
      <c r="D1" t="s">
        <v>186</v>
      </c>
      <c r="E1" t="s">
        <v>187</v>
      </c>
      <c r="F1" t="s">
        <v>188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189</v>
      </c>
      <c r="J3" t="s">
        <v>190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191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192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40625" defaultRowHeight="15"/>
  <cols>
    <col min="1" max="1" width="9.140625" style="20" customWidth="1"/>
    <col min="2" max="5" width="9.5703125" style="20" bestFit="1" customWidth="1"/>
    <col min="6" max="8" width="9.140625" style="20" customWidth="1"/>
    <col min="9" max="9" width="11.5703125" style="20" customWidth="1"/>
    <col min="10" max="15" width="9.140625" style="20" customWidth="1"/>
    <col min="16" max="16384" width="9.140625" style="20"/>
  </cols>
  <sheetData>
    <row r="1" spans="1:12">
      <c r="A1" s="31" t="s">
        <v>191</v>
      </c>
      <c r="B1" s="32"/>
      <c r="J1" s="31"/>
      <c r="K1" s="31"/>
      <c r="L1" s="31"/>
    </row>
    <row r="2" spans="1:12">
      <c r="B2" s="168" t="s">
        <v>530</v>
      </c>
      <c r="C2" s="168" t="s">
        <v>531</v>
      </c>
      <c r="D2" s="168" t="s">
        <v>532</v>
      </c>
    </row>
    <row r="3" spans="1:12">
      <c r="A3" s="168" t="s">
        <v>530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8" t="s">
        <v>531</v>
      </c>
      <c r="B4" s="51">
        <v>-0.02</v>
      </c>
      <c r="C4" s="51">
        <v>0.09</v>
      </c>
      <c r="D4" s="51">
        <v>0.04</v>
      </c>
      <c r="I4" s="33"/>
    </row>
    <row r="5" spans="1:12">
      <c r="A5" s="168" t="s">
        <v>532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8" t="s">
        <v>530</v>
      </c>
      <c r="C7" s="168" t="s">
        <v>531</v>
      </c>
      <c r="D7" s="168" t="s">
        <v>532</v>
      </c>
      <c r="E7" s="31" t="s">
        <v>193</v>
      </c>
      <c r="I7" s="33"/>
    </row>
    <row r="8" spans="1:12">
      <c r="A8" s="20" t="s">
        <v>37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194</v>
      </c>
      <c r="B11" s="37"/>
      <c r="I11" s="33"/>
    </row>
    <row r="12" spans="1:12" ht="15.75" customHeight="1">
      <c r="A12" s="38" t="s">
        <v>45</v>
      </c>
      <c r="B12" s="38" t="s">
        <v>195</v>
      </c>
      <c r="C12" s="38" t="s">
        <v>196</v>
      </c>
      <c r="D12" s="38" t="s">
        <v>197</v>
      </c>
      <c r="E12" s="38" t="s">
        <v>37</v>
      </c>
      <c r="F12" s="38" t="s">
        <v>198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199</v>
      </c>
    </row>
    <row r="26" spans="1:7" ht="15.75" customHeight="1">
      <c r="A26" s="38" t="s">
        <v>45</v>
      </c>
      <c r="B26" s="168" t="s">
        <v>530</v>
      </c>
      <c r="C26" s="168" t="s">
        <v>531</v>
      </c>
      <c r="D26" s="168" t="s">
        <v>532</v>
      </c>
      <c r="E26" s="38" t="s">
        <v>37</v>
      </c>
      <c r="F26" s="38" t="s">
        <v>198</v>
      </c>
      <c r="G26" s="38" t="s">
        <v>200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9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9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9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9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9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9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9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9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9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9">
        <v>0.27</v>
      </c>
    </row>
    <row r="38" spans="1:7">
      <c r="F38" s="20">
        <f>SUM(F27:F37)</f>
        <v>3.8686075399748545</v>
      </c>
    </row>
    <row r="40" spans="1:7" ht="21" customHeight="1">
      <c r="A40" s="36" t="s">
        <v>201</v>
      </c>
    </row>
    <row r="41" spans="1:7" ht="15.75" customHeight="1">
      <c r="A41" s="38" t="s">
        <v>45</v>
      </c>
      <c r="B41" s="168" t="s">
        <v>530</v>
      </c>
      <c r="C41" s="168" t="s">
        <v>531</v>
      </c>
      <c r="D41" s="168" t="s">
        <v>532</v>
      </c>
      <c r="E41" s="38" t="s">
        <v>37</v>
      </c>
      <c r="F41" s="38" t="s">
        <v>202</v>
      </c>
      <c r="G41" s="38" t="s">
        <v>203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85</v>
      </c>
      <c r="F44" s="20" t="s">
        <v>86</v>
      </c>
    </row>
    <row r="45" spans="1:7">
      <c r="D45" s="20" t="s">
        <v>204</v>
      </c>
      <c r="E45" s="20">
        <f>0</f>
        <v>0</v>
      </c>
      <c r="F45" s="39">
        <f>E8</f>
        <v>0.05</v>
      </c>
    </row>
    <row r="46" spans="1:7">
      <c r="D46" s="20" t="s">
        <v>205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206</v>
      </c>
      <c r="C3" t="s">
        <v>207</v>
      </c>
      <c r="D3" t="s">
        <v>208</v>
      </c>
      <c r="E3" t="s">
        <v>209</v>
      </c>
      <c r="F3" t="s">
        <v>193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210</v>
      </c>
    </row>
    <row r="7" spans="1:6">
      <c r="B7" t="s">
        <v>206</v>
      </c>
      <c r="C7" t="s">
        <v>207</v>
      </c>
      <c r="D7" t="s">
        <v>208</v>
      </c>
      <c r="E7" t="s">
        <v>209</v>
      </c>
    </row>
    <row r="8" spans="1:6">
      <c r="A8" t="s">
        <v>206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207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208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209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211</v>
      </c>
      <c r="B16">
        <f>SQRT(B15)</f>
        <v>0.28887580275679142</v>
      </c>
    </row>
    <row r="17" spans="1:3">
      <c r="A17" t="s">
        <v>203</v>
      </c>
      <c r="B17">
        <f>(B14-0.01)/B16</f>
        <v>0.66810867105858551</v>
      </c>
    </row>
    <row r="19" spans="1:3">
      <c r="B19" t="s">
        <v>212</v>
      </c>
    </row>
    <row r="20" spans="1:3">
      <c r="A20" t="s">
        <v>206</v>
      </c>
      <c r="B20">
        <f>B13</f>
        <v>1</v>
      </c>
      <c r="C20">
        <f>B20/(1+$C$13)</f>
        <v>0.49501147778198873</v>
      </c>
    </row>
    <row r="21" spans="1:3">
      <c r="A21" t="s">
        <v>213</v>
      </c>
      <c r="B21">
        <f>C13</f>
        <v>1.0201551779783511</v>
      </c>
      <c r="C21">
        <f>B21/(1+$C$13)</f>
        <v>0.50498852221801127</v>
      </c>
    </row>
    <row r="22" spans="1:3">
      <c r="A22" t="s">
        <v>214</v>
      </c>
      <c r="B22">
        <f>D13</f>
        <v>0.1386915190257931</v>
      </c>
      <c r="C22">
        <f>B22/(1+$C$13)</f>
        <v>6.8653893788786655E-2</v>
      </c>
    </row>
    <row r="23" spans="1:3">
      <c r="A23" t="s">
        <v>215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40625" defaultRowHeight="15"/>
  <cols>
    <col min="1" max="1" width="10.5703125" bestFit="1" customWidth="1"/>
    <col min="5" max="5" width="12" bestFit="1" customWidth="1"/>
    <col min="6" max="6" width="12.5703125" bestFit="1" customWidth="1"/>
    <col min="7" max="7" width="27.5703125" customWidth="1"/>
    <col min="8" max="8" width="12.5703125" bestFit="1" customWidth="1"/>
    <col min="9" max="9" width="21.42578125" customWidth="1"/>
    <col min="10" max="10" width="8" customWidth="1"/>
    <col min="12" max="12" width="8.42578125" customWidth="1"/>
    <col min="13" max="13" width="12.5703125" bestFit="1" customWidth="1"/>
    <col min="14" max="14" width="16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98</v>
      </c>
      <c r="B1" s="199">
        <v>2E-3</v>
      </c>
      <c r="F1" s="259" t="s">
        <v>94</v>
      </c>
      <c r="G1" s="258"/>
      <c r="H1" s="258"/>
      <c r="I1" s="258"/>
      <c r="J1" s="1"/>
      <c r="N1" s="54" t="s">
        <v>638</v>
      </c>
      <c r="P1" s="1"/>
      <c r="Q1" s="1"/>
    </row>
    <row r="2" spans="1:17">
      <c r="A2" s="1"/>
      <c r="B2" s="257"/>
      <c r="C2" s="258"/>
      <c r="D2" s="258"/>
      <c r="E2" s="3"/>
      <c r="F2" s="55"/>
      <c r="G2" s="54" t="s">
        <v>633</v>
      </c>
      <c r="H2" s="53"/>
      <c r="I2" s="54" t="s">
        <v>633</v>
      </c>
      <c r="J2" s="1"/>
      <c r="N2" s="54" t="s">
        <v>635</v>
      </c>
      <c r="P2" s="1"/>
      <c r="Q2" s="1"/>
    </row>
    <row r="3" spans="1:17">
      <c r="B3" s="257" t="s">
        <v>95</v>
      </c>
      <c r="C3" s="258"/>
      <c r="D3" s="258"/>
      <c r="E3" s="3"/>
      <c r="F3" s="55"/>
      <c r="G3" s="54" t="s">
        <v>216</v>
      </c>
      <c r="H3" s="54"/>
      <c r="I3" s="54" t="s">
        <v>217</v>
      </c>
      <c r="J3" s="3"/>
      <c r="N3" s="54" t="s">
        <v>637</v>
      </c>
      <c r="P3" s="3"/>
      <c r="Q3" s="3"/>
    </row>
    <row r="4" spans="1:17" ht="23.25">
      <c r="B4" s="1" t="s">
        <v>45</v>
      </c>
      <c r="C4" s="1" t="s">
        <v>216</v>
      </c>
      <c r="D4" s="1" t="s">
        <v>217</v>
      </c>
      <c r="E4" s="1"/>
      <c r="F4" s="56" t="s">
        <v>218</v>
      </c>
      <c r="G4" s="203" t="s">
        <v>219</v>
      </c>
      <c r="H4" s="56" t="s">
        <v>217</v>
      </c>
      <c r="I4" s="203" t="s">
        <v>220</v>
      </c>
      <c r="J4" s="28"/>
      <c r="N4" s="202" t="s">
        <v>636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9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60" t="s">
        <v>634</v>
      </c>
      <c r="L40" s="260"/>
      <c r="M40" s="260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45</v>
      </c>
      <c r="L41" s="205" t="s">
        <v>216</v>
      </c>
      <c r="M41" s="44" t="s">
        <v>217</v>
      </c>
    </row>
    <row r="42" spans="1:16">
      <c r="A42" s="44"/>
      <c r="B42" s="42" t="s">
        <v>45</v>
      </c>
      <c r="C42" s="42" t="s">
        <v>216</v>
      </c>
      <c r="D42" s="42" t="s">
        <v>217</v>
      </c>
      <c r="E42" s="1"/>
      <c r="F42" s="41" t="s">
        <v>221</v>
      </c>
      <c r="G42" s="45">
        <v>0</v>
      </c>
      <c r="H42" s="41" t="s">
        <v>221</v>
      </c>
      <c r="I42" s="45">
        <v>0</v>
      </c>
      <c r="J42" s="4"/>
      <c r="K42" s="206">
        <v>0.86031090364370344</v>
      </c>
      <c r="L42" s="206">
        <v>0</v>
      </c>
      <c r="M42" s="206">
        <v>0</v>
      </c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37</v>
      </c>
      <c r="G43" s="18">
        <f>AVERAGE(G5:G40)+B1</f>
        <v>1.5475000000000001E-2</v>
      </c>
      <c r="H43" s="3" t="s">
        <v>37</v>
      </c>
      <c r="I43" s="18">
        <f>AVERAGE(I5:I40)+B1</f>
        <v>1.5475000000000001E-2</v>
      </c>
      <c r="J43" s="6"/>
      <c r="L43" s="198"/>
      <c r="M43" s="3" t="s">
        <v>37</v>
      </c>
      <c r="N43" s="18">
        <f>AVERAGE(N5:N40)+B1</f>
        <v>1.3313311233886311E-2</v>
      </c>
      <c r="O43" s="1"/>
      <c r="P43" s="6"/>
    </row>
    <row r="44" spans="1:16">
      <c r="A44" s="47" t="s">
        <v>223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222</v>
      </c>
      <c r="G44" s="18">
        <f>AVERAGE(G5:G40)</f>
        <v>1.3475000000000001E-2</v>
      </c>
      <c r="H44" s="3" t="s">
        <v>222</v>
      </c>
      <c r="I44" s="18">
        <f>AVERAGE(I5:I40)</f>
        <v>1.3475000000000001E-2</v>
      </c>
      <c r="J44" s="6"/>
      <c r="K44" s="1"/>
      <c r="L44" s="200"/>
      <c r="M44" s="3" t="s">
        <v>222</v>
      </c>
      <c r="N44" s="18">
        <f>AVERAGE(N5:N40)</f>
        <v>1.1313311233886311E-2</v>
      </c>
      <c r="O44" s="1"/>
      <c r="P44" s="6"/>
    </row>
    <row r="45" spans="1:16">
      <c r="A45" s="44" t="s">
        <v>203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223</v>
      </c>
      <c r="G45" s="18">
        <f>STDEVP(G5:G40)</f>
        <v>4.731299078712127E-2</v>
      </c>
      <c r="H45" s="3" t="s">
        <v>76</v>
      </c>
      <c r="I45" s="18">
        <f>STDEVP(I5:I40)</f>
        <v>4.731299078712127E-2</v>
      </c>
      <c r="K45" s="1"/>
      <c r="L45" s="201"/>
      <c r="M45" s="3" t="s">
        <v>76</v>
      </c>
      <c r="N45" s="18">
        <f>STDEVP(N5:N40)</f>
        <v>4.0703881858154524E-2</v>
      </c>
      <c r="O45" s="1"/>
      <c r="P45" s="6"/>
    </row>
    <row r="46" spans="1:16">
      <c r="E46" s="6"/>
      <c r="F46" s="41" t="s">
        <v>203</v>
      </c>
      <c r="G46" s="153">
        <f>(G44)/G45</f>
        <v>0.28480550005027233</v>
      </c>
      <c r="H46" s="41" t="s">
        <v>203</v>
      </c>
      <c r="I46" s="153">
        <f>(I44)/I45</f>
        <v>0.28480550005027233</v>
      </c>
      <c r="J46" s="26"/>
      <c r="M46" s="41" t="s">
        <v>203</v>
      </c>
      <c r="N46" s="153">
        <f>(N44)/N45</f>
        <v>0.27794182563007386</v>
      </c>
      <c r="O46" s="1"/>
      <c r="P46" s="29"/>
    </row>
    <row r="47" spans="1:16">
      <c r="F47" s="58" t="s">
        <v>224</v>
      </c>
      <c r="G47" s="167">
        <f>INTERCEPT(F5:F40,G5:G40)</f>
        <v>9.1796413233198194E-3</v>
      </c>
      <c r="H47" s="57" t="s">
        <v>224</v>
      </c>
      <c r="I47" s="167">
        <f>INTERCEPT(H5:H40,I5:I40)</f>
        <v>-2.4008774237008947E-3</v>
      </c>
      <c r="J47" s="48"/>
      <c r="N47" s="194" t="s">
        <v>216</v>
      </c>
      <c r="O47" s="194" t="s">
        <v>217</v>
      </c>
      <c r="P47" s="59"/>
    </row>
    <row r="48" spans="1:16">
      <c r="F48" s="58" t="s">
        <v>225</v>
      </c>
      <c r="G48" s="196">
        <f>SLOPE(F5:F40,G5:G40)</f>
        <v>-0.68622455683264005</v>
      </c>
      <c r="H48" s="194" t="s">
        <v>225</v>
      </c>
      <c r="I48" s="197">
        <f>SLOPE(H5:H40,I5:I40)</f>
        <v>1.3174391088576127</v>
      </c>
      <c r="J48" s="26"/>
      <c r="M48" s="57" t="s">
        <v>224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5" t="s">
        <v>631</v>
      </c>
      <c r="G49" s="26">
        <f>(C43-G43)/(G44)</f>
        <v>-1.0049895792207795</v>
      </c>
      <c r="H49" s="195" t="s">
        <v>631</v>
      </c>
      <c r="I49" s="26">
        <f>($D$43-I43)/I44</f>
        <v>0.13926638724715693</v>
      </c>
      <c r="M49" s="194" t="s">
        <v>225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5" t="s">
        <v>632</v>
      </c>
      <c r="G50" s="26">
        <f>G48-1</f>
        <v>-1.6862245568326402</v>
      </c>
      <c r="H50" s="195" t="s">
        <v>632</v>
      </c>
      <c r="I50" s="26">
        <f>I48-1</f>
        <v>0.31743910885761273</v>
      </c>
      <c r="M50" s="195" t="s">
        <v>631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4"/>
      <c r="H51" s="204"/>
      <c r="I51" s="44"/>
      <c r="K51" s="44"/>
      <c r="L51" s="44"/>
      <c r="M51" s="207" t="s">
        <v>632</v>
      </c>
      <c r="N51" s="153">
        <f>N49-1</f>
        <v>-1.7976471690946267</v>
      </c>
      <c r="O51" s="208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570312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237</v>
      </c>
      <c r="G2" s="256" t="s">
        <v>41</v>
      </c>
      <c r="H2" s="254"/>
      <c r="I2" s="254"/>
    </row>
    <row r="3" spans="1:16">
      <c r="E3" s="4">
        <v>1.0000000000000001E-5</v>
      </c>
      <c r="H3" s="1" t="s">
        <v>72</v>
      </c>
      <c r="I3" s="1" t="s">
        <v>238</v>
      </c>
      <c r="L3" t="s">
        <v>239</v>
      </c>
    </row>
    <row r="4" spans="1:16">
      <c r="B4" s="256" t="s">
        <v>95</v>
      </c>
      <c r="C4" s="254"/>
      <c r="E4" s="1" t="s">
        <v>240</v>
      </c>
      <c r="G4" s="1" t="s">
        <v>241</v>
      </c>
      <c r="H4" s="1" t="s">
        <v>45</v>
      </c>
      <c r="I4" s="1" t="s">
        <v>45</v>
      </c>
      <c r="K4" s="1" t="s">
        <v>242</v>
      </c>
      <c r="L4" s="1" t="s">
        <v>242</v>
      </c>
      <c r="N4" s="1" t="s">
        <v>243</v>
      </c>
    </row>
    <row r="5" spans="1:16">
      <c r="A5" s="1" t="s">
        <v>244</v>
      </c>
      <c r="B5" s="1" t="s">
        <v>241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103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5"/>
  <cols>
    <col min="1" max="1" width="9.570312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244</v>
      </c>
      <c r="B1" s="7" t="s">
        <v>247</v>
      </c>
      <c r="C1" s="7" t="s">
        <v>248</v>
      </c>
    </row>
    <row r="2" spans="1:9">
      <c r="A2" s="164">
        <v>43860</v>
      </c>
      <c r="B2">
        <v>5.0843903694797889E-2</v>
      </c>
      <c r="C2">
        <v>1.9800000000000002E-2</v>
      </c>
      <c r="E2" t="s">
        <v>249</v>
      </c>
      <c r="F2" t="s">
        <v>250</v>
      </c>
      <c r="G2" s="4" t="s">
        <v>81</v>
      </c>
      <c r="H2" t="s">
        <v>251</v>
      </c>
      <c r="I2" t="s">
        <v>252</v>
      </c>
    </row>
    <row r="3" spans="1:9">
      <c r="A3" s="164">
        <v>43890</v>
      </c>
      <c r="B3">
        <v>3.7895950238514511E-2</v>
      </c>
      <c r="C3">
        <v>3.6099999999999903E-2</v>
      </c>
      <c r="D3" s="163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60">
        <f>(G3^2*F3)/E3</f>
        <v>0.48954056310066146</v>
      </c>
      <c r="I3" s="160">
        <f>1-H3</f>
        <v>0.51045943689933848</v>
      </c>
    </row>
    <row r="4" spans="1:9">
      <c r="A4" s="164">
        <v>43919</v>
      </c>
      <c r="B4">
        <v>-3.2152122497598683E-2</v>
      </c>
      <c r="C4">
        <v>2E-3</v>
      </c>
      <c r="D4" s="163"/>
    </row>
    <row r="5" spans="1:9">
      <c r="A5" s="164">
        <v>43950</v>
      </c>
      <c r="B5">
        <v>-7.9307355781586278E-2</v>
      </c>
      <c r="C5">
        <v>1.14E-2</v>
      </c>
      <c r="D5" s="163"/>
    </row>
    <row r="6" spans="1:9">
      <c r="A6" s="164">
        <v>43980</v>
      </c>
      <c r="B6">
        <v>-3.7663882554005039E-2</v>
      </c>
      <c r="C6">
        <v>1.12E-2</v>
      </c>
      <c r="D6" s="163"/>
    </row>
    <row r="7" spans="1:9">
      <c r="A7" s="164">
        <v>44011</v>
      </c>
      <c r="B7">
        <v>8.4383313704003895E-3</v>
      </c>
      <c r="C7">
        <v>8.3999999999999995E-3</v>
      </c>
      <c r="D7" s="163"/>
    </row>
    <row r="8" spans="1:9">
      <c r="A8" s="164">
        <v>44041</v>
      </c>
      <c r="B8">
        <v>-5.7677310033791798E-2</v>
      </c>
      <c r="C8">
        <v>1.9400000000000001E-2</v>
      </c>
      <c r="D8" s="163"/>
    </row>
    <row r="9" spans="1:9">
      <c r="A9" s="164">
        <v>44072</v>
      </c>
      <c r="B9">
        <v>-1.250289387472992E-3</v>
      </c>
      <c r="C9">
        <v>2.5000000000000001E-3</v>
      </c>
      <c r="D9" s="163"/>
    </row>
    <row r="10" spans="1:9">
      <c r="A10" s="164">
        <v>44103</v>
      </c>
      <c r="B10">
        <v>1.5634894260993029E-2</v>
      </c>
      <c r="C10">
        <v>2.5999999999999999E-2</v>
      </c>
      <c r="D10" s="163"/>
    </row>
    <row r="11" spans="1:9">
      <c r="A11" s="164">
        <v>44133</v>
      </c>
      <c r="B11">
        <v>6.2851017703577816E-2</v>
      </c>
      <c r="C11">
        <v>2.3400000000000001E-2</v>
      </c>
      <c r="D11" s="163"/>
    </row>
    <row r="12" spans="1:9">
      <c r="A12" s="164">
        <v>44164</v>
      </c>
      <c r="B12">
        <v>8.1864131934943022E-3</v>
      </c>
      <c r="C12">
        <v>3.2000000000000001E-2</v>
      </c>
      <c r="D12" s="163"/>
    </row>
    <row r="13" spans="1:9">
      <c r="A13" s="164">
        <v>44194</v>
      </c>
      <c r="B13">
        <v>-2.1634586666526758E-3</v>
      </c>
      <c r="C13">
        <v>1.15E-2</v>
      </c>
      <c r="D13" s="163"/>
    </row>
    <row r="14" spans="1:9">
      <c r="A14" s="164">
        <v>44225</v>
      </c>
      <c r="B14">
        <v>6.7950355972360377E-2</v>
      </c>
      <c r="C14">
        <v>5.6899999999999999E-2</v>
      </c>
      <c r="D14" s="163"/>
    </row>
    <row r="15" spans="1:9">
      <c r="A15" s="164">
        <v>44255</v>
      </c>
      <c r="B15">
        <v>-4.0626472410250108E-2</v>
      </c>
      <c r="C15">
        <v>-3.5400000000000001E-2</v>
      </c>
      <c r="D15" s="163"/>
    </row>
    <row r="16" spans="1:9">
      <c r="A16" s="164">
        <v>44283</v>
      </c>
      <c r="B16">
        <v>-1.511755089332196E-2</v>
      </c>
      <c r="C16">
        <v>-2.23E-2</v>
      </c>
      <c r="D16" s="163"/>
    </row>
    <row r="17" spans="1:4">
      <c r="A17" s="164">
        <v>44314</v>
      </c>
      <c r="B17">
        <v>-5.6176209421377958E-2</v>
      </c>
      <c r="C17">
        <v>4.3E-3</v>
      </c>
      <c r="D17" s="163"/>
    </row>
    <row r="18" spans="1:4">
      <c r="A18" s="164">
        <v>44344</v>
      </c>
      <c r="B18">
        <v>-1.5911531162417541E-2</v>
      </c>
      <c r="C18">
        <v>2.7900000000000001E-2</v>
      </c>
      <c r="D18" s="163"/>
    </row>
    <row r="19" spans="1:4">
      <c r="A19" s="164">
        <v>44375</v>
      </c>
      <c r="B19">
        <v>-1.0600635052978501E-2</v>
      </c>
      <c r="C19">
        <v>6.1999999999999998E-3</v>
      </c>
      <c r="D19" s="163"/>
    </row>
    <row r="20" spans="1:4">
      <c r="A20" s="164">
        <v>44405</v>
      </c>
      <c r="B20">
        <v>3.8913394252502682E-2</v>
      </c>
      <c r="C20">
        <v>3.3499999999999898E-2</v>
      </c>
      <c r="D20" s="163"/>
    </row>
    <row r="21" spans="1:4">
      <c r="A21" s="164">
        <v>44436</v>
      </c>
      <c r="B21">
        <v>2.3196412840078791E-2</v>
      </c>
      <c r="C21">
        <v>3.5999999999999997E-2</v>
      </c>
      <c r="D21" s="163"/>
    </row>
    <row r="22" spans="1:4">
      <c r="A22" s="164">
        <v>44467</v>
      </c>
      <c r="B22">
        <v>3.1710989315308302E-2</v>
      </c>
      <c r="C22">
        <v>2.0999999999999999E-3</v>
      </c>
      <c r="D22" s="163"/>
    </row>
    <row r="23" spans="1:4">
      <c r="A23" s="164">
        <v>44497</v>
      </c>
      <c r="B23">
        <v>-0.2357214774062989</v>
      </c>
      <c r="C23">
        <v>-7.4899999999999994E-2</v>
      </c>
      <c r="D23" s="163"/>
    </row>
    <row r="24" spans="1:4">
      <c r="A24" s="164">
        <v>44528</v>
      </c>
      <c r="B24">
        <v>8.989623584892964E-2</v>
      </c>
      <c r="C24">
        <v>1.8699999999999901E-2</v>
      </c>
      <c r="D24" s="163"/>
    </row>
    <row r="25" spans="1:4">
      <c r="A25" s="164">
        <v>44558</v>
      </c>
      <c r="B25">
        <v>-8.6153304283064516E-2</v>
      </c>
      <c r="C25">
        <v>-9.3600000000000003E-2</v>
      </c>
      <c r="D25" s="163"/>
    </row>
    <row r="26" spans="1:4">
      <c r="A26" s="164">
        <v>44589</v>
      </c>
      <c r="B26">
        <v>0.18369298535781869</v>
      </c>
      <c r="C26">
        <v>8.6199999999999999E-2</v>
      </c>
      <c r="D26" s="163"/>
    </row>
    <row r="27" spans="1:4">
      <c r="A27" s="164">
        <v>44620</v>
      </c>
      <c r="B27">
        <v>4.0922642823122482E-2</v>
      </c>
      <c r="C27">
        <v>3.5799999999999998E-2</v>
      </c>
      <c r="D27" s="163"/>
    </row>
    <row r="28" spans="1:4">
      <c r="A28" s="164">
        <v>44648</v>
      </c>
      <c r="B28">
        <v>2.2579257390105401E-2</v>
      </c>
      <c r="C28">
        <v>1.29E-2</v>
      </c>
      <c r="D28" s="163"/>
    </row>
    <row r="29" spans="1:4">
      <c r="A29" s="164">
        <v>44679</v>
      </c>
      <c r="B29">
        <v>-6.2542798365952694E-3</v>
      </c>
      <c r="C29">
        <v>4.1699999999999897E-2</v>
      </c>
      <c r="D29" s="163"/>
    </row>
    <row r="30" spans="1:4">
      <c r="A30" s="164">
        <v>44709</v>
      </c>
      <c r="B30">
        <v>-8.5101151780856879E-2</v>
      </c>
      <c r="C30">
        <v>-6.7299999999999999E-2</v>
      </c>
      <c r="D30" s="163"/>
    </row>
    <row r="31" spans="1:4">
      <c r="A31" s="164">
        <v>44740</v>
      </c>
      <c r="B31">
        <v>8.7034053125332092E-2</v>
      </c>
      <c r="C31">
        <v>7.1099999999999997E-2</v>
      </c>
      <c r="D31" s="163"/>
    </row>
    <row r="32" spans="1:4">
      <c r="A32" s="164">
        <v>44770</v>
      </c>
      <c r="B32">
        <v>7.6017440324677707E-2</v>
      </c>
      <c r="C32">
        <v>1.38E-2</v>
      </c>
      <c r="D32" s="163"/>
    </row>
    <row r="33" spans="1:4">
      <c r="A33" s="164">
        <v>44801</v>
      </c>
      <c r="B33">
        <v>-7.6065421717074755E-2</v>
      </c>
      <c r="C33">
        <v>-2.4199999999999999E-2</v>
      </c>
      <c r="D33" s="163"/>
    </row>
    <row r="34" spans="1:4">
      <c r="A34" s="164">
        <v>44832</v>
      </c>
      <c r="B34">
        <v>7.2895892696218753E-2</v>
      </c>
      <c r="C34">
        <v>1.61E-2</v>
      </c>
      <c r="D34" s="163"/>
    </row>
    <row r="35" spans="1:4">
      <c r="A35" s="164">
        <v>44862</v>
      </c>
      <c r="B35">
        <v>-8.0268660519472818E-2</v>
      </c>
      <c r="C35">
        <v>2.2100000000000002E-2</v>
      </c>
      <c r="D35" s="163"/>
    </row>
    <row r="36" spans="1:4">
      <c r="A36" s="164">
        <v>44893</v>
      </c>
      <c r="B36">
        <v>1.8246479147417342E-2</v>
      </c>
      <c r="C36">
        <v>3.9899999999999998E-2</v>
      </c>
      <c r="D36" s="163"/>
    </row>
    <row r="37" spans="1:4">
      <c r="A37" s="164">
        <v>44923</v>
      </c>
      <c r="B37">
        <v>-1.7876956249486861E-3</v>
      </c>
      <c r="C37">
        <v>2.9100000000000001E-2</v>
      </c>
      <c r="D37" s="163"/>
    </row>
    <row r="38" spans="1:4">
      <c r="A38" s="164">
        <v>44954</v>
      </c>
      <c r="B38">
        <v>7.353837027289048E-2</v>
      </c>
      <c r="C38">
        <v>1.9999999999999901E-4</v>
      </c>
      <c r="D38" s="163"/>
    </row>
    <row r="39" spans="1:4">
      <c r="A39" s="164">
        <v>44985</v>
      </c>
      <c r="B39">
        <v>-8.4428787635322008E-2</v>
      </c>
      <c r="C39">
        <v>-8.0100000000000005E-2</v>
      </c>
      <c r="D39" s="163"/>
    </row>
    <row r="40" spans="1:4">
      <c r="A40" s="164">
        <v>45013</v>
      </c>
      <c r="B40">
        <v>-0.14778281211724181</v>
      </c>
      <c r="C40">
        <v>-0.1326</v>
      </c>
      <c r="D40" s="163"/>
    </row>
    <row r="41" spans="1:4">
      <c r="A41" s="164">
        <v>45044</v>
      </c>
      <c r="B41">
        <v>0.13155101120000551</v>
      </c>
      <c r="C41">
        <v>0.13650000000000001</v>
      </c>
      <c r="D41" s="163"/>
    </row>
    <row r="42" spans="1:4">
      <c r="A42" s="164">
        <v>45074</v>
      </c>
      <c r="B42">
        <v>6.8144793969852737E-3</v>
      </c>
      <c r="C42">
        <v>5.5899999999999998E-2</v>
      </c>
      <c r="D42" s="163"/>
    </row>
    <row r="43" spans="1:4">
      <c r="A43" s="164">
        <v>45105</v>
      </c>
      <c r="B43">
        <v>-3.1714980993078012E-2</v>
      </c>
      <c r="C43">
        <v>2.47E-2</v>
      </c>
      <c r="D43" s="163"/>
    </row>
    <row r="44" spans="1:4">
      <c r="A44" s="164">
        <v>45135</v>
      </c>
      <c r="B44">
        <v>1.7035732531146749E-2</v>
      </c>
      <c r="C44">
        <v>5.7799999999999997E-2</v>
      </c>
      <c r="D44" s="163"/>
    </row>
    <row r="45" spans="1:4">
      <c r="A45" s="164">
        <v>45166</v>
      </c>
      <c r="B45">
        <v>1.7656448853695831E-2</v>
      </c>
      <c r="C45">
        <v>7.6399999999999996E-2</v>
      </c>
      <c r="D45" s="163"/>
    </row>
    <row r="46" spans="1:4">
      <c r="A46" s="164">
        <v>45197</v>
      </c>
      <c r="B46">
        <v>-1.2869741154377159E-2</v>
      </c>
      <c r="C46">
        <v>-3.6199999999999899E-2</v>
      </c>
      <c r="D46" s="163"/>
    </row>
    <row r="47" spans="1:4">
      <c r="A47" s="164">
        <v>45227</v>
      </c>
      <c r="B47">
        <v>-8.1299130349501675E-2</v>
      </c>
      <c r="C47">
        <v>-2.0899999999999998E-2</v>
      </c>
      <c r="D47" s="163"/>
    </row>
    <row r="48" spans="1:4">
      <c r="A48" s="164">
        <v>45258</v>
      </c>
      <c r="B48">
        <v>0.1223153204810587</v>
      </c>
      <c r="C48">
        <v>0.12479999999999999</v>
      </c>
      <c r="D48" s="163"/>
    </row>
    <row r="49" spans="1:4">
      <c r="A49" s="164">
        <v>45288</v>
      </c>
      <c r="B49">
        <v>1.7501782408830529E-2</v>
      </c>
      <c r="C49">
        <v>4.6399999999999997E-2</v>
      </c>
      <c r="D49" s="163"/>
    </row>
    <row r="50" spans="1:4">
      <c r="A50" s="164">
        <v>45319</v>
      </c>
      <c r="B50">
        <v>-5.4897313557708612E-2</v>
      </c>
      <c r="C50">
        <v>-2.9999999999999997E-4</v>
      </c>
      <c r="D50" s="163"/>
    </row>
    <row r="51" spans="1:4">
      <c r="A51" s="164">
        <v>45350</v>
      </c>
      <c r="B51">
        <v>1.1996391966177539E-2</v>
      </c>
      <c r="C51">
        <v>2.7799999999999998E-2</v>
      </c>
      <c r="D51" s="163"/>
    </row>
    <row r="52" spans="1:4">
      <c r="A52" s="164">
        <v>45379</v>
      </c>
      <c r="B52">
        <v>0.1203781510755961</v>
      </c>
      <c r="C52">
        <v>3.0800000000000001E-2</v>
      </c>
      <c r="D52" s="163"/>
    </row>
    <row r="53" spans="1:4">
      <c r="A53" s="164">
        <v>45410</v>
      </c>
      <c r="B53">
        <v>6.4112003736934015E-2</v>
      </c>
      <c r="C53">
        <v>4.9299999999999997E-2</v>
      </c>
      <c r="D53" s="163"/>
    </row>
    <row r="54" spans="1:4">
      <c r="A54" s="164">
        <v>45440</v>
      </c>
      <c r="B54">
        <v>2.406050237626231E-2</v>
      </c>
      <c r="C54">
        <v>2.8999999999999998E-3</v>
      </c>
      <c r="D54" s="163"/>
    </row>
    <row r="55" spans="1:4">
      <c r="A55" s="164">
        <v>45471</v>
      </c>
      <c r="B55">
        <v>1.974072745087279E-2</v>
      </c>
      <c r="C55">
        <v>2.75E-2</v>
      </c>
      <c r="D55" s="163"/>
    </row>
    <row r="56" spans="1:4">
      <c r="A56" s="164">
        <v>45501</v>
      </c>
      <c r="B56">
        <v>-3.9441009904520902E-2</v>
      </c>
      <c r="C56">
        <v>1.2699999999999999E-2</v>
      </c>
      <c r="D56" s="163"/>
    </row>
    <row r="57" spans="1:4">
      <c r="A57" s="164">
        <v>45532</v>
      </c>
      <c r="B57">
        <v>7.7179265708166639E-3</v>
      </c>
      <c r="C57">
        <v>2.8999999999999901E-2</v>
      </c>
      <c r="D57" s="163"/>
    </row>
    <row r="58" spans="1:4">
      <c r="A58" s="164">
        <v>45563</v>
      </c>
      <c r="B58">
        <v>-9.9484856940726708E-3</v>
      </c>
      <c r="C58">
        <v>-4.3700000000000003E-2</v>
      </c>
      <c r="D58" s="163"/>
    </row>
    <row r="59" spans="1:4">
      <c r="A59" s="164">
        <v>45593</v>
      </c>
      <c r="B59">
        <v>-9.7863096962537852E-2</v>
      </c>
      <c r="C59">
        <v>6.6500000000000004E-2</v>
      </c>
      <c r="D59" s="163"/>
    </row>
    <row r="60" spans="1:4">
      <c r="A60" s="164">
        <v>45624</v>
      </c>
      <c r="B60">
        <v>-8.7905842258344281E-3</v>
      </c>
      <c r="C60">
        <v>-1.55E-2</v>
      </c>
      <c r="D60" s="163"/>
    </row>
    <row r="61" spans="1:4">
      <c r="A61" s="164">
        <v>45654</v>
      </c>
      <c r="B61">
        <v>4.2824211999999999E-3</v>
      </c>
      <c r="C61" s="40">
        <v>2.3157238530000001E-3</v>
      </c>
      <c r="D61" s="16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5703125" bestFit="1" customWidth="1"/>
  </cols>
  <sheetData>
    <row r="1" spans="1:10">
      <c r="B1" s="256" t="s">
        <v>226</v>
      </c>
      <c r="C1" s="254"/>
      <c r="D1" s="254"/>
    </row>
    <row r="2" spans="1:10">
      <c r="B2" s="1" t="s">
        <v>216</v>
      </c>
      <c r="C2" s="1" t="s">
        <v>217</v>
      </c>
      <c r="D2" s="1" t="s">
        <v>639</v>
      </c>
    </row>
    <row r="3" spans="1:10">
      <c r="B3">
        <v>0.15</v>
      </c>
      <c r="C3">
        <v>0.26</v>
      </c>
      <c r="D3">
        <v>0.04</v>
      </c>
    </row>
    <row r="5" spans="1:10">
      <c r="B5" s="256" t="s">
        <v>191</v>
      </c>
      <c r="C5" s="254"/>
      <c r="D5" s="254"/>
    </row>
    <row r="6" spans="1:10">
      <c r="F6" s="256"/>
      <c r="G6" s="254"/>
      <c r="H6" s="254"/>
    </row>
    <row r="7" spans="1:10">
      <c r="B7" s="1" t="s">
        <v>216</v>
      </c>
      <c r="C7" s="1" t="s">
        <v>217</v>
      </c>
      <c r="D7" s="1" t="s">
        <v>639</v>
      </c>
      <c r="F7" s="1"/>
      <c r="G7" s="1"/>
      <c r="H7" s="1"/>
    </row>
    <row r="8" spans="1:10">
      <c r="A8" s="1" t="s">
        <v>216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217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639</v>
      </c>
      <c r="B10">
        <v>-1.1039999999999999E-2</v>
      </c>
      <c r="C10">
        <v>-8.9999999999999993E-3</v>
      </c>
      <c r="D10">
        <v>0.09</v>
      </c>
    </row>
    <row r="13" spans="1:10">
      <c r="B13" s="256" t="s">
        <v>230</v>
      </c>
      <c r="C13" s="254"/>
      <c r="D13" s="254"/>
      <c r="H13" s="256" t="s">
        <v>231</v>
      </c>
      <c r="I13" s="254"/>
      <c r="J13" s="254"/>
    </row>
    <row r="14" spans="1:10">
      <c r="B14" s="253" t="s">
        <v>232</v>
      </c>
      <c r="C14" s="254"/>
      <c r="D14" s="254"/>
      <c r="H14" s="253" t="s">
        <v>232</v>
      </c>
      <c r="I14" s="254"/>
      <c r="J14" s="254"/>
    </row>
    <row r="15" spans="1:10">
      <c r="B15" s="1" t="s">
        <v>216</v>
      </c>
      <c r="C15" s="1" t="s">
        <v>217</v>
      </c>
      <c r="D15" s="1" t="s">
        <v>639</v>
      </c>
      <c r="F15" s="1"/>
      <c r="H15" s="1" t="s">
        <v>216</v>
      </c>
      <c r="I15" s="1" t="s">
        <v>217</v>
      </c>
      <c r="J15" s="1" t="s">
        <v>639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233</v>
      </c>
      <c r="C18" t="s">
        <v>234</v>
      </c>
      <c r="D18" t="s">
        <v>37</v>
      </c>
      <c r="E18" t="s">
        <v>235</v>
      </c>
      <c r="H18" t="s">
        <v>233</v>
      </c>
      <c r="I18" t="s">
        <v>234</v>
      </c>
      <c r="J18" t="s">
        <v>37</v>
      </c>
      <c r="K18" t="s">
        <v>235</v>
      </c>
    </row>
    <row r="19" spans="1:13">
      <c r="A19" s="1" t="s">
        <v>216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216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223</v>
      </c>
    </row>
    <row r="20" spans="1:13">
      <c r="A20" s="1" t="s">
        <v>217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217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639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639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236</v>
      </c>
      <c r="B23">
        <f>SUMPRODUCT(MMULT(B16:D16,B8:D10),B16:D16)</f>
        <v>1.4152000000000001E-2</v>
      </c>
      <c r="G23" t="s">
        <v>236</v>
      </c>
      <c r="H23">
        <f>SUMPRODUCT(MMULT(H16:J16,B8:D10),H16:J16)</f>
        <v>1.8505869967445267E-2</v>
      </c>
    </row>
    <row r="24" spans="1:13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3">
      <c r="A25" t="s">
        <v>203</v>
      </c>
      <c r="B25">
        <f>(B24-0.01)/SQRT(B23)</f>
        <v>1.2693109813750256</v>
      </c>
      <c r="G25" t="s">
        <v>203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5703125" customWidth="1"/>
    <col min="10" max="10" width="15.85546875" customWidth="1"/>
    <col min="12" max="12" width="12.85546875" bestFit="1" customWidth="1"/>
    <col min="15" max="15" width="13.42578125" bestFit="1" customWidth="1"/>
    <col min="16" max="16" width="12.570312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56" t="s">
        <v>95</v>
      </c>
      <c r="C3" s="254"/>
      <c r="F3" s="256" t="s">
        <v>94</v>
      </c>
      <c r="G3" s="254"/>
    </row>
    <row r="4" spans="1:18">
      <c r="A4" t="s">
        <v>77</v>
      </c>
      <c r="B4" s="49" t="s">
        <v>96</v>
      </c>
      <c r="C4" s="49" t="s">
        <v>97</v>
      </c>
      <c r="D4" s="1" t="s">
        <v>98</v>
      </c>
      <c r="F4" s="49" t="s">
        <v>96</v>
      </c>
      <c r="G4" s="49" t="s">
        <v>97</v>
      </c>
    </row>
    <row r="5" spans="1:18">
      <c r="A5" t="s">
        <v>99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163</v>
      </c>
    </row>
    <row r="6" spans="1:18" ht="15.75" customHeight="1" thickBot="1">
      <c r="A6" t="s">
        <v>102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105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164</v>
      </c>
      <c r="K7" s="23"/>
    </row>
    <row r="8" spans="1:18">
      <c r="A8" t="s">
        <v>106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165</v>
      </c>
      <c r="K8">
        <v>0.699141442456367</v>
      </c>
    </row>
    <row r="9" spans="1:18">
      <c r="A9" t="s">
        <v>107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166</v>
      </c>
      <c r="K9">
        <v>0.48879875655996952</v>
      </c>
    </row>
    <row r="10" spans="1:18">
      <c r="A10" t="s">
        <v>108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167</v>
      </c>
      <c r="K10">
        <v>0.47983031369260049</v>
      </c>
    </row>
    <row r="11" spans="1:18">
      <c r="A11" t="s">
        <v>109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168</v>
      </c>
      <c r="K11">
        <v>5.082403213542204E-2</v>
      </c>
    </row>
    <row r="12" spans="1:18" ht="15.75" customHeight="1" thickBot="1">
      <c r="A12" t="s">
        <v>110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169</v>
      </c>
      <c r="K12" s="21">
        <v>59</v>
      </c>
    </row>
    <row r="13" spans="1:18">
      <c r="A13" t="s">
        <v>111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112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170</v>
      </c>
    </row>
    <row r="15" spans="1:18">
      <c r="A15" t="s">
        <v>113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171</v>
      </c>
      <c r="L15" s="22" t="s">
        <v>172</v>
      </c>
      <c r="M15" s="22" t="s">
        <v>173</v>
      </c>
      <c r="N15" s="22" t="s">
        <v>174</v>
      </c>
      <c r="O15" s="22" t="s">
        <v>175</v>
      </c>
    </row>
    <row r="16" spans="1:18">
      <c r="A16" t="s">
        <v>114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176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115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177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116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20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117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118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178</v>
      </c>
      <c r="L20" s="22" t="s">
        <v>168</v>
      </c>
      <c r="M20" s="22" t="s">
        <v>179</v>
      </c>
      <c r="N20" s="22" t="s">
        <v>180</v>
      </c>
      <c r="O20" s="22" t="s">
        <v>181</v>
      </c>
      <c r="P20" s="22" t="s">
        <v>182</v>
      </c>
      <c r="Q20" s="24"/>
      <c r="R20" s="24"/>
    </row>
    <row r="21" spans="1:18">
      <c r="A21" t="s">
        <v>119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183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120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184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121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122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123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124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125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126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127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128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129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130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131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132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133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134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135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136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137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138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139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140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141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142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143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144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145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146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147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148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149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150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151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152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153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154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155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156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157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158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159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160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161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42578125" bestFit="1" customWidth="1"/>
    <col min="3" max="3" width="11.5703125" bestFit="1" customWidth="1"/>
    <col min="5" max="5" width="12.5703125" bestFit="1" customWidth="1"/>
    <col min="6" max="6" width="9.5703125" bestFit="1" customWidth="1"/>
  </cols>
  <sheetData>
    <row r="3" spans="1:5">
      <c r="B3" s="256" t="s">
        <v>537</v>
      </c>
      <c r="C3" s="256"/>
    </row>
    <row r="4" spans="1:5">
      <c r="B4" s="3" t="s">
        <v>533</v>
      </c>
      <c r="C4" s="3" t="s">
        <v>534</v>
      </c>
      <c r="D4" s="1" t="s">
        <v>543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56" t="s">
        <v>538</v>
      </c>
      <c r="C8" s="256"/>
      <c r="D8" s="256"/>
      <c r="E8" s="256"/>
    </row>
    <row r="9" spans="1:5">
      <c r="B9" s="3" t="s">
        <v>544</v>
      </c>
      <c r="C9" s="3" t="s">
        <v>491</v>
      </c>
      <c r="D9" s="3" t="s">
        <v>222</v>
      </c>
      <c r="E9" s="1" t="s">
        <v>541</v>
      </c>
    </row>
    <row r="10" spans="1:5">
      <c r="A10" s="1" t="s">
        <v>535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536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193</v>
      </c>
      <c r="B13">
        <v>0.02</v>
      </c>
    </row>
    <row r="15" spans="1:5">
      <c r="B15" s="256" t="s">
        <v>191</v>
      </c>
      <c r="C15" s="256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56" t="s">
        <v>37</v>
      </c>
      <c r="C19" s="256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254</v>
      </c>
    </row>
    <row r="25" spans="2:6">
      <c r="B25" s="256" t="s">
        <v>19</v>
      </c>
      <c r="C25" s="256"/>
    </row>
    <row r="26" spans="2:6">
      <c r="B26" s="3" t="s">
        <v>8</v>
      </c>
      <c r="C26" s="3" t="s">
        <v>9</v>
      </c>
      <c r="D26" s="1" t="s">
        <v>37</v>
      </c>
      <c r="E26" s="1" t="s">
        <v>261</v>
      </c>
      <c r="F26" s="1" t="s">
        <v>203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539</v>
      </c>
    </row>
    <row r="30" spans="2:6">
      <c r="B30" s="256" t="s">
        <v>19</v>
      </c>
      <c r="C30" s="256"/>
    </row>
    <row r="31" spans="2:6">
      <c r="B31" s="3" t="s">
        <v>8</v>
      </c>
      <c r="C31" s="3" t="s">
        <v>9</v>
      </c>
      <c r="D31" s="1" t="s">
        <v>540</v>
      </c>
      <c r="E31" s="1" t="s">
        <v>261</v>
      </c>
      <c r="F31" s="1" t="s">
        <v>542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5"/>
  <cols>
    <col min="1" max="1" width="10.42578125" customWidth="1"/>
    <col min="4" max="4" width="3.5703125" customWidth="1"/>
    <col min="5" max="5" width="8.42578125" customWidth="1"/>
    <col min="6" max="6" width="9.5703125" bestFit="1" customWidth="1"/>
    <col min="11" max="11" width="2" customWidth="1"/>
    <col min="12" max="12" width="21.42578125" bestFit="1" customWidth="1"/>
    <col min="13" max="13" width="4.42578125" customWidth="1"/>
    <col min="14" max="14" width="19.85546875" bestFit="1" customWidth="1"/>
    <col min="15" max="15" width="3.42578125" customWidth="1"/>
    <col min="17" max="17" width="12" bestFit="1" customWidth="1"/>
    <col min="19" max="19" width="11.42578125" bestFit="1" customWidth="1"/>
    <col min="20" max="20" width="12.85546875" bestFit="1" customWidth="1"/>
    <col min="21" max="21" width="14.5703125" bestFit="1" customWidth="1"/>
    <col min="22" max="22" width="11.425781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261" t="s">
        <v>94</v>
      </c>
      <c r="O1" s="254"/>
      <c r="P1" s="254"/>
      <c r="Q1" s="254"/>
    </row>
    <row r="2" spans="1:27" ht="15" customHeight="1">
      <c r="B2" s="4" t="s">
        <v>8</v>
      </c>
      <c r="C2" s="4" t="s">
        <v>9</v>
      </c>
      <c r="D2" s="4"/>
      <c r="L2" s="3" t="s">
        <v>255</v>
      </c>
      <c r="N2" s="4" t="s">
        <v>255</v>
      </c>
      <c r="O2" s="4"/>
      <c r="P2" s="4" t="s">
        <v>8</v>
      </c>
      <c r="Q2" s="4" t="s">
        <v>9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191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9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53" t="s">
        <v>256</v>
      </c>
      <c r="U6" s="254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98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257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571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258</v>
      </c>
      <c r="F11" s="1" t="s">
        <v>545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259</v>
      </c>
      <c r="F12" t="s">
        <v>260</v>
      </c>
      <c r="G12" t="s">
        <v>37</v>
      </c>
      <c r="H12" t="s">
        <v>54</v>
      </c>
      <c r="I12" t="s">
        <v>261</v>
      </c>
      <c r="J12" t="s">
        <v>203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5"/>
  <cols>
    <col min="1" max="1" width="12" customWidth="1"/>
    <col min="2" max="2" width="11.140625" style="3" bestFit="1" customWidth="1"/>
    <col min="3" max="3" width="17.5703125" customWidth="1"/>
    <col min="4" max="5" width="13.5703125" bestFit="1" customWidth="1"/>
    <col min="6" max="6" width="10.42578125" customWidth="1"/>
    <col min="8" max="8" width="12.42578125" bestFit="1" customWidth="1"/>
  </cols>
  <sheetData>
    <row r="2" spans="1:8">
      <c r="D2" s="256" t="s">
        <v>478</v>
      </c>
      <c r="E2" s="256"/>
      <c r="F2" s="256"/>
    </row>
    <row r="3" spans="1:8">
      <c r="D3" s="3">
        <v>1</v>
      </c>
      <c r="E3" s="3">
        <v>2</v>
      </c>
      <c r="H3" s="1" t="s">
        <v>246</v>
      </c>
    </row>
    <row r="4" spans="1:8">
      <c r="A4" s="1" t="s">
        <v>551</v>
      </c>
      <c r="B4" s="3" t="s">
        <v>548</v>
      </c>
      <c r="C4" s="1" t="s">
        <v>549</v>
      </c>
      <c r="D4" s="1" t="s">
        <v>547</v>
      </c>
      <c r="E4" s="1" t="s">
        <v>215</v>
      </c>
      <c r="F4" s="1" t="s">
        <v>550</v>
      </c>
      <c r="H4" s="1"/>
    </row>
    <row r="5" spans="1:8">
      <c r="A5" s="171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71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71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71" t="s">
        <v>467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70"/>
      <c r="D12" s="1" t="s">
        <v>478</v>
      </c>
      <c r="E12" s="1" t="s">
        <v>546</v>
      </c>
      <c r="F12" s="1" t="s">
        <v>555</v>
      </c>
    </row>
    <row r="13" spans="1:8">
      <c r="D13" s="1" t="s">
        <v>248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467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552</v>
      </c>
      <c r="G21" s="1" t="s">
        <v>553</v>
      </c>
      <c r="H21" s="1" t="s">
        <v>550</v>
      </c>
      <c r="I21" s="1" t="s">
        <v>262</v>
      </c>
    </row>
    <row r="22" spans="3:9">
      <c r="C22" s="3" t="s">
        <v>554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556</v>
      </c>
      <c r="D23">
        <f>H22+I22</f>
        <v>4.9313333333333341E-2</v>
      </c>
    </row>
    <row r="24" spans="3:9">
      <c r="C24" s="1" t="s">
        <v>557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568</v>
      </c>
      <c r="B1" t="s">
        <v>569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244</v>
      </c>
      <c r="B2" s="1" t="s">
        <v>570</v>
      </c>
      <c r="C2" s="1" t="s">
        <v>558</v>
      </c>
      <c r="D2" s="1" t="s">
        <v>559</v>
      </c>
      <c r="E2" s="1" t="s">
        <v>560</v>
      </c>
      <c r="F2" s="1"/>
      <c r="O2" s="1" t="s">
        <v>566</v>
      </c>
    </row>
    <row r="3" spans="1:15">
      <c r="A3" s="164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191</v>
      </c>
      <c r="O3">
        <f>SUMPRODUCT(B3:D3,$H$15:$J$15)+0.003</f>
        <v>2.6149486668811433E-2</v>
      </c>
    </row>
    <row r="4" spans="1:15">
      <c r="A4" s="164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4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4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4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4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2.0906493574165347E-3</v>
      </c>
    </row>
    <row r="9" spans="1:15">
      <c r="A9" s="164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570</v>
      </c>
      <c r="I9" t="s">
        <v>564</v>
      </c>
      <c r="J9" t="s">
        <v>565</v>
      </c>
      <c r="K9" t="s">
        <v>193</v>
      </c>
      <c r="O9">
        <f t="shared" si="0"/>
        <v>7.6995936473643972E-2</v>
      </c>
    </row>
    <row r="10" spans="1:15">
      <c r="A10" s="164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4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4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254</v>
      </c>
      <c r="O12">
        <f t="shared" si="0"/>
        <v>-5.6471421243713307E-2</v>
      </c>
    </row>
    <row r="13" spans="1:15">
      <c r="A13" s="164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4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561</v>
      </c>
      <c r="I14" t="s">
        <v>562</v>
      </c>
      <c r="J14" t="s">
        <v>563</v>
      </c>
      <c r="K14" t="s">
        <v>222</v>
      </c>
      <c r="L14" t="s">
        <v>261</v>
      </c>
      <c r="M14" t="s">
        <v>203</v>
      </c>
      <c r="O14">
        <f t="shared" si="0"/>
        <v>6.2467289793668758E-3</v>
      </c>
    </row>
    <row r="15" spans="1:15">
      <c r="A15" s="164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4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4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4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4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4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4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4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4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4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4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4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4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4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4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4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4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4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4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4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4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4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4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4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4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4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4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4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4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4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4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4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4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4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4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4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4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4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4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4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4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4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4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4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4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4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4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4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5"/>
  <cols>
    <col min="2" max="2" width="10.85546875" bestFit="1" customWidth="1"/>
  </cols>
  <sheetData>
    <row r="1" spans="1:14">
      <c r="I1" t="s">
        <v>191</v>
      </c>
    </row>
    <row r="2" spans="1:14">
      <c r="B2" t="s">
        <v>581</v>
      </c>
      <c r="C2" t="s">
        <v>572</v>
      </c>
      <c r="D2" t="s">
        <v>573</v>
      </c>
      <c r="E2" t="s">
        <v>574</v>
      </c>
      <c r="F2" t="s">
        <v>575</v>
      </c>
      <c r="G2" t="s">
        <v>582</v>
      </c>
      <c r="J2" t="s">
        <v>576</v>
      </c>
      <c r="K2" t="s">
        <v>572</v>
      </c>
      <c r="L2" t="s">
        <v>573</v>
      </c>
      <c r="M2" t="s">
        <v>574</v>
      </c>
      <c r="N2" t="s">
        <v>575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576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572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573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574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575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577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581</v>
      </c>
      <c r="K10" t="s">
        <v>572</v>
      </c>
      <c r="L10" t="s">
        <v>573</v>
      </c>
      <c r="M10" t="s">
        <v>574</v>
      </c>
      <c r="N10" t="s">
        <v>575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578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576</v>
      </c>
      <c r="K14" t="s">
        <v>572</v>
      </c>
      <c r="L14" t="s">
        <v>573</v>
      </c>
      <c r="M14" t="s">
        <v>574</v>
      </c>
      <c r="N14" t="s">
        <v>575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579</v>
      </c>
      <c r="K17" t="s">
        <v>263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222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54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580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203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576</v>
      </c>
      <c r="K23" t="s">
        <v>263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222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76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203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568</v>
      </c>
      <c r="B1" t="s">
        <v>567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5"/>
  <cols>
    <col min="1" max="1" width="17" bestFit="1" customWidth="1"/>
    <col min="2" max="2" width="6.5703125" customWidth="1"/>
    <col min="3" max="3" width="18.85546875" bestFit="1" customWidth="1"/>
    <col min="4" max="4" width="11.42578125" customWidth="1"/>
    <col min="5" max="5" width="12.140625" bestFit="1" customWidth="1"/>
    <col min="6" max="6" width="3.42578125" customWidth="1"/>
    <col min="8" max="8" width="9.140625" customWidth="1"/>
    <col min="9" max="9" width="12.42578125" bestFit="1" customWidth="1"/>
  </cols>
  <sheetData>
    <row r="2" spans="1:8" ht="15.75" thickBot="1">
      <c r="A2" s="21"/>
      <c r="B2" s="21"/>
      <c r="C2" s="21"/>
      <c r="D2" s="21"/>
      <c r="E2" s="21"/>
      <c r="F2" s="21"/>
      <c r="G2" s="21"/>
      <c r="H2" s="21"/>
    </row>
    <row r="3" spans="1:8" ht="15.75" thickBot="1">
      <c r="A3" s="181" t="s">
        <v>244</v>
      </c>
      <c r="B3" s="181" t="s">
        <v>593</v>
      </c>
      <c r="C3" s="181" t="s">
        <v>583</v>
      </c>
      <c r="D3" s="181" t="s">
        <v>584</v>
      </c>
      <c r="E3" s="181" t="s">
        <v>585</v>
      </c>
      <c r="F3" s="181"/>
      <c r="G3" s="182" t="s">
        <v>586</v>
      </c>
      <c r="H3" s="182" t="s">
        <v>587</v>
      </c>
    </row>
    <row r="4" spans="1:8">
      <c r="A4" s="173">
        <v>42825</v>
      </c>
      <c r="B4" s="186" t="s">
        <v>591</v>
      </c>
      <c r="C4" s="174">
        <v>-400</v>
      </c>
      <c r="D4" s="175">
        <f>-C4</f>
        <v>400</v>
      </c>
      <c r="E4" s="14">
        <v>1</v>
      </c>
      <c r="F4" s="173"/>
      <c r="G4">
        <f>C4/E4</f>
        <v>-400</v>
      </c>
    </row>
    <row r="5" spans="1:8">
      <c r="A5" s="173">
        <v>43465</v>
      </c>
      <c r="B5" s="186" t="s">
        <v>591</v>
      </c>
      <c r="C5" s="175">
        <v>-200</v>
      </c>
      <c r="D5" s="174">
        <f t="shared" ref="D5:D12" si="0">D4-C5</f>
        <v>600</v>
      </c>
      <c r="E5" s="14">
        <v>1.0995279490227576</v>
      </c>
      <c r="F5" s="173"/>
      <c r="G5">
        <f t="shared" ref="G5:G15" si="1">C5/E5</f>
        <v>-181.8962402708878</v>
      </c>
    </row>
    <row r="6" spans="1:8">
      <c r="A6" s="173">
        <v>43862</v>
      </c>
      <c r="B6" s="186" t="s">
        <v>591</v>
      </c>
      <c r="C6" s="175">
        <v>-300</v>
      </c>
      <c r="D6" s="174">
        <f t="shared" si="0"/>
        <v>900</v>
      </c>
      <c r="E6" s="14">
        <v>1.3276419532541912</v>
      </c>
      <c r="F6" s="173"/>
      <c r="G6">
        <f t="shared" si="1"/>
        <v>-225.9645375507065</v>
      </c>
    </row>
    <row r="7" spans="1:8">
      <c r="A7" s="173">
        <v>44012</v>
      </c>
      <c r="B7" s="186" t="s">
        <v>591</v>
      </c>
      <c r="C7" s="175">
        <v>-400</v>
      </c>
      <c r="D7" s="175">
        <f t="shared" si="0"/>
        <v>1300</v>
      </c>
      <c r="E7" s="14">
        <v>1.4068994625314917</v>
      </c>
      <c r="F7" s="173"/>
      <c r="G7">
        <f t="shared" si="1"/>
        <v>-284.31313725876595</v>
      </c>
    </row>
    <row r="8" spans="1:8">
      <c r="A8" s="173">
        <v>44165</v>
      </c>
      <c r="B8" s="186" t="s">
        <v>591</v>
      </c>
      <c r="C8" s="175">
        <v>-500</v>
      </c>
      <c r="D8" s="174">
        <f t="shared" si="0"/>
        <v>1800</v>
      </c>
      <c r="E8" s="14">
        <v>1.65613685062501</v>
      </c>
      <c r="F8" s="173"/>
      <c r="G8">
        <f t="shared" si="1"/>
        <v>-301.90741774226257</v>
      </c>
    </row>
    <row r="9" spans="1:8">
      <c r="A9" s="173">
        <v>44227</v>
      </c>
      <c r="B9" s="186" t="s">
        <v>591</v>
      </c>
      <c r="C9" s="175">
        <v>-100</v>
      </c>
      <c r="D9" s="174">
        <f t="shared" si="0"/>
        <v>1900</v>
      </c>
      <c r="E9" s="14">
        <v>1.707646204692111</v>
      </c>
      <c r="F9" s="173"/>
      <c r="G9">
        <f t="shared" si="1"/>
        <v>-58.560139521423892</v>
      </c>
    </row>
    <row r="10" spans="1:8">
      <c r="A10" s="173">
        <v>44651</v>
      </c>
      <c r="B10" s="186" t="s">
        <v>591</v>
      </c>
      <c r="C10" s="175">
        <v>-600</v>
      </c>
      <c r="D10" s="174">
        <f t="shared" si="0"/>
        <v>2500</v>
      </c>
      <c r="E10" s="14">
        <v>2.1161960835838807</v>
      </c>
      <c r="F10" s="173"/>
      <c r="G10">
        <f t="shared" si="1"/>
        <v>-283.52760155565119</v>
      </c>
      <c r="H10" s="172"/>
    </row>
    <row r="11" spans="1:8">
      <c r="A11" s="173">
        <v>44742</v>
      </c>
      <c r="B11" s="186" t="s">
        <v>591</v>
      </c>
      <c r="C11" s="175">
        <v>-100</v>
      </c>
      <c r="D11" s="174">
        <f t="shared" si="0"/>
        <v>2600</v>
      </c>
      <c r="E11" s="14">
        <v>1.7738107116633894</v>
      </c>
      <c r="F11" s="173"/>
      <c r="G11">
        <f t="shared" si="1"/>
        <v>-56.375801173409926</v>
      </c>
    </row>
    <row r="12" spans="1:8">
      <c r="A12" s="173">
        <v>45046</v>
      </c>
      <c r="B12" s="186" t="s">
        <v>591</v>
      </c>
      <c r="C12" s="175">
        <v>-200</v>
      </c>
      <c r="D12" s="174">
        <f t="shared" si="0"/>
        <v>2800</v>
      </c>
      <c r="E12" s="14">
        <v>1.9818286355377743</v>
      </c>
      <c r="F12" s="173"/>
      <c r="G12">
        <f t="shared" si="1"/>
        <v>-100.91689887492693</v>
      </c>
    </row>
    <row r="13" spans="1:8">
      <c r="A13" s="176">
        <v>45138</v>
      </c>
      <c r="B13" s="187" t="s">
        <v>592</v>
      </c>
      <c r="C13" s="177">
        <v>700</v>
      </c>
      <c r="D13" s="175"/>
      <c r="E13" s="14">
        <v>2.193122493527162</v>
      </c>
      <c r="F13" s="173"/>
      <c r="H13" s="2">
        <f>C13/E13</f>
        <v>319.1796181316812</v>
      </c>
    </row>
    <row r="14" spans="1:8">
      <c r="A14" s="173">
        <v>45230</v>
      </c>
      <c r="B14" s="186" t="s">
        <v>591</v>
      </c>
      <c r="C14" s="175">
        <v>-100</v>
      </c>
      <c r="D14" s="174">
        <f>D12-C14</f>
        <v>2900</v>
      </c>
      <c r="E14" s="14">
        <v>2.0133165968786741</v>
      </c>
      <c r="F14" s="173"/>
      <c r="G14">
        <f t="shared" si="1"/>
        <v>-49.669287063462363</v>
      </c>
      <c r="H14" s="2"/>
    </row>
    <row r="15" spans="1:8">
      <c r="A15" s="173">
        <v>45382</v>
      </c>
      <c r="B15" s="186" t="s">
        <v>591</v>
      </c>
      <c r="C15" s="175">
        <v>-100</v>
      </c>
      <c r="D15" s="174">
        <f>D14-C15</f>
        <v>3000</v>
      </c>
      <c r="E15" s="14">
        <v>2.5352256902236054</v>
      </c>
      <c r="F15" s="173"/>
      <c r="G15">
        <f t="shared" si="1"/>
        <v>-39.444220049371644</v>
      </c>
      <c r="H15" s="2"/>
    </row>
    <row r="16" spans="1:8">
      <c r="A16" s="176">
        <v>45565</v>
      </c>
      <c r="B16" s="187" t="s">
        <v>592</v>
      </c>
      <c r="C16" s="177">
        <v>900</v>
      </c>
      <c r="D16" s="175"/>
      <c r="E16" s="14">
        <v>2.8096869964660449</v>
      </c>
      <c r="F16" s="173"/>
      <c r="H16" s="2">
        <f>C16/E16</f>
        <v>320.32037772605912</v>
      </c>
    </row>
    <row r="17" spans="1:8" ht="15.75" thickBot="1">
      <c r="A17" s="185">
        <v>45657</v>
      </c>
      <c r="B17" s="184" t="s">
        <v>590</v>
      </c>
      <c r="C17" s="178">
        <v>3000</v>
      </c>
      <c r="D17" s="21"/>
      <c r="E17" s="179">
        <v>2.8843099546828985</v>
      </c>
      <c r="F17" s="21"/>
      <c r="G17" s="21"/>
      <c r="H17" s="180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589</v>
      </c>
      <c r="H21" s="183">
        <f>XIRR(C4:C17,A4:A17,0.1)</f>
        <v>0.11086307168006895</v>
      </c>
    </row>
    <row r="22" spans="1:8">
      <c r="G22" s="1" t="s">
        <v>595</v>
      </c>
      <c r="H22" s="183">
        <f>XNPV(H21,C4:C17,A4:A17)</f>
        <v>-2.1313886918505887E-5</v>
      </c>
    </row>
    <row r="23" spans="1:8">
      <c r="G23" s="1" t="s">
        <v>594</v>
      </c>
      <c r="H23" s="183">
        <f>SUM(C13,C16,C17)/-SUM(C4:C12,C14:C15)</f>
        <v>1.5333333333333334</v>
      </c>
    </row>
    <row r="24" spans="1:8">
      <c r="G24" s="1" t="s">
        <v>588</v>
      </c>
      <c r="H24" s="183">
        <f>H19/(-G19)</f>
        <v>0.84718605201785901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501</v>
      </c>
      <c r="B2" t="s">
        <v>502</v>
      </c>
      <c r="C2" t="s">
        <v>503</v>
      </c>
      <c r="D2" t="s">
        <v>504</v>
      </c>
      <c r="F2" t="s">
        <v>505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5"/>
  <cols>
    <col min="4" max="4" width="3.85546875" customWidth="1"/>
    <col min="5" max="5" width="12" bestFit="1" customWidth="1"/>
  </cols>
  <sheetData>
    <row r="2" spans="1:5">
      <c r="A2" s="4" t="s">
        <v>722</v>
      </c>
    </row>
    <row r="3" spans="1:5">
      <c r="A3" s="61">
        <v>0</v>
      </c>
      <c r="B3">
        <v>-1074.69</v>
      </c>
      <c r="C3" t="s">
        <v>725</v>
      </c>
      <c r="E3" t="s">
        <v>723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724</v>
      </c>
      <c r="B7" s="198">
        <f>IRR(B3:B5)</f>
        <v>5.930120788041604E-2</v>
      </c>
      <c r="C7" s="198"/>
      <c r="E7">
        <f>SUM(E4:E5)</f>
        <v>1074.6900000000537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5"/>
  <cols>
    <col min="1" max="1" width="17.7109375" bestFit="1" customWidth="1"/>
    <col min="3" max="3" width="10.28515625" bestFit="1" customWidth="1"/>
    <col min="4" max="4" width="14.140625" bestFit="1" customWidth="1"/>
    <col min="5" max="5" width="3.5703125" customWidth="1"/>
    <col min="6" max="6" width="12" bestFit="1" customWidth="1"/>
    <col min="7" max="7" width="3.140625" customWidth="1"/>
    <col min="8" max="8" width="10.5703125" bestFit="1" customWidth="1"/>
    <col min="9" max="9" width="11.5703125" bestFit="1" customWidth="1"/>
    <col min="10" max="10" width="24.85546875" bestFit="1" customWidth="1"/>
    <col min="11" max="11" width="25.42578125" bestFit="1" customWidth="1"/>
    <col min="12" max="12" width="24.85546875" bestFit="1" customWidth="1"/>
    <col min="13" max="13" width="2.28515625" customWidth="1"/>
  </cols>
  <sheetData>
    <row r="1" spans="1:14">
      <c r="C1" s="1" t="s">
        <v>263</v>
      </c>
      <c r="H1" s="1" t="s">
        <v>775</v>
      </c>
      <c r="N1" s="3" t="s">
        <v>772</v>
      </c>
    </row>
    <row r="2" spans="1:14">
      <c r="A2" s="1" t="s">
        <v>773</v>
      </c>
      <c r="B2" s="1" t="s">
        <v>765</v>
      </c>
      <c r="C2" s="1" t="s">
        <v>766</v>
      </c>
      <c r="D2" s="1" t="s">
        <v>767</v>
      </c>
      <c r="H2" s="1" t="s">
        <v>776</v>
      </c>
      <c r="I2" s="1" t="s">
        <v>768</v>
      </c>
      <c r="K2" s="1" t="s">
        <v>728</v>
      </c>
      <c r="N2" s="3" t="s">
        <v>245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9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8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777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5">
        <f>(1+N4)^(1/4)-1</f>
        <v>2.9405459884575214E-2</v>
      </c>
    </row>
    <row r="8" spans="1:14">
      <c r="G8" s="219"/>
      <c r="H8" s="219"/>
      <c r="I8" s="2"/>
    </row>
    <row r="9" spans="1:14">
      <c r="B9" s="198"/>
      <c r="C9" s="198"/>
      <c r="D9" s="198" t="s">
        <v>729</v>
      </c>
      <c r="F9" s="1" t="s">
        <v>774</v>
      </c>
      <c r="I9" s="183" t="s">
        <v>729</v>
      </c>
      <c r="K9" s="1" t="s">
        <v>728</v>
      </c>
    </row>
    <row r="10" spans="1:14">
      <c r="B10" s="198"/>
      <c r="C10" s="198"/>
      <c r="D10" s="2">
        <f>SUM(D4:D7)</f>
        <v>1076.6608936632026</v>
      </c>
      <c r="F10" s="224">
        <f>IRR(F3:F7)</f>
        <v>2.9405459884628282E-2</v>
      </c>
      <c r="I10" s="2">
        <f>SUM(I4:I7)</f>
        <v>1076.6608936629805</v>
      </c>
      <c r="J10" t="s">
        <v>769</v>
      </c>
      <c r="K10" s="2">
        <f>SUM(K4:K7)</f>
        <v>1208.9958454968212</v>
      </c>
      <c r="L10" t="s">
        <v>769</v>
      </c>
    </row>
    <row r="11" spans="1:14">
      <c r="B11" s="198"/>
      <c r="I11" s="2">
        <f>-PV(F10,4,50,1000)</f>
        <v>1076.6608936629802</v>
      </c>
      <c r="J11" t="s">
        <v>770</v>
      </c>
      <c r="K11" s="2">
        <f>FV(F10,4,-50)+1000</f>
        <v>1208.9958454968209</v>
      </c>
      <c r="L11" t="s">
        <v>771</v>
      </c>
    </row>
    <row r="12" spans="1:14">
      <c r="F12" s="1" t="s">
        <v>724</v>
      </c>
      <c r="I12" s="198"/>
    </row>
    <row r="13" spans="1:14">
      <c r="F13" s="226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5"/>
  <cols>
    <col min="1" max="1" width="17" bestFit="1" customWidth="1"/>
    <col min="2" max="2" width="21.140625" bestFit="1" customWidth="1"/>
    <col min="3" max="3" width="21.42578125" bestFit="1" customWidth="1"/>
    <col min="4" max="4" width="17.5703125" bestFit="1" customWidth="1"/>
    <col min="5" max="5" width="4.140625" customWidth="1"/>
    <col min="7" max="8" width="11.5703125" customWidth="1"/>
    <col min="9" max="9" width="4.5703125" customWidth="1"/>
  </cols>
  <sheetData>
    <row r="2" spans="1:11">
      <c r="B2" s="1" t="s">
        <v>735</v>
      </c>
      <c r="C2" s="1" t="s">
        <v>736</v>
      </c>
      <c r="D2" s="1" t="s">
        <v>737</v>
      </c>
      <c r="F2" s="1"/>
      <c r="G2" s="1"/>
      <c r="H2" s="3"/>
      <c r="J2" s="1"/>
      <c r="K2" s="1"/>
    </row>
    <row r="3" spans="1:11">
      <c r="B3" s="1" t="s">
        <v>732</v>
      </c>
      <c r="C3" s="3" t="s">
        <v>734</v>
      </c>
      <c r="D3" s="1" t="s">
        <v>731</v>
      </c>
      <c r="F3" s="3"/>
      <c r="J3" s="1"/>
      <c r="K3" s="1"/>
    </row>
    <row r="5" spans="1:11">
      <c r="A5" t="s">
        <v>733</v>
      </c>
      <c r="B5" s="220">
        <v>0.05</v>
      </c>
      <c r="C5" s="220">
        <v>0.08</v>
      </c>
      <c r="D5" s="220">
        <v>0.06</v>
      </c>
      <c r="F5" s="220"/>
      <c r="J5" s="220"/>
    </row>
    <row r="6" spans="1:11">
      <c r="A6" t="s">
        <v>730</v>
      </c>
      <c r="B6">
        <f>B5*1000/2</f>
        <v>25</v>
      </c>
      <c r="C6">
        <f>C5*1000/2</f>
        <v>40</v>
      </c>
      <c r="D6">
        <f>D5*1000/2</f>
        <v>30</v>
      </c>
      <c r="F6" s="220"/>
      <c r="J6" s="220"/>
    </row>
    <row r="7" spans="1:11">
      <c r="A7" t="s">
        <v>727</v>
      </c>
      <c r="B7" s="190">
        <v>0.06</v>
      </c>
      <c r="C7" s="190">
        <v>0.06</v>
      </c>
      <c r="D7" s="190">
        <v>0.06</v>
      </c>
      <c r="F7" s="220"/>
      <c r="J7" s="220"/>
    </row>
    <row r="8" spans="1:11">
      <c r="A8" t="s">
        <v>726</v>
      </c>
      <c r="B8" s="191">
        <f>B7/2</f>
        <v>0.03</v>
      </c>
      <c r="C8" s="191">
        <f>C7/2</f>
        <v>0.03</v>
      </c>
      <c r="D8" s="191">
        <f>D7/2</f>
        <v>0.03</v>
      </c>
    </row>
    <row r="9" spans="1:11">
      <c r="A9" t="s">
        <v>738</v>
      </c>
      <c r="B9">
        <v>4</v>
      </c>
      <c r="C9">
        <v>4</v>
      </c>
      <c r="D9">
        <v>4</v>
      </c>
    </row>
    <row r="10" spans="1:11">
      <c r="A10" s="198" t="s">
        <v>729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8"/>
      <c r="G11" s="183"/>
      <c r="J11" s="198"/>
      <c r="K11" s="183"/>
    </row>
    <row r="12" spans="1:11">
      <c r="B12" s="19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5"/>
  <cols>
    <col min="4" max="4" width="15.5703125" bestFit="1" customWidth="1"/>
  </cols>
  <sheetData>
    <row r="1" spans="1:4">
      <c r="A1" s="1" t="s">
        <v>739</v>
      </c>
      <c r="B1" s="1" t="s">
        <v>355</v>
      </c>
      <c r="C1" s="1" t="s">
        <v>740</v>
      </c>
      <c r="D1" s="1" t="s">
        <v>743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726</v>
      </c>
      <c r="C23" t="s">
        <v>729</v>
      </c>
      <c r="D23" t="s">
        <v>741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742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5"/>
  <cols>
    <col min="4" max="4" width="16.7109375" bestFit="1" customWidth="1"/>
    <col min="5" max="5" width="1.85546875" customWidth="1"/>
    <col min="6" max="6" width="15.140625" bestFit="1" customWidth="1"/>
    <col min="7" max="7" width="10.140625" bestFit="1" customWidth="1"/>
    <col min="9" max="9" width="16.7109375" bestFit="1" customWidth="1"/>
    <col min="11" max="11" width="10.85546875" bestFit="1" customWidth="1"/>
  </cols>
  <sheetData>
    <row r="1" spans="1:18">
      <c r="A1" s="1" t="s">
        <v>739</v>
      </c>
      <c r="B1" s="1" t="s">
        <v>355</v>
      </c>
      <c r="C1" s="1" t="s">
        <v>740</v>
      </c>
      <c r="D1" s="1" t="s">
        <v>478</v>
      </c>
      <c r="F1" s="1" t="s">
        <v>744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726</v>
      </c>
      <c r="C7" t="s">
        <v>729</v>
      </c>
      <c r="D7" t="s">
        <v>741</v>
      </c>
      <c r="F7" t="s">
        <v>745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742</v>
      </c>
    </row>
    <row r="11" spans="1:18">
      <c r="D11">
        <f>D8/(1+B8)</f>
        <v>3.71709840281037</v>
      </c>
    </row>
    <row r="13" spans="1:18">
      <c r="G13" s="46"/>
      <c r="J13" t="s">
        <v>746</v>
      </c>
      <c r="K13" t="s">
        <v>747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9"/>
      <c r="I14" t="s">
        <v>748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727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733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749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742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745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21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21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9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22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750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751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5"/>
  <cols>
    <col min="3" max="3" width="15.85546875" bestFit="1" customWidth="1"/>
    <col min="6" max="6" width="11" customWidth="1"/>
    <col min="7" max="7" width="18.5703125" bestFit="1" customWidth="1"/>
  </cols>
  <sheetData>
    <row r="1" spans="1:7">
      <c r="A1" s="4" t="s">
        <v>752</v>
      </c>
      <c r="B1" s="4" t="s">
        <v>754</v>
      </c>
      <c r="C1" s="4" t="s">
        <v>760</v>
      </c>
      <c r="D1" s="4" t="s">
        <v>757</v>
      </c>
      <c r="E1" s="4" t="s">
        <v>762</v>
      </c>
    </row>
    <row r="2" spans="1:7">
      <c r="A2" s="4" t="s">
        <v>753</v>
      </c>
      <c r="B2" s="4" t="s">
        <v>755</v>
      </c>
      <c r="C2" s="4" t="s">
        <v>756</v>
      </c>
      <c r="D2" s="4" t="s">
        <v>758</v>
      </c>
      <c r="E2" s="4" t="s">
        <v>757</v>
      </c>
    </row>
    <row r="3" spans="1:7">
      <c r="A3" t="s">
        <v>759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726</v>
      </c>
      <c r="D9" t="s">
        <v>761</v>
      </c>
      <c r="E9" t="s">
        <v>757</v>
      </c>
      <c r="F9" t="s">
        <v>763</v>
      </c>
      <c r="G9" t="s">
        <v>764</v>
      </c>
    </row>
    <row r="10" spans="1:7">
      <c r="B10" s="198">
        <f>IRR(B3:B7)</f>
        <v>2.8032880842573382E-2</v>
      </c>
      <c r="D10" s="219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3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5"/>
  <cols>
    <col min="2" max="3" width="12.42578125" bestFit="1" customWidth="1"/>
    <col min="4" max="4" width="10.42578125" bestFit="1" customWidth="1"/>
    <col min="5" max="5" width="2.85546875" customWidth="1"/>
    <col min="6" max="6" width="15.85546875" bestFit="1" customWidth="1"/>
  </cols>
  <sheetData>
    <row r="1" spans="1:7">
      <c r="B1" s="256" t="s">
        <v>94</v>
      </c>
      <c r="C1" s="256"/>
    </row>
    <row r="2" spans="1:7">
      <c r="B2" s="3" t="s">
        <v>527</v>
      </c>
      <c r="C2" s="3" t="s">
        <v>206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778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779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780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C32" sqref="C32"/>
    </sheetView>
  </sheetViews>
  <sheetFormatPr defaultRowHeight="15"/>
  <cols>
    <col min="2" max="2" width="11.140625" customWidth="1"/>
    <col min="8" max="8" width="1.5703125" customWidth="1"/>
  </cols>
  <sheetData>
    <row r="1" spans="2:9">
      <c r="C1" s="256" t="s">
        <v>191</v>
      </c>
      <c r="D1" s="256"/>
      <c r="E1" s="256"/>
      <c r="F1" s="256"/>
      <c r="G1" s="256"/>
    </row>
    <row r="2" spans="2:9">
      <c r="C2" s="3" t="s">
        <v>8</v>
      </c>
      <c r="D2" s="3" t="s">
        <v>9</v>
      </c>
      <c r="E2" s="3" t="s">
        <v>10</v>
      </c>
      <c r="F2" s="3" t="s">
        <v>467</v>
      </c>
      <c r="G2" s="3" t="s">
        <v>468</v>
      </c>
    </row>
    <row r="3" spans="2:9">
      <c r="B3" s="166" t="s">
        <v>8</v>
      </c>
      <c r="C3" s="231">
        <v>2.5000000000000001E-3</v>
      </c>
      <c r="D3" s="231">
        <v>1.1999999999999999E-3</v>
      </c>
      <c r="E3" s="231">
        <v>8.0000000000000004E-4</v>
      </c>
      <c r="F3" s="231">
        <v>1E-3</v>
      </c>
      <c r="G3" s="231">
        <v>6.9999999999999999E-4</v>
      </c>
    </row>
    <row r="4" spans="2:9">
      <c r="B4" s="229" t="s">
        <v>9</v>
      </c>
      <c r="C4" s="231">
        <v>1.1999999999999999E-3</v>
      </c>
      <c r="D4" s="231">
        <v>3.0000000000000001E-3</v>
      </c>
      <c r="E4" s="231">
        <v>1.1000000000000001E-3</v>
      </c>
      <c r="F4" s="231">
        <v>1.2999999999999999E-3</v>
      </c>
      <c r="G4" s="231">
        <v>1E-3</v>
      </c>
    </row>
    <row r="5" spans="2:9">
      <c r="B5" s="229" t="s">
        <v>10</v>
      </c>
      <c r="C5" s="231">
        <v>8.0000000000000004E-4</v>
      </c>
      <c r="D5" s="231">
        <v>1.1000000000000001E-3</v>
      </c>
      <c r="E5" s="231">
        <v>2.2000000000000001E-3</v>
      </c>
      <c r="F5" s="231">
        <v>8.9999999999999998E-4</v>
      </c>
      <c r="G5" s="231">
        <v>5.9999999999999995E-4</v>
      </c>
    </row>
    <row r="6" spans="2:9">
      <c r="B6" s="229" t="s">
        <v>467</v>
      </c>
      <c r="C6" s="231">
        <v>1E-3</v>
      </c>
      <c r="D6" s="231">
        <v>1.2999999999999999E-3</v>
      </c>
      <c r="E6" s="231">
        <v>8.9999999999999998E-4</v>
      </c>
      <c r="F6" s="231">
        <v>2.8E-3</v>
      </c>
      <c r="G6" s="231">
        <v>1.1000000000000001E-3</v>
      </c>
    </row>
    <row r="7" spans="2:9">
      <c r="B7" s="229" t="s">
        <v>468</v>
      </c>
      <c r="C7" s="231">
        <v>6.9999999999999999E-4</v>
      </c>
      <c r="D7" s="231">
        <v>1E-3</v>
      </c>
      <c r="E7" s="231">
        <v>5.9999999999999995E-4</v>
      </c>
      <c r="F7" s="231">
        <v>1.1000000000000001E-3</v>
      </c>
      <c r="G7" s="231">
        <v>2E-3</v>
      </c>
    </row>
    <row r="8" spans="2:9">
      <c r="B8" s="229"/>
      <c r="C8" s="211"/>
      <c r="D8" s="211"/>
      <c r="E8" s="211"/>
      <c r="F8" s="211"/>
      <c r="G8" s="211"/>
    </row>
    <row r="9" spans="2:9">
      <c r="C9" s="256" t="s">
        <v>226</v>
      </c>
      <c r="D9" s="256"/>
      <c r="E9" s="256"/>
      <c r="F9" s="256"/>
      <c r="G9" s="256"/>
    </row>
    <row r="10" spans="2:9">
      <c r="C10" s="3" t="s">
        <v>8</v>
      </c>
      <c r="D10" s="3" t="s">
        <v>9</v>
      </c>
      <c r="E10" s="3" t="s">
        <v>10</v>
      </c>
      <c r="F10" s="3" t="s">
        <v>467</v>
      </c>
      <c r="G10" s="3" t="s">
        <v>468</v>
      </c>
    </row>
    <row r="11" spans="2:9">
      <c r="B11" s="229" t="s">
        <v>37</v>
      </c>
      <c r="C11" s="231">
        <v>0.25</v>
      </c>
      <c r="D11" s="231">
        <v>0.24</v>
      </c>
      <c r="E11" s="231">
        <v>0.17</v>
      </c>
      <c r="F11" s="231">
        <v>0.2</v>
      </c>
      <c r="G11" s="231">
        <v>0.18</v>
      </c>
    </row>
    <row r="13" spans="2:9">
      <c r="C13" s="256" t="s">
        <v>478</v>
      </c>
      <c r="D13" s="256"/>
      <c r="E13" s="256"/>
      <c r="F13" s="256"/>
      <c r="G13" s="256"/>
      <c r="I13" s="4" t="s">
        <v>20</v>
      </c>
    </row>
    <row r="14" spans="2:9">
      <c r="C14" s="3"/>
      <c r="D14" s="3"/>
      <c r="E14" s="3"/>
      <c r="F14" s="3"/>
      <c r="G14" s="3"/>
      <c r="I14" s="4"/>
    </row>
    <row r="15" spans="2:9">
      <c r="B15" s="228" t="s">
        <v>527</v>
      </c>
      <c r="C15" s="232">
        <v>0.15</v>
      </c>
      <c r="D15" s="232">
        <v>0.2</v>
      </c>
      <c r="E15" s="232">
        <v>0.35</v>
      </c>
      <c r="F15" s="232">
        <v>0.3</v>
      </c>
      <c r="G15" s="232">
        <v>0</v>
      </c>
      <c r="I15" s="4">
        <f>SUM(C15:G15)</f>
        <v>1</v>
      </c>
    </row>
    <row r="16" spans="2:9">
      <c r="B16" s="228" t="s">
        <v>206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8" t="s">
        <v>262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8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782</v>
      </c>
      <c r="D20" s="1" t="s">
        <v>103</v>
      </c>
      <c r="E20" s="1" t="s">
        <v>37</v>
      </c>
      <c r="F20" s="1" t="s">
        <v>100</v>
      </c>
      <c r="G20" s="1"/>
      <c r="H20" s="1"/>
    </row>
    <row r="21" spans="2:9">
      <c r="B21" s="1" t="s">
        <v>8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9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10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467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468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783</v>
      </c>
      <c r="C27" s="4">
        <f>SUMPRODUCT(C16:G16,C11:G11)</f>
        <v>0.19620000000000001</v>
      </c>
    </row>
    <row r="28" spans="2:9">
      <c r="B28" s="1" t="s">
        <v>784</v>
      </c>
      <c r="C28" s="29">
        <f>SUMPRODUCT(MMULT(C16:G16,C3:G7),C16:G16)</f>
        <v>1.3486400000000001E-3</v>
      </c>
    </row>
    <row r="30" spans="2:9">
      <c r="C30" s="1" t="s">
        <v>785</v>
      </c>
      <c r="D30" s="1" t="s">
        <v>786</v>
      </c>
    </row>
    <row r="31" spans="2:9">
      <c r="B31" s="1" t="s">
        <v>801</v>
      </c>
      <c r="C31" s="233" cm="1">
        <f t="array" ref="C31">MMULT(C15:G15,D21:D25)</f>
        <v>0.97349922885277018</v>
      </c>
      <c r="D31" s="233" cm="1">
        <f t="array" ref="D31">MMULT(C17:G17,D21:D25)</f>
        <v>-2.6500771147229873E-2</v>
      </c>
    </row>
    <row r="32" spans="2:9">
      <c r="B32" s="1" t="s">
        <v>787</v>
      </c>
      <c r="C32" s="234" cm="1">
        <f t="array" ref="C32">MMULT(C15:G15,F21:F25)</f>
        <v>1.3469435876141893E-2</v>
      </c>
      <c r="D32" s="234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H16" sqref="H16"/>
    </sheetView>
  </sheetViews>
  <sheetFormatPr defaultRowHeight="15"/>
  <cols>
    <col min="1" max="1" width="18.85546875" bestFit="1" customWidth="1"/>
    <col min="2" max="2" width="10.85546875" customWidth="1"/>
    <col min="3" max="4" width="12" bestFit="1" customWidth="1"/>
    <col min="7" max="7" width="2.5703125" customWidth="1"/>
    <col min="8" max="9" width="11.42578125" bestFit="1" customWidth="1"/>
    <col min="10" max="10" width="11.5703125" bestFit="1" customWidth="1"/>
  </cols>
  <sheetData>
    <row r="1" spans="1:14">
      <c r="A1" s="31" t="s">
        <v>191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8" t="s">
        <v>530</v>
      </c>
      <c r="C2" s="168" t="s">
        <v>531</v>
      </c>
      <c r="D2" s="168" t="s">
        <v>532</v>
      </c>
      <c r="E2" s="20"/>
      <c r="J2" s="1"/>
      <c r="M2" s="1"/>
    </row>
    <row r="3" spans="1:14">
      <c r="A3" s="168" t="s">
        <v>530</v>
      </c>
      <c r="B3" s="169">
        <v>0.04</v>
      </c>
      <c r="C3" s="169">
        <v>-0.02</v>
      </c>
      <c r="D3" s="169">
        <v>2.5000000000000001E-2</v>
      </c>
      <c r="E3" s="20"/>
      <c r="H3" s="1"/>
      <c r="I3" s="1"/>
      <c r="J3" s="1"/>
      <c r="M3" s="1"/>
      <c r="N3" s="1"/>
    </row>
    <row r="4" spans="1:14">
      <c r="A4" s="168" t="s">
        <v>531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8" t="s">
        <v>532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8" t="s">
        <v>530</v>
      </c>
      <c r="C7" s="168" t="s">
        <v>531</v>
      </c>
      <c r="D7" s="168" t="s">
        <v>532</v>
      </c>
      <c r="E7" s="31"/>
      <c r="G7" s="168"/>
    </row>
    <row r="8" spans="1:14">
      <c r="A8" s="188" t="s">
        <v>37</v>
      </c>
      <c r="B8" s="169">
        <v>0.12</v>
      </c>
      <c r="C8" s="169">
        <v>0.06</v>
      </c>
      <c r="D8" s="169">
        <v>0.08</v>
      </c>
      <c r="E8" s="51"/>
      <c r="G8" s="168"/>
    </row>
    <row r="9" spans="1:14">
      <c r="A9" s="1" t="s">
        <v>789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56" t="s">
        <v>478</v>
      </c>
      <c r="C11" s="256"/>
      <c r="D11" s="256"/>
      <c r="G11" s="1"/>
    </row>
    <row r="12" spans="1:14">
      <c r="B12" s="168" t="s">
        <v>530</v>
      </c>
      <c r="C12" s="168" t="s">
        <v>531</v>
      </c>
      <c r="D12" s="168" t="s">
        <v>532</v>
      </c>
      <c r="F12" s="168" t="s">
        <v>20</v>
      </c>
    </row>
    <row r="13" spans="1:14">
      <c r="A13" s="1" t="s">
        <v>206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527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100</v>
      </c>
      <c r="I14" s="1" t="s">
        <v>788</v>
      </c>
      <c r="J14" s="1" t="s">
        <v>477</v>
      </c>
    </row>
    <row r="15" spans="1:14">
      <c r="A15" s="1" t="s">
        <v>262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596</v>
      </c>
      <c r="B17">
        <v>10</v>
      </c>
      <c r="H17" s="1" t="s">
        <v>100</v>
      </c>
      <c r="I17" s="1" t="s">
        <v>788</v>
      </c>
      <c r="J17" s="1" t="s">
        <v>477</v>
      </c>
    </row>
    <row r="18" spans="1:10">
      <c r="A18" s="1" t="s">
        <v>597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790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G7" sqref="G7"/>
    </sheetView>
  </sheetViews>
  <sheetFormatPr defaultRowHeight="15"/>
  <cols>
    <col min="1" max="1" width="11.28515625" customWidth="1"/>
    <col min="2" max="2" width="11.85546875" bestFit="1" customWidth="1"/>
    <col min="3" max="3" width="12.7109375" bestFit="1" customWidth="1"/>
    <col min="6" max="6" width="13.42578125" bestFit="1" customWidth="1"/>
    <col min="13" max="13" width="12" bestFit="1" customWidth="1"/>
    <col min="19" max="19" width="10.28515625" bestFit="1" customWidth="1"/>
  </cols>
  <sheetData>
    <row r="1" spans="1:11">
      <c r="B1" s="256" t="s">
        <v>191</v>
      </c>
      <c r="C1" s="256"/>
      <c r="D1" s="256"/>
      <c r="E1" s="256"/>
      <c r="F1" s="256"/>
      <c r="G1" s="256"/>
      <c r="H1" s="256"/>
      <c r="I1" s="256"/>
      <c r="J1" s="256"/>
      <c r="K1" s="256"/>
    </row>
    <row r="2" spans="1:11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</row>
    <row r="3" spans="1:11">
      <c r="A3" s="3" t="s">
        <v>8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9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10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467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468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174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791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792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793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794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56" t="s">
        <v>226</v>
      </c>
      <c r="C14" s="256"/>
      <c r="D14" s="256"/>
      <c r="E14" s="256"/>
      <c r="F14" s="256"/>
      <c r="G14" s="256"/>
      <c r="H14" s="256"/>
      <c r="I14" s="256"/>
      <c r="J14" s="256"/>
      <c r="K14" s="256"/>
    </row>
    <row r="15" spans="1:11">
      <c r="B15" s="3" t="s">
        <v>8</v>
      </c>
      <c r="C15" s="3" t="s">
        <v>9</v>
      </c>
      <c r="D15" s="3" t="s">
        <v>10</v>
      </c>
      <c r="E15" s="3" t="s">
        <v>467</v>
      </c>
      <c r="F15" s="3" t="s">
        <v>468</v>
      </c>
      <c r="G15" s="3" t="s">
        <v>174</v>
      </c>
      <c r="H15" s="3" t="s">
        <v>791</v>
      </c>
      <c r="I15" s="3" t="s">
        <v>792</v>
      </c>
      <c r="J15" s="3" t="s">
        <v>793</v>
      </c>
      <c r="K15" s="3" t="s">
        <v>794</v>
      </c>
    </row>
    <row r="16" spans="1:11">
      <c r="A16" s="3" t="s">
        <v>37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56" t="s">
        <v>478</v>
      </c>
      <c r="C18" s="256"/>
      <c r="D18" s="256"/>
      <c r="E18" s="256"/>
      <c r="F18" s="256"/>
      <c r="G18" s="256"/>
      <c r="H18" s="256"/>
      <c r="I18" s="256"/>
      <c r="J18" s="256"/>
      <c r="K18" s="256"/>
      <c r="M18" t="s">
        <v>20</v>
      </c>
    </row>
    <row r="19" spans="1:13">
      <c r="B19" s="3" t="s">
        <v>8</v>
      </c>
      <c r="C19" s="3" t="s">
        <v>9</v>
      </c>
      <c r="D19" s="3" t="s">
        <v>10</v>
      </c>
      <c r="E19" s="3" t="s">
        <v>467</v>
      </c>
      <c r="F19" s="3" t="s">
        <v>468</v>
      </c>
      <c r="G19" s="3" t="s">
        <v>174</v>
      </c>
      <c r="H19" s="3" t="s">
        <v>791</v>
      </c>
      <c r="I19" s="3" t="s">
        <v>792</v>
      </c>
      <c r="J19" s="3" t="s">
        <v>793</v>
      </c>
      <c r="K19" s="3" t="s">
        <v>794</v>
      </c>
    </row>
    <row r="20" spans="1:13">
      <c r="A20" s="1" t="s">
        <v>527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206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262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798</v>
      </c>
      <c r="C24" s="3" t="s">
        <v>795</v>
      </c>
      <c r="D24" s="3" t="s">
        <v>37</v>
      </c>
      <c r="E24" s="3" t="s">
        <v>100</v>
      </c>
      <c r="F24" s="3" t="s">
        <v>546</v>
      </c>
    </row>
    <row r="25" spans="1:13">
      <c r="A25" s="3" t="s">
        <v>8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30">
        <f>D25-0.02-C25*($B$37-0.02)</f>
        <v>-6.1959749607669715E-2</v>
      </c>
      <c r="F25" s="29">
        <f>B22</f>
        <v>-0.17682939085832869</v>
      </c>
      <c r="H25" s="256" t="s">
        <v>800</v>
      </c>
      <c r="I25" s="256"/>
      <c r="J25" s="256"/>
    </row>
    <row r="26" spans="1:13">
      <c r="A26" s="3" t="s">
        <v>9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30">
        <f t="shared" ref="E26:E34" si="3">D26-0.02-C26*($B$37-0.02)</f>
        <v>6.7089282061010613E-2</v>
      </c>
      <c r="F26" s="29">
        <f>C22</f>
        <v>0.19939575892928552</v>
      </c>
      <c r="H26" s="3" t="s">
        <v>100</v>
      </c>
      <c r="I26" s="3" t="s">
        <v>788</v>
      </c>
      <c r="J26" s="3" t="s">
        <v>477</v>
      </c>
    </row>
    <row r="27" spans="1:13">
      <c r="A27" s="3" t="s">
        <v>10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30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467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30">
        <f t="shared" si="3"/>
        <v>-2.7271787744540754E-2</v>
      </c>
      <c r="F28" s="29">
        <f>E22</f>
        <v>-2.9407715530956391E-2</v>
      </c>
    </row>
    <row r="29" spans="1:13">
      <c r="A29" s="3" t="s">
        <v>468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30">
        <f t="shared" si="3"/>
        <v>0.12284355393394225</v>
      </c>
      <c r="F29" s="29">
        <f>F22</f>
        <v>0.13980268313705244</v>
      </c>
    </row>
    <row r="30" spans="1:13">
      <c r="A30" s="3" t="s">
        <v>174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30">
        <f t="shared" si="3"/>
        <v>-1.672213147596649E-2</v>
      </c>
      <c r="F30" s="29">
        <f>G22</f>
        <v>-1.126816740355765E-2</v>
      </c>
    </row>
    <row r="31" spans="1:13">
      <c r="A31" s="3" t="s">
        <v>791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30">
        <f t="shared" si="3"/>
        <v>-0.12637325969574137</v>
      </c>
      <c r="F31" s="29">
        <f>H22</f>
        <v>-8.8395481647113486E-2</v>
      </c>
    </row>
    <row r="32" spans="1:13">
      <c r="A32" s="3" t="s">
        <v>792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30">
        <f t="shared" si="3"/>
        <v>-4.9524484109403064E-2</v>
      </c>
      <c r="F32" s="29">
        <f>I22</f>
        <v>-3.4374436916329146E-2</v>
      </c>
    </row>
    <row r="33" spans="1:19">
      <c r="A33" s="3" t="s">
        <v>793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30">
        <f t="shared" si="3"/>
        <v>0.15678489911731786</v>
      </c>
      <c r="F33" s="29">
        <f>J22</f>
        <v>7.0833019962257812E-2</v>
      </c>
    </row>
    <row r="34" spans="1:19">
      <c r="A34" s="3" t="s">
        <v>794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30">
        <f t="shared" si="3"/>
        <v>6.9621604763054068E-2</v>
      </c>
      <c r="F34" s="29">
        <f>K22</f>
        <v>2.1568289877785599E-2</v>
      </c>
      <c r="S34" s="163"/>
    </row>
    <row r="36" spans="1:19">
      <c r="A36" s="1" t="s">
        <v>796</v>
      </c>
      <c r="B36" s="29">
        <f>SUMPRODUCT(MMULT(B21:K21,B3:K12),B21:K21)</f>
        <v>2.3108292817734875E-2</v>
      </c>
      <c r="S36" s="163"/>
    </row>
    <row r="37" spans="1:19">
      <c r="A37" s="1" t="s">
        <v>797</v>
      </c>
      <c r="B37" s="29">
        <f>SUMPRODUCT(B21:K21,B16:K16)</f>
        <v>0.18743861637882939</v>
      </c>
    </row>
    <row r="39" spans="1:19">
      <c r="C39" s="3" t="s">
        <v>799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topLeftCell="A7" workbookViewId="0">
      <selection activeCell="A19" sqref="A19"/>
    </sheetView>
  </sheetViews>
  <sheetFormatPr defaultRowHeight="15"/>
  <cols>
    <col min="1" max="1" width="11.140625" bestFit="1" customWidth="1"/>
    <col min="2" max="2" width="10.7109375" bestFit="1" customWidth="1"/>
    <col min="3" max="3" width="11.7109375" bestFit="1" customWidth="1"/>
    <col min="4" max="4" width="5.85546875" bestFit="1" customWidth="1"/>
    <col min="12" max="12" width="11.140625" bestFit="1" customWidth="1"/>
    <col min="13" max="13" width="2.85546875" customWidth="1"/>
  </cols>
  <sheetData>
    <row r="1" spans="1:12">
      <c r="B1" s="256" t="s">
        <v>191</v>
      </c>
      <c r="C1" s="256"/>
      <c r="D1" s="256"/>
      <c r="E1" s="256"/>
      <c r="F1" s="256"/>
      <c r="G1" s="256"/>
      <c r="H1" s="256"/>
      <c r="I1" s="256"/>
      <c r="J1" s="256"/>
      <c r="K1" s="256"/>
      <c r="L1" s="256"/>
    </row>
    <row r="2" spans="1:12">
      <c r="B2" s="3" t="s">
        <v>8</v>
      </c>
      <c r="C2" s="3" t="s">
        <v>9</v>
      </c>
      <c r="D2" s="3" t="s">
        <v>10</v>
      </c>
      <c r="E2" s="3" t="s">
        <v>467</v>
      </c>
      <c r="F2" s="3" t="s">
        <v>468</v>
      </c>
      <c r="G2" s="3" t="s">
        <v>174</v>
      </c>
      <c r="H2" s="3" t="s">
        <v>791</v>
      </c>
      <c r="I2" s="3" t="s">
        <v>792</v>
      </c>
      <c r="J2" s="3" t="s">
        <v>793</v>
      </c>
      <c r="K2" s="3" t="s">
        <v>794</v>
      </c>
      <c r="L2" s="3" t="s">
        <v>802</v>
      </c>
    </row>
    <row r="3" spans="1:12">
      <c r="A3" s="3" t="s">
        <v>8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9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10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467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468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174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791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792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793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794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802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56" t="s">
        <v>226</v>
      </c>
      <c r="C15" s="256"/>
      <c r="D15" s="256"/>
      <c r="E15" s="256"/>
      <c r="F15" s="256"/>
      <c r="G15" s="256"/>
      <c r="H15" s="256"/>
      <c r="I15" s="256"/>
      <c r="J15" s="256"/>
      <c r="K15" s="256"/>
      <c r="L15" s="256"/>
    </row>
    <row r="16" spans="1:12">
      <c r="B16" s="3" t="s">
        <v>8</v>
      </c>
      <c r="C16" s="3" t="s">
        <v>9</v>
      </c>
      <c r="D16" s="3" t="s">
        <v>10</v>
      </c>
      <c r="E16" s="3" t="s">
        <v>467</v>
      </c>
      <c r="F16" s="3" t="s">
        <v>468</v>
      </c>
      <c r="G16" s="3" t="s">
        <v>174</v>
      </c>
      <c r="H16" s="3" t="s">
        <v>791</v>
      </c>
      <c r="I16" s="3" t="s">
        <v>792</v>
      </c>
      <c r="J16" s="3" t="s">
        <v>793</v>
      </c>
      <c r="K16" s="3" t="s">
        <v>794</v>
      </c>
      <c r="L16" s="3" t="s">
        <v>802</v>
      </c>
    </row>
    <row r="17" spans="1:14">
      <c r="A17" s="1" t="s">
        <v>37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56" t="s">
        <v>478</v>
      </c>
      <c r="C19" s="256"/>
      <c r="D19" s="256"/>
      <c r="E19" s="256"/>
      <c r="F19" s="256"/>
      <c r="G19" s="256"/>
      <c r="H19" s="256"/>
      <c r="I19" s="256"/>
      <c r="J19" s="256"/>
      <c r="K19" s="256"/>
      <c r="L19" s="256"/>
      <c r="N19" t="s">
        <v>20</v>
      </c>
    </row>
    <row r="20" spans="1:14">
      <c r="A20" s="1" t="s">
        <v>527</v>
      </c>
      <c r="B20" s="5">
        <f>B21+B22</f>
        <v>-1.2708499946400646E-3</v>
      </c>
      <c r="C20" s="5">
        <f t="shared" ref="C20:L20" si="0">C21+C22</f>
        <v>-1.4471606584575303E-3</v>
      </c>
      <c r="D20" s="5">
        <f t="shared" si="0"/>
        <v>2.342174714314562E-2</v>
      </c>
      <c r="E20" s="5">
        <f t="shared" si="0"/>
        <v>4.2264381220370635E-2</v>
      </c>
      <c r="F20" s="5">
        <f t="shared" si="0"/>
        <v>-5.8426549862058738E-2</v>
      </c>
      <c r="G20" s="5">
        <f t="shared" si="0"/>
        <v>4.2680217234287242E-2</v>
      </c>
      <c r="H20" s="5">
        <f t="shared" si="0"/>
        <v>5.6371475200149256E-2</v>
      </c>
      <c r="I20" s="5">
        <f t="shared" si="0"/>
        <v>4.802776572416622E-2</v>
      </c>
      <c r="J20" s="5">
        <f t="shared" si="0"/>
        <v>6.8708578250298552E-2</v>
      </c>
      <c r="K20" s="5">
        <f t="shared" si="0"/>
        <v>5.3567897693241155E-2</v>
      </c>
      <c r="L20" s="5">
        <f t="shared" si="0"/>
        <v>0.72610249804949767</v>
      </c>
      <c r="N20" s="14">
        <f>SUM(B20:L20)</f>
        <v>1</v>
      </c>
    </row>
    <row r="21" spans="1:14">
      <c r="A21" s="1" t="s">
        <v>206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262</v>
      </c>
      <c r="B22" s="5">
        <v>-1.2708499946400646E-3</v>
      </c>
      <c r="C22" s="5">
        <v>-1.4471606584575303E-3</v>
      </c>
      <c r="D22" s="5">
        <v>2.342174714314562E-2</v>
      </c>
      <c r="E22" s="5">
        <v>4.2264381220370635E-2</v>
      </c>
      <c r="F22" s="5">
        <v>-5.8426549862058738E-2</v>
      </c>
      <c r="G22" s="5">
        <v>4.2680217234287242E-2</v>
      </c>
      <c r="H22" s="5">
        <v>5.6371475200149256E-2</v>
      </c>
      <c r="I22" s="5">
        <v>4.802776572416622E-2</v>
      </c>
      <c r="J22" s="5">
        <v>6.8708578250298552E-2</v>
      </c>
      <c r="K22" s="5">
        <v>5.3567897693241155E-2</v>
      </c>
      <c r="L22" s="5">
        <f>0-SUM(B22:K22)</f>
        <v>-0.27389750195050233</v>
      </c>
      <c r="N22" s="14">
        <f>SUM(B22:L22)</f>
        <v>0</v>
      </c>
    </row>
    <row r="24" spans="1:14">
      <c r="B24" s="3" t="s">
        <v>798</v>
      </c>
      <c r="C24" s="3" t="s">
        <v>795</v>
      </c>
      <c r="D24" s="3" t="s">
        <v>37</v>
      </c>
      <c r="E24" s="3" t="s">
        <v>100</v>
      </c>
    </row>
    <row r="25" spans="1:14">
      <c r="A25" s="3" t="s">
        <v>8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56" t="s">
        <v>800</v>
      </c>
      <c r="H25" s="256"/>
      <c r="I25" s="256"/>
    </row>
    <row r="26" spans="1:14">
      <c r="A26" s="3" t="s">
        <v>9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100</v>
      </c>
      <c r="H26" s="3" t="s">
        <v>788</v>
      </c>
      <c r="I26" s="3" t="s">
        <v>477</v>
      </c>
    </row>
    <row r="27" spans="1:14">
      <c r="A27" s="3" t="s">
        <v>10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3.5346620467231409E-2</v>
      </c>
      <c r="H27">
        <f>SQRT(SUMPRODUCT(MMULT(B22:L22,B3:L13),B22:L22))</f>
        <v>5.0000997357325383E-2</v>
      </c>
      <c r="I27">
        <f>G27/H27</f>
        <v>0.70691830834156277</v>
      </c>
    </row>
    <row r="28" spans="1:14">
      <c r="A28" s="3" t="s">
        <v>467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468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174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791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792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5">
      <c r="A33" s="3" t="s">
        <v>793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5">
      <c r="A34" s="3" t="s">
        <v>794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5">
      <c r="A35" s="3" t="s">
        <v>802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5">
      <c r="A37" s="1"/>
    </row>
    <row r="38" spans="1:5">
      <c r="C38" s="3" t="s">
        <v>799</v>
      </c>
    </row>
    <row r="39" spans="1:5">
      <c r="C39" cm="1">
        <f t="array" ref="C39">MMULT(B22:L22,C25:C35)</f>
        <v>1.8942514223851958E-11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B32" sqref="B32"/>
    </sheetView>
  </sheetViews>
  <sheetFormatPr defaultRowHeight="15"/>
  <cols>
    <col min="1" max="1" width="8.42578125" customWidth="1"/>
    <col min="2" max="2" width="10.28515625" customWidth="1"/>
    <col min="3" max="3" width="10.42578125" bestFit="1" customWidth="1"/>
    <col min="5" max="5" width="10" customWidth="1"/>
    <col min="6" max="6" width="7" customWidth="1"/>
    <col min="7" max="7" width="12.5703125" customWidth="1"/>
    <col min="8" max="8" width="11.85546875" customWidth="1"/>
    <col min="9" max="9" width="3.85546875" customWidth="1"/>
    <col min="10" max="10" width="13.42578125" bestFit="1" customWidth="1"/>
    <col min="11" max="11" width="9.42578125" customWidth="1"/>
    <col min="12" max="12" width="10.42578125" bestFit="1" customWidth="1"/>
    <col min="13" max="13" width="2.85546875" customWidth="1"/>
    <col min="14" max="14" width="11.7109375" customWidth="1"/>
    <col min="15" max="15" width="9" customWidth="1"/>
    <col min="16" max="16" width="2.85546875" customWidth="1"/>
    <col min="17" max="17" width="11.85546875" customWidth="1"/>
    <col min="18" max="18" width="12.85546875" customWidth="1"/>
    <col min="19" max="19" width="2.7109375" customWidth="1"/>
    <col min="20" max="20" width="11.85546875" customWidth="1"/>
    <col min="21" max="21" width="12.85546875" customWidth="1"/>
    <col min="24" max="24" width="8.28515625" customWidth="1"/>
    <col min="26" max="26" width="12" customWidth="1"/>
  </cols>
  <sheetData>
    <row r="1" spans="1:21">
      <c r="A1" s="236"/>
      <c r="B1" s="236"/>
      <c r="C1" s="238" t="s">
        <v>579</v>
      </c>
      <c r="D1" s="262" t="s">
        <v>803</v>
      </c>
      <c r="E1" s="262"/>
      <c r="F1" s="3"/>
      <c r="G1" s="256" t="s">
        <v>811</v>
      </c>
      <c r="H1" s="256"/>
      <c r="I1" s="3"/>
      <c r="J1" s="263" t="s">
        <v>811</v>
      </c>
      <c r="K1" s="263"/>
      <c r="M1" s="3"/>
      <c r="N1" s="3"/>
      <c r="O1" s="3"/>
    </row>
    <row r="2" spans="1:21">
      <c r="A2" s="239" t="s">
        <v>551</v>
      </c>
      <c r="B2" s="239" t="s">
        <v>816</v>
      </c>
      <c r="C2" s="238" t="s">
        <v>246</v>
      </c>
      <c r="D2" s="238" t="s">
        <v>45</v>
      </c>
      <c r="E2" s="240" t="s">
        <v>206</v>
      </c>
      <c r="F2" s="1"/>
      <c r="G2" s="1" t="s">
        <v>45</v>
      </c>
      <c r="H2" s="1" t="s">
        <v>206</v>
      </c>
      <c r="I2" s="1"/>
      <c r="J2" s="256" t="s">
        <v>804</v>
      </c>
      <c r="K2" s="256"/>
      <c r="M2" s="1"/>
      <c r="N2" s="1"/>
      <c r="O2" s="1"/>
    </row>
    <row r="3" spans="1:21">
      <c r="A3" s="241" t="s">
        <v>8</v>
      </c>
      <c r="B3" s="241">
        <v>1</v>
      </c>
      <c r="C3" s="245">
        <v>1.3631031661925469E-2</v>
      </c>
      <c r="D3" s="242">
        <v>0.23</v>
      </c>
      <c r="E3" s="242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41" t="s">
        <v>9</v>
      </c>
      <c r="B4" s="241">
        <v>1</v>
      </c>
      <c r="C4" s="245">
        <v>-1.30175915692063E-2</v>
      </c>
      <c r="D4" s="242">
        <v>0.21</v>
      </c>
      <c r="E4" s="242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41" t="s">
        <v>10</v>
      </c>
      <c r="B5" s="241">
        <v>1</v>
      </c>
      <c r="C5" s="245">
        <v>1.1811999923555E-3</v>
      </c>
      <c r="D5" s="242">
        <v>0.09</v>
      </c>
      <c r="E5" s="242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41" t="s">
        <v>467</v>
      </c>
      <c r="B6" s="241">
        <v>2</v>
      </c>
      <c r="C6" s="245">
        <v>4.6045465053296292E-2</v>
      </c>
      <c r="D6" s="242">
        <v>0.35</v>
      </c>
      <c r="E6" s="242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41" t="s">
        <v>468</v>
      </c>
      <c r="B7" s="241">
        <v>2</v>
      </c>
      <c r="C7" s="245">
        <v>9.7110800474578002E-3</v>
      </c>
      <c r="D7" s="242">
        <f>1-SUM(D3:D6)</f>
        <v>0.12</v>
      </c>
      <c r="E7" s="242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95</v>
      </c>
      <c r="G9" s="256" t="s">
        <v>813</v>
      </c>
      <c r="H9" s="256"/>
      <c r="I9" s="3"/>
      <c r="J9" s="256" t="s">
        <v>812</v>
      </c>
      <c r="K9" s="256"/>
    </row>
    <row r="10" spans="1:21">
      <c r="B10" s="3" t="s">
        <v>45</v>
      </c>
      <c r="C10" s="3" t="s">
        <v>206</v>
      </c>
      <c r="D10" s="1" t="s">
        <v>806</v>
      </c>
      <c r="G10" s="1" t="s">
        <v>45</v>
      </c>
      <c r="H10" s="1" t="s">
        <v>206</v>
      </c>
      <c r="I10" s="1"/>
      <c r="J10" s="3" t="s">
        <v>45</v>
      </c>
      <c r="K10" s="227" t="s">
        <v>206</v>
      </c>
    </row>
    <row r="11" spans="1:21">
      <c r="A11" s="1" t="s">
        <v>579</v>
      </c>
      <c r="B11" s="199">
        <f>SUMPRODUCT(C3:C7,D3:D7)</f>
        <v>1.7788993426370168E-2</v>
      </c>
      <c r="C11" s="199">
        <f>SUMPRODUCT(E3:E7,C3:C7)</f>
        <v>1.2053360601817102E-2</v>
      </c>
      <c r="D11" s="243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9">
        <f>SUMPRODUCT(G3:G5,C3:C5)</f>
        <v>9.580208528708117E-4</v>
      </c>
      <c r="K11" s="199">
        <f>SUMPRODUCT(H3:H5,C3:C5)</f>
        <v>2.1089923862077807E-3</v>
      </c>
    </row>
    <row r="12" spans="1:21">
      <c r="A12" s="235" t="s">
        <v>818</v>
      </c>
      <c r="B12" s="199">
        <f>B11*12</f>
        <v>0.21346792111644203</v>
      </c>
      <c r="C12" s="199">
        <f>C11*12</f>
        <v>0.14464032722180523</v>
      </c>
      <c r="D12" s="244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9">
        <f>SUMPRODUCT(G6:G7,C6:C7)</f>
        <v>3.6768600796486459E-2</v>
      </c>
      <c r="K12" s="199">
        <f>SUMPRODUCT(H6:H7,C6:C7)</f>
        <v>2.6969912925231085E-2</v>
      </c>
    </row>
    <row r="13" spans="1:21">
      <c r="A13" s="235"/>
      <c r="B13" s="150"/>
      <c r="T13" s="256"/>
      <c r="U13" s="256"/>
    </row>
    <row r="14" spans="1:21">
      <c r="A14" s="235" t="s">
        <v>805</v>
      </c>
      <c r="B14" s="150"/>
      <c r="I14" s="4"/>
      <c r="J14" s="256" t="s">
        <v>825</v>
      </c>
      <c r="K14" s="256"/>
      <c r="P14" s="4"/>
    </row>
    <row r="15" spans="1:21">
      <c r="B15" s="1">
        <v>1</v>
      </c>
      <c r="C15" s="1">
        <v>2</v>
      </c>
      <c r="D15" s="1" t="s">
        <v>20</v>
      </c>
      <c r="I15" s="166">
        <v>1</v>
      </c>
      <c r="J15" s="199">
        <f>J11*12</f>
        <v>1.149625023444974E-2</v>
      </c>
      <c r="K15" s="199">
        <f>K11*12</f>
        <v>2.5307908634493368E-2</v>
      </c>
      <c r="P15" s="4"/>
    </row>
    <row r="16" spans="1:21">
      <c r="A16" s="1" t="s">
        <v>579</v>
      </c>
      <c r="B16" s="199">
        <f>(G11-H11)*(K11-$C$11)</f>
        <v>6.9610577509265198E-4</v>
      </c>
      <c r="C16" s="199">
        <f>(G12-H12)*(K12-$C$11)</f>
        <v>1.044158662638979E-3</v>
      </c>
      <c r="D16" s="199">
        <f>SUM(B16:C16)</f>
        <v>1.7402644377316309E-3</v>
      </c>
      <c r="I16" s="166">
        <v>2</v>
      </c>
      <c r="J16" s="199">
        <f>J12*12</f>
        <v>0.4412232095578375</v>
      </c>
      <c r="K16" s="199">
        <f>K12*12</f>
        <v>0.32363895510277302</v>
      </c>
    </row>
    <row r="17" spans="1:24">
      <c r="A17" s="1" t="s">
        <v>818</v>
      </c>
      <c r="B17" s="199">
        <f>B16*12</f>
        <v>8.3532693011118229E-3</v>
      </c>
      <c r="C17" s="199">
        <f>C16*12</f>
        <v>1.2529903951667747E-2</v>
      </c>
      <c r="D17" s="199">
        <f>D16*12</f>
        <v>2.0883173252779573E-2</v>
      </c>
    </row>
    <row r="18" spans="1:24">
      <c r="A18" s="150"/>
      <c r="B18" s="150"/>
      <c r="U18" s="150"/>
      <c r="V18" s="199"/>
      <c r="W18" s="199"/>
      <c r="X18" s="199"/>
    </row>
    <row r="19" spans="1:24">
      <c r="A19" s="235" t="s">
        <v>807</v>
      </c>
      <c r="B19" s="150"/>
      <c r="V19" s="199"/>
      <c r="W19" s="199"/>
      <c r="X19" s="199"/>
    </row>
    <row r="20" spans="1:24">
      <c r="A20" s="235"/>
      <c r="B20" s="1">
        <v>1</v>
      </c>
      <c r="C20" s="1">
        <v>2</v>
      </c>
      <c r="D20" s="1" t="s">
        <v>20</v>
      </c>
      <c r="V20" s="199"/>
      <c r="W20" s="199"/>
      <c r="X20" s="199"/>
    </row>
    <row r="21" spans="1:24">
      <c r="A21" s="1" t="s">
        <v>579</v>
      </c>
      <c r="B21" s="199">
        <f>H11*(J11-K11)</f>
        <v>-6.9058292000218134E-4</v>
      </c>
      <c r="C21" s="199">
        <f>H12*(J12-K12)</f>
        <v>3.9194751485021493E-3</v>
      </c>
      <c r="D21" s="199">
        <f>SUM(B21:C21)</f>
        <v>3.2288922284999678E-3</v>
      </c>
    </row>
    <row r="22" spans="1:24">
      <c r="A22" s="1" t="s">
        <v>818</v>
      </c>
      <c r="B22" s="199">
        <f>B21*12</f>
        <v>-8.2869950400261752E-3</v>
      </c>
      <c r="C22" s="199">
        <f>C21*12</f>
        <v>4.7033701782025789E-2</v>
      </c>
      <c r="D22" s="199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5" t="s">
        <v>808</v>
      </c>
      <c r="B24" s="150"/>
      <c r="G24">
        <v>86.2</v>
      </c>
    </row>
    <row r="25" spans="1:24">
      <c r="A25" s="235"/>
      <c r="B25" s="1">
        <v>1</v>
      </c>
      <c r="C25" s="1">
        <v>2</v>
      </c>
      <c r="D25" s="1" t="s">
        <v>20</v>
      </c>
    </row>
    <row r="26" spans="1:24">
      <c r="A26" s="1" t="s">
        <v>579</v>
      </c>
      <c r="B26" s="199">
        <f>(G11-H11)*(J11-K11)</f>
        <v>8.0568007333587776E-5</v>
      </c>
      <c r="C26" s="199">
        <f>(G12-H12)*(J12-K12)</f>
        <v>6.8590815098787622E-4</v>
      </c>
      <c r="D26" s="198">
        <f>SUM(B26:C26)</f>
        <v>7.66476158321464E-4</v>
      </c>
    </row>
    <row r="27" spans="1:24">
      <c r="A27" s="1" t="s">
        <v>818</v>
      </c>
      <c r="B27" s="199">
        <f>B26*12</f>
        <v>9.6681608800305331E-4</v>
      </c>
      <c r="C27" s="199">
        <f>C26*12</f>
        <v>8.2308978118545151E-3</v>
      </c>
      <c r="D27" s="199">
        <f>D26*12</f>
        <v>9.1977138998575684E-3</v>
      </c>
    </row>
    <row r="28" spans="1:24">
      <c r="A28" s="150"/>
      <c r="B28" s="199"/>
    </row>
    <row r="29" spans="1:24">
      <c r="B29" s="150"/>
    </row>
    <row r="30" spans="1:24">
      <c r="A30" s="1" t="s">
        <v>809</v>
      </c>
      <c r="B30" s="150"/>
    </row>
    <row r="31" spans="1:24">
      <c r="A31" s="1"/>
      <c r="B31" s="150"/>
    </row>
    <row r="32" spans="1:24">
      <c r="A32" s="1" t="s">
        <v>579</v>
      </c>
      <c r="B32" s="244">
        <f>D16+D21+D26</f>
        <v>5.7356328245530622E-3</v>
      </c>
    </row>
    <row r="33" spans="1:7">
      <c r="A33" s="1" t="s">
        <v>818</v>
      </c>
      <c r="B33" s="244">
        <f>B32*12</f>
        <v>6.8827593894636746E-2</v>
      </c>
    </row>
    <row r="34" spans="1:7">
      <c r="B34" s="150"/>
    </row>
    <row r="35" spans="1:7">
      <c r="A35" s="1" t="s">
        <v>810</v>
      </c>
      <c r="B35" s="150"/>
    </row>
    <row r="36" spans="1:7">
      <c r="A36" s="1"/>
      <c r="B36" s="235" t="s">
        <v>8</v>
      </c>
      <c r="C36" s="1" t="s">
        <v>9</v>
      </c>
      <c r="D36" s="1" t="s">
        <v>10</v>
      </c>
      <c r="E36" s="1" t="s">
        <v>467</v>
      </c>
      <c r="F36" s="1" t="s">
        <v>468</v>
      </c>
      <c r="G36" s="1" t="s">
        <v>20</v>
      </c>
    </row>
    <row r="37" spans="1:7">
      <c r="A37" s="1" t="s">
        <v>579</v>
      </c>
      <c r="B37" s="199">
        <f>(D3-E3)*(C3-$C$11)</f>
        <v>-3.1553421202167329E-5</v>
      </c>
      <c r="C37" s="199">
        <f>(D4-E4)*(C4-$C$11)</f>
        <v>-7.5212856513070213E-4</v>
      </c>
      <c r="D37" s="199">
        <f>(D5-E5)*(C5-$C$11)</f>
        <v>8.6977284875692834E-4</v>
      </c>
      <c r="E37" s="199">
        <f>(D6-E6)*(C6-$C$11)</f>
        <v>5.4387367122366694E-3</v>
      </c>
      <c r="F37" s="199">
        <f>(D7-E7)*(C7-$C$11)</f>
        <v>2.108052498923371E-4</v>
      </c>
      <c r="G37" s="243">
        <f>SUM(B37:F37)</f>
        <v>5.7356328245530656E-3</v>
      </c>
    </row>
    <row r="38" spans="1:7">
      <c r="A38" s="1" t="s">
        <v>818</v>
      </c>
      <c r="B38" s="199">
        <f>B37*12</f>
        <v>-3.7864105442600795E-4</v>
      </c>
      <c r="C38" s="199">
        <f>C37*12</f>
        <v>-9.0255427815684255E-3</v>
      </c>
      <c r="D38" s="199">
        <f>D37*12</f>
        <v>1.043727418508314E-2</v>
      </c>
      <c r="E38" s="199">
        <f>E37*12</f>
        <v>6.5264840546840036E-2</v>
      </c>
      <c r="F38" s="199">
        <f>F37*12</f>
        <v>2.5296629987080453E-3</v>
      </c>
      <c r="G38" s="243">
        <f>SUM(B38:F38)</f>
        <v>6.8827593894636788E-2</v>
      </c>
    </row>
    <row r="40" spans="1:7">
      <c r="B40" s="244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E7" sqref="E7"/>
    </sheetView>
  </sheetViews>
  <sheetFormatPr defaultRowHeight="15"/>
  <cols>
    <col min="7" max="7" width="7.140625" customWidth="1"/>
    <col min="13" max="13" width="3.140625" customWidth="1"/>
    <col min="19" max="19" width="8.5703125" bestFit="1" customWidth="1"/>
    <col min="20" max="20" width="12.7109375" bestFit="1" customWidth="1"/>
    <col min="21" max="21" width="12.7109375" customWidth="1"/>
    <col min="22" max="22" width="12.7109375" bestFit="1" customWidth="1"/>
    <col min="23" max="23" width="2.140625" customWidth="1"/>
    <col min="24" max="24" width="11.85546875" customWidth="1"/>
    <col min="25" max="25" width="9.85546875" customWidth="1"/>
    <col min="26" max="26" width="8.42578125" bestFit="1" customWidth="1"/>
    <col min="27" max="31" width="9.5703125" bestFit="1" customWidth="1"/>
    <col min="32" max="32" width="1.42578125" customWidth="1"/>
    <col min="38" max="38" width="1.42578125" customWidth="1"/>
    <col min="41" max="41" width="1.42578125" customWidth="1"/>
    <col min="44" max="44" width="1.7109375" customWidth="1"/>
    <col min="47" max="47" width="1.5703125" customWidth="1"/>
    <col min="50" max="50" width="1.42578125" customWidth="1"/>
    <col min="51" max="51" width="13.140625" customWidth="1"/>
    <col min="52" max="52" width="12.7109375" bestFit="1" customWidth="1"/>
    <col min="53" max="53" width="1.7109375" customWidth="1"/>
    <col min="54" max="54" width="19.5703125" bestFit="1" customWidth="1"/>
    <col min="55" max="55" width="20.85546875" bestFit="1" customWidth="1"/>
  </cols>
  <sheetData>
    <row r="1" spans="1:55">
      <c r="A1" s="238"/>
      <c r="B1" s="264" t="s">
        <v>824</v>
      </c>
      <c r="C1" s="264"/>
      <c r="D1" s="264"/>
      <c r="E1" s="264"/>
      <c r="F1" s="264"/>
      <c r="G1" s="237"/>
      <c r="H1" s="264" t="s">
        <v>815</v>
      </c>
      <c r="I1" s="264"/>
      <c r="J1" s="264"/>
      <c r="K1" s="264"/>
      <c r="L1" s="264"/>
      <c r="M1" s="238"/>
      <c r="N1" s="264" t="s">
        <v>817</v>
      </c>
      <c r="O1" s="264"/>
      <c r="P1" s="264"/>
      <c r="Q1" s="264"/>
      <c r="R1" s="264"/>
      <c r="T1" s="256" t="s">
        <v>246</v>
      </c>
      <c r="U1" s="256"/>
      <c r="V1" s="256"/>
      <c r="X1" s="256" t="s">
        <v>94</v>
      </c>
      <c r="Y1" s="256"/>
      <c r="AA1" s="256" t="s">
        <v>819</v>
      </c>
      <c r="AB1" s="256"/>
      <c r="AC1" s="256"/>
      <c r="AD1" s="256"/>
      <c r="AE1" s="256"/>
      <c r="AG1" s="256"/>
      <c r="AH1" s="256"/>
      <c r="AI1" s="256"/>
      <c r="AJ1" s="256"/>
      <c r="AK1" s="256"/>
      <c r="AM1" s="256"/>
      <c r="AN1" s="256"/>
      <c r="AP1" s="256"/>
      <c r="AQ1" s="256"/>
      <c r="AS1" s="1"/>
      <c r="AV1" s="1"/>
      <c r="AY1" s="256"/>
      <c r="AZ1" s="256"/>
      <c r="BB1" s="1"/>
      <c r="BC1" s="1"/>
    </row>
    <row r="2" spans="1:55">
      <c r="A2" s="250" t="s">
        <v>244</v>
      </c>
      <c r="B2" s="241" t="s">
        <v>8</v>
      </c>
      <c r="C2" s="241" t="s">
        <v>9</v>
      </c>
      <c r="D2" s="241" t="s">
        <v>10</v>
      </c>
      <c r="E2" s="241" t="s">
        <v>467</v>
      </c>
      <c r="F2" s="241" t="s">
        <v>468</v>
      </c>
      <c r="G2" s="237"/>
      <c r="H2" s="241" t="s">
        <v>8</v>
      </c>
      <c r="I2" s="241" t="s">
        <v>9</v>
      </c>
      <c r="J2" s="241" t="s">
        <v>10</v>
      </c>
      <c r="K2" s="241" t="s">
        <v>467</v>
      </c>
      <c r="L2" s="241" t="s">
        <v>468</v>
      </c>
      <c r="M2" s="241"/>
      <c r="N2" s="241" t="s">
        <v>8</v>
      </c>
      <c r="O2" s="241" t="s">
        <v>9</v>
      </c>
      <c r="P2" s="241" t="s">
        <v>10</v>
      </c>
      <c r="Q2" s="241" t="s">
        <v>467</v>
      </c>
      <c r="R2" s="241" t="s">
        <v>468</v>
      </c>
      <c r="T2" s="1" t="s">
        <v>206</v>
      </c>
      <c r="U2" s="1" t="s">
        <v>45</v>
      </c>
      <c r="V2" s="1" t="s">
        <v>814</v>
      </c>
      <c r="X2" s="1" t="s">
        <v>206</v>
      </c>
      <c r="Y2" s="1" t="s">
        <v>45</v>
      </c>
      <c r="AA2" s="246" t="s">
        <v>8</v>
      </c>
      <c r="AB2" s="246" t="s">
        <v>9</v>
      </c>
      <c r="AC2" s="246" t="s">
        <v>10</v>
      </c>
      <c r="AD2" s="246" t="s">
        <v>467</v>
      </c>
      <c r="AE2" s="246" t="s">
        <v>468</v>
      </c>
      <c r="AG2" s="246" t="s">
        <v>804</v>
      </c>
      <c r="BB2" s="1"/>
      <c r="BC2" s="1"/>
    </row>
    <row r="3" spans="1:55">
      <c r="A3" s="236">
        <v>44227</v>
      </c>
      <c r="B3" s="251">
        <v>-2.5249999999999999E-3</v>
      </c>
      <c r="C3" s="251">
        <v>6.471563881394104E-3</v>
      </c>
      <c r="D3" s="251">
        <v>-3.8583333333333334E-3</v>
      </c>
      <c r="E3" s="251">
        <v>-8.7735389038784591E-3</v>
      </c>
      <c r="F3" s="237">
        <v>2.3797183607428452E-3</v>
      </c>
      <c r="G3" s="252"/>
      <c r="H3" s="251">
        <v>0.22097187842590618</v>
      </c>
      <c r="I3" s="251">
        <v>0.15034550496306842</v>
      </c>
      <c r="J3" s="251">
        <v>0.36630222879224561</v>
      </c>
      <c r="K3" s="251">
        <v>7.3121549290883922E-2</v>
      </c>
      <c r="L3" s="251">
        <v>0.18925883852789588</v>
      </c>
      <c r="M3" s="251"/>
      <c r="N3" s="251">
        <v>0.21892707629244659</v>
      </c>
      <c r="O3" s="251">
        <v>0.35485153512260514</v>
      </c>
      <c r="P3" s="251">
        <f t="shared" ref="P3:P61" si="0">1-N3-O3-Q3-R3</f>
        <v>0.31529549642456789</v>
      </c>
      <c r="Q3" s="251">
        <v>0.30888241565721075</v>
      </c>
      <c r="R3" s="251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7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7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6">
        <v>44255</v>
      </c>
      <c r="B4" s="251">
        <v>-8.0000000000000004E-4</v>
      </c>
      <c r="C4" s="251">
        <v>1.819773646866088E-2</v>
      </c>
      <c r="D4" s="251">
        <v>2.5841666666666666E-2</v>
      </c>
      <c r="E4" s="251">
        <v>6.5288062706550867E-3</v>
      </c>
      <c r="F4" s="237">
        <v>3.0568633695744214E-3</v>
      </c>
      <c r="G4" s="252"/>
      <c r="H4" s="251">
        <v>0.21240500696561546</v>
      </c>
      <c r="I4" s="251">
        <v>0.14991969847052533</v>
      </c>
      <c r="J4" s="251">
        <v>0.38974372703432986</v>
      </c>
      <c r="K4" s="251">
        <v>7.924176231430051E-2</v>
      </c>
      <c r="L4" s="251">
        <v>0.16868980521522892</v>
      </c>
      <c r="M4" s="251"/>
      <c r="N4" s="251">
        <v>0.20811338912089603</v>
      </c>
      <c r="O4" s="251">
        <v>0.26253256675020964</v>
      </c>
      <c r="P4" s="251">
        <f t="shared" si="0"/>
        <v>0.27268012162847388</v>
      </c>
      <c r="Q4" s="251">
        <v>0.24814840163740468</v>
      </c>
      <c r="R4" s="251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7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7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6">
        <v>44286</v>
      </c>
      <c r="B5" s="251">
        <v>2.225E-3</v>
      </c>
      <c r="C5" s="251">
        <v>1.8306919284992909E-2</v>
      </c>
      <c r="D5" s="251">
        <v>1.8191666666666665E-2</v>
      </c>
      <c r="E5" s="251">
        <v>2.4721719033191508E-3</v>
      </c>
      <c r="F5" s="237">
        <v>2.4506622112136396E-3</v>
      </c>
      <c r="G5" s="252"/>
      <c r="H5" s="251">
        <v>0.20824763079398931</v>
      </c>
      <c r="I5" s="251">
        <v>0.1461354884834605</v>
      </c>
      <c r="J5" s="251">
        <v>0.40630447118100188</v>
      </c>
      <c r="K5" s="251">
        <v>8.1956873935074809E-2</v>
      </c>
      <c r="L5" s="251">
        <v>0.15735553560647336</v>
      </c>
      <c r="M5" s="251"/>
      <c r="N5" s="251">
        <v>0.20391845081808666</v>
      </c>
      <c r="O5" s="251">
        <v>0.41153719114755455</v>
      </c>
      <c r="P5" s="251">
        <f t="shared" si="0"/>
        <v>0.26856884701171146</v>
      </c>
      <c r="Q5" s="251">
        <v>0.15060843435285873</v>
      </c>
      <c r="R5" s="251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7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7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6">
        <v>44316</v>
      </c>
      <c r="B6" s="251">
        <v>-3.4499999999999999E-3</v>
      </c>
      <c r="C6" s="251">
        <v>5.7206784725130997E-3</v>
      </c>
      <c r="D6" s="251">
        <v>1.2041666666666666E-2</v>
      </c>
      <c r="E6" s="251">
        <v>-1.0625309721640467E-2</v>
      </c>
      <c r="F6" s="237">
        <v>1.3252950199326733E-3</v>
      </c>
      <c r="G6" s="252"/>
      <c r="H6" s="251">
        <v>0.20297317983485053</v>
      </c>
      <c r="I6" s="251">
        <v>0.14391698735023037</v>
      </c>
      <c r="J6" s="251">
        <v>0.42089671292781722</v>
      </c>
      <c r="K6" s="251">
        <v>8.3088643302059076E-2</v>
      </c>
      <c r="L6" s="251">
        <v>0.1491244765850428</v>
      </c>
      <c r="M6" s="251"/>
      <c r="N6" s="251">
        <v>0.20649628152827726</v>
      </c>
      <c r="O6" s="251">
        <v>0.37601249381331381</v>
      </c>
      <c r="P6" s="251">
        <f t="shared" si="0"/>
        <v>0.24977269697384341</v>
      </c>
      <c r="Q6" s="251">
        <v>7.3895301639883115E-2</v>
      </c>
      <c r="R6" s="251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7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7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6">
        <v>44347</v>
      </c>
      <c r="B7" s="251">
        <v>-8.175E-3</v>
      </c>
      <c r="C7" s="251">
        <v>-2.7308080622184209E-3</v>
      </c>
      <c r="D7" s="251">
        <v>9.9166666666666674E-4</v>
      </c>
      <c r="E7" s="251">
        <v>-1.7553282791103509E-2</v>
      </c>
      <c r="F7" s="237">
        <v>1.4602133096165198E-3</v>
      </c>
      <c r="G7" s="252"/>
      <c r="H7" s="251">
        <v>0.1975624460712789</v>
      </c>
      <c r="I7" s="251">
        <v>0.14618694600528101</v>
      </c>
      <c r="J7" s="251">
        <v>0.42520599509176865</v>
      </c>
      <c r="K7" s="251">
        <v>8.3674575106909538E-2</v>
      </c>
      <c r="L7" s="251">
        <v>0.14737003772476204</v>
      </c>
      <c r="M7" s="251"/>
      <c r="N7" s="251">
        <v>0.21456078042774615</v>
      </c>
      <c r="O7" s="251">
        <v>0.38989283445752221</v>
      </c>
      <c r="P7" s="251">
        <f t="shared" si="0"/>
        <v>0.32637671253755296</v>
      </c>
      <c r="Q7" s="251">
        <v>0.11645827928403676</v>
      </c>
      <c r="R7" s="251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7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7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6">
        <v>44377</v>
      </c>
      <c r="B8" s="251">
        <v>9.7499999999999996E-4</v>
      </c>
      <c r="C8" s="251">
        <v>9.2902365215122712E-3</v>
      </c>
      <c r="D8" s="251">
        <v>1.2516666666666667E-2</v>
      </c>
      <c r="E8" s="251">
        <v>-1.1736193623642126E-2</v>
      </c>
      <c r="F8" s="237">
        <v>1.7066002717358061E-3</v>
      </c>
      <c r="G8" s="252"/>
      <c r="H8" s="251">
        <v>0.19597571040033596</v>
      </c>
      <c r="I8" s="251">
        <v>0.13881113820914745</v>
      </c>
      <c r="J8" s="251">
        <v>0.44118795803876776</v>
      </c>
      <c r="K8" s="251">
        <v>8.2440312721772449E-2</v>
      </c>
      <c r="L8" s="251">
        <v>0.14158488062997632</v>
      </c>
      <c r="M8" s="251"/>
      <c r="N8" s="251">
        <v>0.18053923542956124</v>
      </c>
      <c r="O8" s="251">
        <v>0.41506593209896803</v>
      </c>
      <c r="P8" s="251">
        <f t="shared" si="0"/>
        <v>0.390439613115864</v>
      </c>
      <c r="Q8" s="251">
        <v>2.9704002717515776E-2</v>
      </c>
      <c r="R8" s="251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7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7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6">
        <v>44408</v>
      </c>
      <c r="B9" s="251">
        <v>2.3249999999999998E-3</v>
      </c>
      <c r="C9" s="251">
        <v>2.0023784370391512E-2</v>
      </c>
      <c r="D9" s="251">
        <v>-1.1433333333333334E-2</v>
      </c>
      <c r="E9" s="251">
        <v>8.8559020741163577E-3</v>
      </c>
      <c r="F9" s="237">
        <v>3.9829323299750106E-3</v>
      </c>
      <c r="G9" s="252"/>
      <c r="H9" s="251">
        <v>0.19822781366444089</v>
      </c>
      <c r="I9" s="251">
        <v>0.14521497864317884</v>
      </c>
      <c r="J9" s="251">
        <v>0.42192520906878106</v>
      </c>
      <c r="K9" s="251">
        <v>8.3346386262563923E-2</v>
      </c>
      <c r="L9" s="251">
        <v>0.15128561236103516</v>
      </c>
      <c r="M9" s="251"/>
      <c r="N9" s="251">
        <v>0.21430291994913844</v>
      </c>
      <c r="O9" s="251">
        <v>0.27402276432998279</v>
      </c>
      <c r="P9" s="251">
        <f t="shared" si="0"/>
        <v>0.2825573374955862</v>
      </c>
      <c r="Q9" s="251">
        <v>0.15870961967550001</v>
      </c>
      <c r="R9" s="251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7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7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6">
        <v>44439</v>
      </c>
      <c r="B10" s="251">
        <v>1.3950000000000001E-2</v>
      </c>
      <c r="C10" s="251">
        <v>3.4135831394535493E-2</v>
      </c>
      <c r="D10" s="251">
        <v>-1.1133333333333334E-2</v>
      </c>
      <c r="E10" s="251">
        <v>1.9154996122404309E-2</v>
      </c>
      <c r="F10" s="237">
        <v>4.4005879671470032E-3</v>
      </c>
      <c r="G10" s="252"/>
      <c r="H10" s="251">
        <v>0.2090983547806366</v>
      </c>
      <c r="I10" s="251">
        <v>0.14609349432986424</v>
      </c>
      <c r="J10" s="251">
        <v>0.4027683925871901</v>
      </c>
      <c r="K10" s="251">
        <v>7.7258364401470436E-2</v>
      </c>
      <c r="L10" s="251">
        <v>0.16478139390083871</v>
      </c>
      <c r="M10" s="251"/>
      <c r="N10" s="251">
        <v>0.23492797364078916</v>
      </c>
      <c r="O10" s="251">
        <v>0.41217036038581945</v>
      </c>
      <c r="P10" s="251">
        <f t="shared" si="0"/>
        <v>0.1943477724281768</v>
      </c>
      <c r="Q10" s="251">
        <v>0.15481251370755866</v>
      </c>
      <c r="R10" s="251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7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7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6">
        <v>44469</v>
      </c>
      <c r="B11" s="251">
        <v>5.2500000000000003E-3</v>
      </c>
      <c r="C11" s="251">
        <v>2.3968673347312869E-2</v>
      </c>
      <c r="D11" s="251">
        <v>1.4416666666666666E-2</v>
      </c>
      <c r="E11" s="251">
        <v>1.1420680027959075E-2</v>
      </c>
      <c r="F11" s="237">
        <v>4.273107869715677E-3</v>
      </c>
      <c r="G11" s="252"/>
      <c r="H11" s="251">
        <v>0.20716539829861208</v>
      </c>
      <c r="I11" s="251">
        <v>0.14594325473918096</v>
      </c>
      <c r="J11" s="251">
        <v>0.41337581165141984</v>
      </c>
      <c r="K11" s="251">
        <v>7.8028571234559072E-2</v>
      </c>
      <c r="L11" s="251">
        <v>0.15548696407622806</v>
      </c>
      <c r="M11" s="251"/>
      <c r="N11" s="251">
        <v>0.20427888155602919</v>
      </c>
      <c r="O11" s="251">
        <v>0.40848100406212717</v>
      </c>
      <c r="P11" s="251">
        <f t="shared" si="0"/>
        <v>0.28415755988949781</v>
      </c>
      <c r="Q11" s="251">
        <v>0.13741749654897434</v>
      </c>
      <c r="R11" s="251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7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7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6">
        <v>44500</v>
      </c>
      <c r="B12" s="251">
        <v>2.5250000000000002E-2</v>
      </c>
      <c r="C12" s="251">
        <v>5.3624346855853218E-2</v>
      </c>
      <c r="D12" s="251">
        <v>1.8166666666666665E-3</v>
      </c>
      <c r="E12" s="251">
        <v>3.7157027045039773E-2</v>
      </c>
      <c r="F12" s="237">
        <v>6.7471746203504159E-3</v>
      </c>
      <c r="G12" s="252"/>
      <c r="H12" s="251">
        <v>0.22098063474116256</v>
      </c>
      <c r="I12" s="251">
        <v>0.14157398740686397</v>
      </c>
      <c r="J12" s="251">
        <v>0.40340307207656911</v>
      </c>
      <c r="K12" s="251">
        <v>7.1786708198400759E-2</v>
      </c>
      <c r="L12" s="251">
        <v>0.16225559757700372</v>
      </c>
      <c r="M12" s="251"/>
      <c r="N12" s="251">
        <v>0.1926023230125696</v>
      </c>
      <c r="O12" s="251">
        <v>0.39161480204273169</v>
      </c>
      <c r="P12" s="251">
        <f t="shared" si="0"/>
        <v>0.26330362570263577</v>
      </c>
      <c r="Q12" s="251">
        <v>0.11295794304553451</v>
      </c>
      <c r="R12" s="251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7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7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6">
        <v>44530</v>
      </c>
      <c r="B13" s="251">
        <v>3.875E-3</v>
      </c>
      <c r="C13" s="251">
        <v>2.3605412736136352E-2</v>
      </c>
      <c r="D13" s="251">
        <v>9.7166666666666669E-3</v>
      </c>
      <c r="E13" s="251">
        <v>1.3244158805606032E-2</v>
      </c>
      <c r="F13" s="237">
        <v>3.7374044158271866E-3</v>
      </c>
      <c r="G13" s="252"/>
      <c r="H13" s="251">
        <v>0.21859191524492591</v>
      </c>
      <c r="I13" s="251">
        <v>0.14405209467160709</v>
      </c>
      <c r="J13" s="251">
        <v>0.40822440400436782</v>
      </c>
      <c r="K13" s="251">
        <v>7.3213416151146252E-2</v>
      </c>
      <c r="L13" s="251">
        <v>0.1559181699279529</v>
      </c>
      <c r="M13" s="251"/>
      <c r="N13" s="251">
        <v>0.21966181414189298</v>
      </c>
      <c r="O13" s="251">
        <v>0.21732295063669987</v>
      </c>
      <c r="P13" s="251">
        <f t="shared" si="0"/>
        <v>0.32517108012289986</v>
      </c>
      <c r="Q13" s="251">
        <v>0.13168511605882349</v>
      </c>
      <c r="R13" s="251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7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7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6">
        <v>44561</v>
      </c>
      <c r="B14" s="251">
        <v>9.4750000000000008E-3</v>
      </c>
      <c r="C14" s="251">
        <v>3.1687457995366271E-2</v>
      </c>
      <c r="D14" s="251">
        <v>1.1216666666666666E-2</v>
      </c>
      <c r="E14" s="251">
        <v>1.8383249324065883E-2</v>
      </c>
      <c r="F14" s="237">
        <v>4.9865615317475015E-3</v>
      </c>
      <c r="G14" s="252"/>
      <c r="H14" s="251">
        <v>0.21955003043753279</v>
      </c>
      <c r="I14" s="251">
        <v>0.14260178266776033</v>
      </c>
      <c r="J14" s="251">
        <v>0.41276582498373371</v>
      </c>
      <c r="K14" s="251">
        <v>7.3867310484741058E-2</v>
      </c>
      <c r="L14" s="251">
        <v>0.15121505142623193</v>
      </c>
      <c r="M14" s="251"/>
      <c r="N14" s="251">
        <v>0.23444779583078529</v>
      </c>
      <c r="O14" s="251">
        <v>0.23517775507162564</v>
      </c>
      <c r="P14" s="251">
        <f t="shared" si="0"/>
        <v>0.37375596437873221</v>
      </c>
      <c r="Q14" s="251">
        <v>0.11362678218104778</v>
      </c>
      <c r="R14" s="251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7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7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6">
        <v>44592</v>
      </c>
      <c r="B15" s="251">
        <v>5.8250000000000003E-3</v>
      </c>
      <c r="C15" s="251">
        <v>2.6075907604342502E-2</v>
      </c>
      <c r="D15" s="251">
        <v>8.9916666666666669E-3</v>
      </c>
      <c r="E15" s="251">
        <v>1.4610148542018336E-2</v>
      </c>
      <c r="F15" s="237">
        <v>4.4481495445313343E-3</v>
      </c>
      <c r="G15" s="252"/>
      <c r="H15" s="251">
        <v>0.21867470864678992</v>
      </c>
      <c r="I15" s="251">
        <v>0.14397180754957106</v>
      </c>
      <c r="J15" s="251">
        <v>0.4162091227657701</v>
      </c>
      <c r="K15" s="251">
        <v>7.4564996473675871E-2</v>
      </c>
      <c r="L15" s="251">
        <v>0.1465793645641931</v>
      </c>
      <c r="M15" s="251"/>
      <c r="N15" s="251">
        <v>0.24867386049248538</v>
      </c>
      <c r="O15" s="251">
        <v>0.40967350704104488</v>
      </c>
      <c r="P15" s="251">
        <f t="shared" si="0"/>
        <v>0.37402630799469333</v>
      </c>
      <c r="Q15" s="251">
        <v>0.10082898788114386</v>
      </c>
      <c r="R15" s="251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7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7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6">
        <v>44620</v>
      </c>
      <c r="B16" s="251">
        <v>2.8E-3</v>
      </c>
      <c r="C16" s="251">
        <v>1.8546510594036954E-2</v>
      </c>
      <c r="D16" s="251">
        <v>1.1641666666666666E-2</v>
      </c>
      <c r="E16" s="251">
        <v>4.126354521407239E-3</v>
      </c>
      <c r="F16" s="237">
        <v>2.5247902067362157E-3</v>
      </c>
      <c r="G16" s="252"/>
      <c r="H16" s="251">
        <v>0.21600122639159061</v>
      </c>
      <c r="I16" s="251">
        <v>0.14260072542086918</v>
      </c>
      <c r="J16" s="251">
        <v>0.42549953800436341</v>
      </c>
      <c r="K16" s="251">
        <v>7.5707396866060192E-2</v>
      </c>
      <c r="L16" s="251">
        <v>0.14019111331711648</v>
      </c>
      <c r="M16" s="251"/>
      <c r="N16" s="251">
        <v>0.24088169658097294</v>
      </c>
      <c r="O16" s="251">
        <v>0.38686840875039552</v>
      </c>
      <c r="P16" s="251">
        <f t="shared" si="0"/>
        <v>0.36286809910597512</v>
      </c>
      <c r="Q16" s="251">
        <v>0.16936335405917408</v>
      </c>
      <c r="R16" s="251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7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7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6">
        <v>44651</v>
      </c>
      <c r="B17" s="251">
        <v>2.845E-2</v>
      </c>
      <c r="C17" s="251">
        <v>5.9065629507793344E-2</v>
      </c>
      <c r="D17" s="251">
        <v>1.3166666666666667E-3</v>
      </c>
      <c r="E17" s="251">
        <v>4.2639592348920029E-2</v>
      </c>
      <c r="F17" s="237">
        <v>7.6908217390999198E-3</v>
      </c>
      <c r="G17" s="252"/>
      <c r="H17" s="251">
        <v>0.23245891742086547</v>
      </c>
      <c r="I17" s="251">
        <v>0.13779500256746446</v>
      </c>
      <c r="J17" s="251">
        <v>0.4132978589355879</v>
      </c>
      <c r="K17" s="251">
        <v>6.9083935881786962E-2</v>
      </c>
      <c r="L17" s="251">
        <v>0.14736428519429509</v>
      </c>
      <c r="M17" s="251"/>
      <c r="N17" s="251">
        <v>0.20461629807161677</v>
      </c>
      <c r="O17" s="251">
        <v>0.35106355943123246</v>
      </c>
      <c r="P17" s="251">
        <f t="shared" si="0"/>
        <v>0.26923917748852905</v>
      </c>
      <c r="Q17" s="251">
        <v>0.15794867498596105</v>
      </c>
      <c r="R17" s="251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7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7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6">
        <v>44681</v>
      </c>
      <c r="B18" s="251">
        <v>-7.4250000000000002E-3</v>
      </c>
      <c r="C18" s="251">
        <v>-6.2158360476605602E-3</v>
      </c>
      <c r="D18" s="251">
        <v>-1.9833333333333335E-3</v>
      </c>
      <c r="E18" s="251">
        <v>-2.5098338761987787E-2</v>
      </c>
      <c r="F18" s="237">
        <v>1.5531360383145513E-3</v>
      </c>
      <c r="G18" s="252"/>
      <c r="H18" s="251">
        <v>0.2296048206588959</v>
      </c>
      <c r="I18" s="251">
        <v>0.13678581887072994</v>
      </c>
      <c r="J18" s="251">
        <v>0.41738109376191868</v>
      </c>
      <c r="K18" s="251">
        <v>6.7223062483905527E-2</v>
      </c>
      <c r="L18" s="251">
        <v>0.14900520422454983</v>
      </c>
      <c r="M18" s="251"/>
      <c r="N18" s="251">
        <v>0.23907615412612285</v>
      </c>
      <c r="O18" s="251">
        <v>0.35464416348436256</v>
      </c>
      <c r="P18" s="251">
        <f t="shared" si="0"/>
        <v>0.28328779123692099</v>
      </c>
      <c r="Q18" s="251">
        <v>0.12600092104556709</v>
      </c>
      <c r="R18" s="251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7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7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6">
        <v>44712</v>
      </c>
      <c r="B19" s="251">
        <v>1.5975E-2</v>
      </c>
      <c r="C19" s="251">
        <v>4.1501101374272542E-2</v>
      </c>
      <c r="D19" s="251">
        <v>6.8166666666666662E-3</v>
      </c>
      <c r="E19" s="251">
        <v>2.9085536081878423E-2</v>
      </c>
      <c r="F19" s="237">
        <v>4.8086282162078716E-3</v>
      </c>
      <c r="G19" s="252"/>
      <c r="H19" s="251">
        <v>0.23600797609362939</v>
      </c>
      <c r="I19" s="251">
        <v>0.1363538601772733</v>
      </c>
      <c r="J19" s="251">
        <v>0.41424839894814947</v>
      </c>
      <c r="K19" s="251">
        <v>6.5181419784010847E-2</v>
      </c>
      <c r="L19" s="251">
        <v>0.14820834499693714</v>
      </c>
      <c r="M19" s="251"/>
      <c r="N19" s="251">
        <v>0.26103414733423574</v>
      </c>
      <c r="O19" s="251">
        <v>0.34015171228727453</v>
      </c>
      <c r="P19" s="251">
        <f t="shared" si="0"/>
        <v>0.28199354901331553</v>
      </c>
      <c r="Q19" s="251">
        <v>0.1640056943067871</v>
      </c>
      <c r="R19" s="251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7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7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6">
        <v>44742</v>
      </c>
      <c r="B20" s="251">
        <v>5.0000000000000001E-4</v>
      </c>
      <c r="C20" s="251">
        <v>1.2951226667778974E-2</v>
      </c>
      <c r="D20" s="251">
        <v>9.0916666666666663E-3</v>
      </c>
      <c r="E20" s="251">
        <v>-4.9642133311087189E-3</v>
      </c>
      <c r="F20" s="237">
        <v>2.4903744963362989E-3</v>
      </c>
      <c r="G20" s="252"/>
      <c r="H20" s="251">
        <v>0.23316917867449913</v>
      </c>
      <c r="I20" s="251">
        <v>0.13247747589520489</v>
      </c>
      <c r="J20" s="251">
        <v>0.42330267742504146</v>
      </c>
      <c r="K20" s="251">
        <v>6.6364018785202428E-2</v>
      </c>
      <c r="L20" s="251">
        <v>0.14468664922005209</v>
      </c>
      <c r="M20" s="251"/>
      <c r="N20" s="251">
        <v>0.2344683839231507</v>
      </c>
      <c r="O20" s="251">
        <v>0.32905910145556166</v>
      </c>
      <c r="P20" s="251">
        <f t="shared" si="0"/>
        <v>0.26121806109988616</v>
      </c>
      <c r="Q20" s="251">
        <v>0.17288762070583741</v>
      </c>
      <c r="R20" s="251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7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7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6">
        <v>44773</v>
      </c>
      <c r="B21" s="251">
        <v>3.375E-3</v>
      </c>
      <c r="C21" s="251">
        <v>1.61896705659492E-2</v>
      </c>
      <c r="D21" s="251">
        <v>-1.6833333333333333E-3</v>
      </c>
      <c r="E21" s="251">
        <v>1.9876744652317334E-3</v>
      </c>
      <c r="F21" s="237">
        <v>3.4212395243524954E-3</v>
      </c>
      <c r="G21" s="252"/>
      <c r="H21" s="251">
        <v>0.23562700459940888</v>
      </c>
      <c r="I21" s="251">
        <v>0.13425257504697855</v>
      </c>
      <c r="J21" s="251">
        <v>0.41922487403050285</v>
      </c>
      <c r="K21" s="251">
        <v>6.3774897007140258E-2</v>
      </c>
      <c r="L21" s="251">
        <v>0.14712064931596935</v>
      </c>
      <c r="M21" s="251"/>
      <c r="N21" s="251">
        <v>0.25655130926028424</v>
      </c>
      <c r="O21" s="251">
        <v>0.44046339592909406</v>
      </c>
      <c r="P21" s="251">
        <f t="shared" si="0"/>
        <v>0.27085818902955616</v>
      </c>
      <c r="Q21" s="251">
        <v>0.20050406852886912</v>
      </c>
      <c r="R21" s="251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7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7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6">
        <v>44804</v>
      </c>
      <c r="B22" s="251">
        <v>5.3E-3</v>
      </c>
      <c r="C22" s="251">
        <v>1.890835586358007E-2</v>
      </c>
      <c r="D22" s="251">
        <v>-7.0833333333333338E-3</v>
      </c>
      <c r="E22" s="251">
        <v>4.2000450604934778E-3</v>
      </c>
      <c r="F22" s="237">
        <v>3.1314831386528384E-3</v>
      </c>
      <c r="G22" s="252"/>
      <c r="H22" s="251">
        <v>0.24104001594698796</v>
      </c>
      <c r="I22" s="251">
        <v>0.13629670994490534</v>
      </c>
      <c r="J22" s="251">
        <v>0.40805398757244654</v>
      </c>
      <c r="K22" s="251">
        <v>6.0365512739702629E-2</v>
      </c>
      <c r="L22" s="251">
        <v>0.15424377379595747</v>
      </c>
      <c r="M22" s="251"/>
      <c r="N22" s="251">
        <v>0.22331798079065787</v>
      </c>
      <c r="O22" s="251">
        <v>0.45631420609675499</v>
      </c>
      <c r="P22" s="251">
        <f t="shared" si="0"/>
        <v>0.30329175275542031</v>
      </c>
      <c r="Q22" s="251">
        <v>0.13252152677367424</v>
      </c>
      <c r="R22" s="251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7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7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6">
        <v>44834</v>
      </c>
      <c r="B23" s="251">
        <v>-9.5250000000000005E-3</v>
      </c>
      <c r="C23" s="251">
        <v>-1.1209949184674772E-2</v>
      </c>
      <c r="D23" s="251">
        <v>8.4666666666666675E-3</v>
      </c>
      <c r="E23" s="251">
        <v>-3.4511565036016212E-2</v>
      </c>
      <c r="F23" s="237">
        <v>-3.263016085955318E-4</v>
      </c>
      <c r="G23" s="252"/>
      <c r="H23" s="251">
        <v>0.23411242697484913</v>
      </c>
      <c r="I23" s="251">
        <v>0.1302967930501418</v>
      </c>
      <c r="J23" s="251">
        <v>0.42597837702050217</v>
      </c>
      <c r="K23" s="251">
        <v>6.0471360354579291E-2</v>
      </c>
      <c r="L23" s="251">
        <v>0.14914104259992753</v>
      </c>
      <c r="M23" s="251"/>
      <c r="N23" s="251">
        <v>0.2937541029891384</v>
      </c>
      <c r="O23" s="251">
        <v>0.41666253048904223</v>
      </c>
      <c r="P23" s="251">
        <f t="shared" si="0"/>
        <v>0.27204838114091301</v>
      </c>
      <c r="Q23" s="251">
        <v>0.11553177300958173</v>
      </c>
      <c r="R23" s="251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7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7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6">
        <v>44865</v>
      </c>
      <c r="B24" s="251">
        <v>1.6975000000000001E-2</v>
      </c>
      <c r="C24" s="251">
        <v>4.781716591940495E-2</v>
      </c>
      <c r="D24" s="251">
        <v>-5.8333333333333414E-5</v>
      </c>
      <c r="E24" s="251">
        <v>3.9167665172143228E-2</v>
      </c>
      <c r="F24" s="237">
        <v>6.0404954895493584E-3</v>
      </c>
      <c r="G24" s="252"/>
      <c r="H24" s="251">
        <v>0.24180047047937722</v>
      </c>
      <c r="I24" s="251">
        <v>0.13304659385951281</v>
      </c>
      <c r="J24" s="251">
        <v>0.41189668355931958</v>
      </c>
      <c r="K24" s="251">
        <v>5.9895499699568949E-2</v>
      </c>
      <c r="L24" s="251">
        <v>0.15336075240222141</v>
      </c>
      <c r="M24" s="251"/>
      <c r="N24" s="251">
        <v>0.21013651819115939</v>
      </c>
      <c r="O24" s="251">
        <v>0.41153437914112628</v>
      </c>
      <c r="P24" s="251">
        <f t="shared" si="0"/>
        <v>0.38048073991624132</v>
      </c>
      <c r="Q24" s="251">
        <v>0.18186175322211964</v>
      </c>
      <c r="R24" s="251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7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7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6">
        <v>44895</v>
      </c>
      <c r="B25" s="251">
        <v>1.25E-3</v>
      </c>
      <c r="C25" s="251">
        <v>1.3385481556260492E-2</v>
      </c>
      <c r="D25" s="251">
        <v>-1.0908333333333334E-2</v>
      </c>
      <c r="E25" s="251">
        <v>1.0292964458543177E-3</v>
      </c>
      <c r="F25" s="237">
        <v>2.644874299375224E-3</v>
      </c>
      <c r="G25" s="252"/>
      <c r="H25" s="251">
        <v>0.24509465984418824</v>
      </c>
      <c r="I25" s="251">
        <v>0.1386656381275666</v>
      </c>
      <c r="J25" s="251">
        <v>0.39730439706390908</v>
      </c>
      <c r="K25" s="251">
        <v>5.7050678853607491E-2</v>
      </c>
      <c r="L25" s="251">
        <v>0.16188462611072851</v>
      </c>
      <c r="M25" s="251"/>
      <c r="N25" s="251">
        <v>0.25873377551965715</v>
      </c>
      <c r="O25" s="251">
        <v>0.30841391854206313</v>
      </c>
      <c r="P25" s="251">
        <f t="shared" si="0"/>
        <v>0.27805486661707696</v>
      </c>
      <c r="Q25" s="251">
        <v>0.10790217740248026</v>
      </c>
      <c r="R25" s="251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7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7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6">
        <v>44926</v>
      </c>
      <c r="B26" s="251">
        <v>2.0899999999999998E-2</v>
      </c>
      <c r="C26" s="251">
        <v>4.716385529249819E-2</v>
      </c>
      <c r="D26" s="251">
        <v>2.3491666666666668E-2</v>
      </c>
      <c r="E26" s="251">
        <v>2.9211043918329717E-2</v>
      </c>
      <c r="F26" s="237">
        <v>5.7231741404435892E-3</v>
      </c>
      <c r="G26" s="252"/>
      <c r="H26" s="251">
        <v>0.25169103837777307</v>
      </c>
      <c r="I26" s="251">
        <v>0.12980401565135188</v>
      </c>
      <c r="J26" s="251">
        <v>0.41190054628498413</v>
      </c>
      <c r="K26" s="251">
        <v>5.5044782648892898E-2</v>
      </c>
      <c r="L26" s="251">
        <v>0.151559617036998</v>
      </c>
      <c r="M26" s="251"/>
      <c r="N26" s="251">
        <v>0.28034313762067264</v>
      </c>
      <c r="O26" s="251">
        <v>0.36009667624184594</v>
      </c>
      <c r="P26" s="251">
        <f t="shared" si="0"/>
        <v>0.37833101013757781</v>
      </c>
      <c r="Q26" s="251">
        <v>0.10512844029579388</v>
      </c>
      <c r="R26" s="251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7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7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6">
        <v>44957</v>
      </c>
      <c r="B27" s="251">
        <v>1.2449999999999999E-2</v>
      </c>
      <c r="C27" s="251">
        <v>3.4784271941571208E-2</v>
      </c>
      <c r="D27" s="251">
        <v>2.8916666666666665E-3</v>
      </c>
      <c r="E27" s="251">
        <v>2.2176877216475745E-2</v>
      </c>
      <c r="F27" s="237">
        <v>4.0260585420292053E-3</v>
      </c>
      <c r="G27" s="252"/>
      <c r="H27" s="251">
        <v>0.25770056943433217</v>
      </c>
      <c r="I27" s="251">
        <v>0.1301898649343414</v>
      </c>
      <c r="J27" s="251">
        <v>0.40637589143101432</v>
      </c>
      <c r="K27" s="251">
        <v>5.3009089090378693E-2</v>
      </c>
      <c r="L27" s="251">
        <v>0.15272458510993342</v>
      </c>
      <c r="M27" s="251"/>
      <c r="N27" s="251">
        <v>0.26406454604084928</v>
      </c>
      <c r="O27" s="251">
        <v>0.38284026998063864</v>
      </c>
      <c r="P27" s="251">
        <f t="shared" si="0"/>
        <v>0.32270306523343373</v>
      </c>
      <c r="Q27" s="251">
        <v>0.15703067108643634</v>
      </c>
      <c r="R27" s="251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7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7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6">
        <v>44985</v>
      </c>
      <c r="B28" s="251">
        <v>2.1874999999999999E-2</v>
      </c>
      <c r="C28" s="251">
        <v>4.9243424207913625E-2</v>
      </c>
      <c r="D28" s="251">
        <v>1.5466666666666667E-2</v>
      </c>
      <c r="E28" s="251">
        <v>3.1395181749160589E-2</v>
      </c>
      <c r="F28" s="237">
        <v>6.840332421716739E-3</v>
      </c>
      <c r="G28" s="252"/>
      <c r="H28" s="251">
        <v>0.26698427580410372</v>
      </c>
      <c r="I28" s="251">
        <v>0.12227464188590396</v>
      </c>
      <c r="J28" s="251">
        <v>0.41109194137821398</v>
      </c>
      <c r="K28" s="251">
        <v>5.0661600408827723E-2</v>
      </c>
      <c r="L28" s="251">
        <v>0.14898754052295052</v>
      </c>
      <c r="M28" s="251"/>
      <c r="N28" s="251">
        <v>0.28981811006608643</v>
      </c>
      <c r="O28" s="251">
        <v>0.28484796407284896</v>
      </c>
      <c r="P28" s="251">
        <f t="shared" si="0"/>
        <v>0.22601404843702394</v>
      </c>
      <c r="Q28" s="251">
        <v>8.5267477220957011E-2</v>
      </c>
      <c r="R28" s="251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7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7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6">
        <v>45016</v>
      </c>
      <c r="B29" s="251">
        <v>-1.0975E-2</v>
      </c>
      <c r="C29" s="251">
        <v>1.1154121808765929E-3</v>
      </c>
      <c r="D29" s="251">
        <v>1.1366666666666667E-2</v>
      </c>
      <c r="E29" s="251">
        <v>-7.7608423049134803E-3</v>
      </c>
      <c r="F29" s="237">
        <v>1.3633579337544507E-3</v>
      </c>
      <c r="G29" s="252"/>
      <c r="H29" s="251">
        <v>0.25237206032226855</v>
      </c>
      <c r="I29" s="251">
        <v>0.12807842189479998</v>
      </c>
      <c r="J29" s="251">
        <v>0.42491437612690797</v>
      </c>
      <c r="K29" s="251">
        <v>5.567248963639581E-2</v>
      </c>
      <c r="L29" s="251">
        <v>0.13896265201962765</v>
      </c>
      <c r="M29" s="251"/>
      <c r="N29" s="251">
        <v>0.25365443991893732</v>
      </c>
      <c r="O29" s="251">
        <v>0.41145510499632365</v>
      </c>
      <c r="P29" s="251">
        <f t="shared" si="0"/>
        <v>0.39182696312091142</v>
      </c>
      <c r="Q29" s="251">
        <v>0.128701789114326</v>
      </c>
      <c r="R29" s="251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7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7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6">
        <v>45046</v>
      </c>
      <c r="B30" s="251">
        <v>6.025E-3</v>
      </c>
      <c r="C30" s="251">
        <v>2.901978197903736E-2</v>
      </c>
      <c r="D30" s="251">
        <v>-1.6783333333333334E-2</v>
      </c>
      <c r="E30" s="251">
        <v>2.1072897291408051E-2</v>
      </c>
      <c r="F30" s="237">
        <v>4.2716256365270969E-3</v>
      </c>
      <c r="G30" s="252"/>
      <c r="H30" s="251">
        <v>0.25846737722480989</v>
      </c>
      <c r="I30" s="251">
        <v>0.13670078544135711</v>
      </c>
      <c r="J30" s="251">
        <v>0.39640862607083227</v>
      </c>
      <c r="K30" s="251">
        <v>5.6126292384132047E-2</v>
      </c>
      <c r="L30" s="251">
        <v>0.15229691887886873</v>
      </c>
      <c r="M30" s="251"/>
      <c r="N30" s="251">
        <v>0.28522449878183048</v>
      </c>
      <c r="O30" s="251">
        <v>0.45862822046692986</v>
      </c>
      <c r="P30" s="251">
        <f t="shared" si="0"/>
        <v>0.28629160477291282</v>
      </c>
      <c r="Q30" s="251">
        <v>0.10212751253186866</v>
      </c>
      <c r="R30" s="251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7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7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6">
        <v>45077</v>
      </c>
      <c r="B31" s="251">
        <v>-4.4749999999999998E-3</v>
      </c>
      <c r="C31" s="251">
        <v>1.6448666422511429E-4</v>
      </c>
      <c r="D31" s="251">
        <v>-1.0383333333333333E-2</v>
      </c>
      <c r="E31" s="251">
        <v>-1.7962693338216439E-2</v>
      </c>
      <c r="F31" s="237">
        <v>1.8512082849274157E-3</v>
      </c>
      <c r="G31" s="252"/>
      <c r="H31" s="251">
        <v>0.25891470086660118</v>
      </c>
      <c r="I31" s="251">
        <v>0.13775537865186904</v>
      </c>
      <c r="J31" s="251">
        <v>0.38753896317983072</v>
      </c>
      <c r="K31" s="251">
        <v>5.4609030461982858E-2</v>
      </c>
      <c r="L31" s="251">
        <v>0.16118192683971608</v>
      </c>
      <c r="M31" s="251"/>
      <c r="N31" s="251">
        <v>0.27909690332556492</v>
      </c>
      <c r="O31" s="251">
        <v>0.36673222778257308</v>
      </c>
      <c r="P31" s="251">
        <f t="shared" si="0"/>
        <v>0.36501405784234436</v>
      </c>
      <c r="Q31" s="251">
        <v>0.17440545699977877</v>
      </c>
      <c r="R31" s="251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7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7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6">
        <v>45107</v>
      </c>
      <c r="B32" s="251">
        <v>2.9250000000000001E-3</v>
      </c>
      <c r="C32" s="251">
        <v>1.29500569094831E-2</v>
      </c>
      <c r="D32" s="251">
        <v>-1.9333333333333336E-3</v>
      </c>
      <c r="E32" s="251">
        <v>-7.3165528477004659E-3</v>
      </c>
      <c r="F32" s="237">
        <v>2.2791069568063541E-3</v>
      </c>
      <c r="G32" s="252"/>
      <c r="H32" s="251">
        <v>0.26194913880038728</v>
      </c>
      <c r="I32" s="251">
        <v>0.13363452110367249</v>
      </c>
      <c r="J32" s="251">
        <v>0.38454953490925786</v>
      </c>
      <c r="K32" s="251">
        <v>5.3217543600630329E-2</v>
      </c>
      <c r="L32" s="251">
        <v>0.16664926158605209</v>
      </c>
      <c r="M32" s="251"/>
      <c r="N32" s="251">
        <v>0.27329423598957436</v>
      </c>
      <c r="O32" s="251">
        <v>0.3381928017338261</v>
      </c>
      <c r="P32" s="251">
        <f t="shared" si="0"/>
        <v>0.26367055375472936</v>
      </c>
      <c r="Q32" s="251">
        <v>0.13108910655763731</v>
      </c>
      <c r="R32" s="251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7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7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6">
        <v>45138</v>
      </c>
      <c r="B33" s="251">
        <v>-1.555E-2</v>
      </c>
      <c r="C33" s="251">
        <v>-1.8509634020949302E-2</v>
      </c>
      <c r="D33" s="251">
        <v>-1.7333333333333335E-3</v>
      </c>
      <c r="E33" s="251">
        <v>-3.7135934708565271E-2</v>
      </c>
      <c r="F33" s="237">
        <v>-1.0362668806119428E-4</v>
      </c>
      <c r="G33" s="252"/>
      <c r="H33" s="251">
        <v>0.25217298631798468</v>
      </c>
      <c r="I33" s="251">
        <v>0.1348568435250784</v>
      </c>
      <c r="J33" s="251">
        <v>0.39201442958258731</v>
      </c>
      <c r="K33" s="251">
        <v>5.423057443190385E-2</v>
      </c>
      <c r="L33" s="251">
        <v>0.16672516614244554</v>
      </c>
      <c r="M33" s="251"/>
      <c r="N33" s="251">
        <v>0.27454406967570533</v>
      </c>
      <c r="O33" s="251">
        <v>0.3260325917396697</v>
      </c>
      <c r="P33" s="251">
        <f t="shared" si="0"/>
        <v>0.27119506580575997</v>
      </c>
      <c r="Q33" s="251">
        <v>2.7075621904414329E-2</v>
      </c>
      <c r="R33" s="251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7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7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6">
        <v>45169</v>
      </c>
      <c r="B34" s="251">
        <v>-3.4749999999999998E-3</v>
      </c>
      <c r="C34" s="251">
        <v>9.118145741289484E-3</v>
      </c>
      <c r="D34" s="251">
        <v>1.6816666666666667E-2</v>
      </c>
      <c r="E34" s="251">
        <v>-3.2553751840877047E-3</v>
      </c>
      <c r="F34" s="237">
        <v>2.1355063030117894E-3</v>
      </c>
      <c r="G34" s="252"/>
      <c r="H34" s="251">
        <v>0.24400045665199366</v>
      </c>
      <c r="I34" s="251">
        <v>0.13597344998176322</v>
      </c>
      <c r="J34" s="251">
        <v>0.41053115163828241</v>
      </c>
      <c r="K34" s="251">
        <v>5.6107474496297965E-2</v>
      </c>
      <c r="L34" s="251">
        <v>0.15338746723166274</v>
      </c>
      <c r="M34" s="251"/>
      <c r="N34" s="251">
        <v>0.26650705472027847</v>
      </c>
      <c r="O34" s="251">
        <v>0.37082759029952922</v>
      </c>
      <c r="P34" s="251">
        <f t="shared" si="0"/>
        <v>0.37279522026205414</v>
      </c>
      <c r="Q34" s="251">
        <v>0.15065274697748918</v>
      </c>
      <c r="R34" s="251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7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7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6">
        <v>45199</v>
      </c>
      <c r="B35" s="251">
        <v>-1.475E-3</v>
      </c>
      <c r="C35" s="251">
        <v>1.1793480192113201E-2</v>
      </c>
      <c r="D35" s="251">
        <v>2.2966666666666666E-2</v>
      </c>
      <c r="E35" s="251">
        <v>-5.6047062824402631E-3</v>
      </c>
      <c r="F35" s="237">
        <v>2.1330283925976258E-3</v>
      </c>
      <c r="G35" s="252"/>
      <c r="H35" s="251">
        <v>0.23570774204339934</v>
      </c>
      <c r="I35" s="251">
        <v>0.13037001268797899</v>
      </c>
      <c r="J35" s="251">
        <v>0.43558093208595922</v>
      </c>
      <c r="K35" s="251">
        <v>5.8856780470960289E-2</v>
      </c>
      <c r="L35" s="251">
        <v>0.13948453271170214</v>
      </c>
      <c r="M35" s="251"/>
      <c r="N35" s="251">
        <v>0.22946453046761556</v>
      </c>
      <c r="O35" s="251">
        <v>0.28672007190330762</v>
      </c>
      <c r="P35" s="251">
        <f t="shared" si="0"/>
        <v>0.38359644743914056</v>
      </c>
      <c r="Q35" s="251">
        <v>8.9392441118980287E-2</v>
      </c>
      <c r="R35" s="251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7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7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6">
        <v>45230</v>
      </c>
      <c r="B36" s="251">
        <v>-1.075E-3</v>
      </c>
      <c r="C36" s="251">
        <v>1.4751413418177978E-2</v>
      </c>
      <c r="D36" s="251">
        <v>2.1641666666666667E-2</v>
      </c>
      <c r="E36" s="251">
        <v>4.0361601696892908E-3</v>
      </c>
      <c r="F36" s="237">
        <v>2.9793041837017516E-3</v>
      </c>
      <c r="G36" s="252"/>
      <c r="H36" s="251">
        <v>0.22632352744638687</v>
      </c>
      <c r="I36" s="251">
        <v>0.1316374286888661</v>
      </c>
      <c r="J36" s="251">
        <v>0.45640730441027416</v>
      </c>
      <c r="K36" s="251">
        <v>6.1264129134291662E-2</v>
      </c>
      <c r="L36" s="251">
        <v>0.12436761032018123</v>
      </c>
      <c r="M36" s="251"/>
      <c r="N36" s="251">
        <v>0.25641112765182972</v>
      </c>
      <c r="O36" s="251">
        <v>0.3273896632933086</v>
      </c>
      <c r="P36" s="251">
        <f t="shared" si="0"/>
        <v>0.32171878307770096</v>
      </c>
      <c r="Q36" s="251">
        <v>0.14138276928228524</v>
      </c>
      <c r="R36" s="251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7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7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6">
        <v>45260</v>
      </c>
      <c r="B37" s="251">
        <v>1.9750000000000002E-3</v>
      </c>
      <c r="C37" s="251">
        <v>1.0225458435541075E-2</v>
      </c>
      <c r="D37" s="251">
        <v>-4.3583333333333339E-3</v>
      </c>
      <c r="E37" s="251">
        <v>-9.3407497955845138E-3</v>
      </c>
      <c r="F37" s="237">
        <v>2.4591417556091618E-3</v>
      </c>
      <c r="G37" s="252"/>
      <c r="H37" s="251">
        <v>0.23005318637144964</v>
      </c>
      <c r="I37" s="251">
        <v>0.12943456324609132</v>
      </c>
      <c r="J37" s="251">
        <v>0.45226785088314397</v>
      </c>
      <c r="K37" s="251">
        <v>5.8591298008366571E-2</v>
      </c>
      <c r="L37" s="251">
        <v>0.12965310149094855</v>
      </c>
      <c r="M37" s="251"/>
      <c r="N37" s="251">
        <v>0.25493770381225483</v>
      </c>
      <c r="O37" s="251">
        <v>0.37652950180554901</v>
      </c>
      <c r="P37" s="251">
        <f t="shared" si="0"/>
        <v>0.42540110878886361</v>
      </c>
      <c r="Q37" s="251">
        <v>0.15350832644890747</v>
      </c>
      <c r="R37" s="251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7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7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6">
        <v>45291</v>
      </c>
      <c r="B38" s="251">
        <v>-1.3825E-2</v>
      </c>
      <c r="C38" s="251">
        <v>-1.5338212261302395E-2</v>
      </c>
      <c r="D38" s="251">
        <v>9.1666666666666665E-4</v>
      </c>
      <c r="E38" s="251">
        <v>-3.2643091189271459E-2</v>
      </c>
      <c r="F38" s="237">
        <v>8.768632747902308E-5</v>
      </c>
      <c r="G38" s="252"/>
      <c r="H38" s="251">
        <v>0.2209994106307078</v>
      </c>
      <c r="I38" s="251">
        <v>0.1309040578883903</v>
      </c>
      <c r="J38" s="251">
        <v>0.46158763390871416</v>
      </c>
      <c r="K38" s="251">
        <v>5.934785222925211E-2</v>
      </c>
      <c r="L38" s="251">
        <v>0.12716104534293554</v>
      </c>
      <c r="M38" s="251"/>
      <c r="N38" s="251">
        <v>0.27468789812507216</v>
      </c>
      <c r="O38" s="251">
        <v>0.26267334022310729</v>
      </c>
      <c r="P38" s="251">
        <f t="shared" si="0"/>
        <v>0.3299461472007556</v>
      </c>
      <c r="Q38" s="251">
        <v>6.8678530218598544E-2</v>
      </c>
      <c r="R38" s="251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7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7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6">
        <v>45322</v>
      </c>
      <c r="B39" s="251">
        <v>1.7250000000000001E-2</v>
      </c>
      <c r="C39" s="251">
        <v>4.1951138362158961E-2</v>
      </c>
      <c r="D39" s="251">
        <v>1.2666666666666666E-2</v>
      </c>
      <c r="E39" s="251">
        <v>2.458561005765126E-2</v>
      </c>
      <c r="F39" s="237">
        <v>4.9926947917659711E-3</v>
      </c>
      <c r="G39" s="252"/>
      <c r="H39" s="251">
        <v>0.22687859969308055</v>
      </c>
      <c r="I39" s="251">
        <v>0.12467728295447159</v>
      </c>
      <c r="J39" s="251">
        <v>0.46574031419433537</v>
      </c>
      <c r="K39" s="251">
        <v>5.7826189749873275E-2</v>
      </c>
      <c r="L39" s="251">
        <v>0.12487761340823927</v>
      </c>
      <c r="M39" s="251"/>
      <c r="N39" s="251">
        <v>0.22929159489089079</v>
      </c>
      <c r="O39" s="251">
        <v>0.37565833321303216</v>
      </c>
      <c r="P39" s="251">
        <f t="shared" si="0"/>
        <v>0.38283692051445495</v>
      </c>
      <c r="Q39" s="251">
        <v>0.22113625342561774</v>
      </c>
      <c r="R39" s="251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7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7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6">
        <v>45351</v>
      </c>
      <c r="B40" s="251">
        <v>1.2725E-2</v>
      </c>
      <c r="C40" s="251">
        <v>4.2068571485232673E-2</v>
      </c>
      <c r="D40" s="251">
        <v>1.4891666666666666E-2</v>
      </c>
      <c r="E40" s="251">
        <v>3.2770476303798687E-2</v>
      </c>
      <c r="F40" s="237">
        <v>6.1074687309100404E-3</v>
      </c>
      <c r="G40" s="252"/>
      <c r="H40" s="251">
        <v>0.22686385049201729</v>
      </c>
      <c r="I40" s="251">
        <v>0.1251753361458609</v>
      </c>
      <c r="J40" s="251">
        <v>0.46955070064078297</v>
      </c>
      <c r="K40" s="251">
        <v>5.9588630932537176E-2</v>
      </c>
      <c r="L40" s="251">
        <v>0.11882148178880167</v>
      </c>
      <c r="M40" s="251"/>
      <c r="N40" s="251">
        <v>0.24664055473819557</v>
      </c>
      <c r="O40" s="251">
        <v>0.42647488563840263</v>
      </c>
      <c r="P40" s="251">
        <f t="shared" si="0"/>
        <v>0.43350370092574714</v>
      </c>
      <c r="Q40" s="251">
        <v>0.11542319410900496</v>
      </c>
      <c r="R40" s="251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7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7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6">
        <v>45382</v>
      </c>
      <c r="B41" s="251">
        <v>-1.32E-2</v>
      </c>
      <c r="C41" s="251">
        <v>-5.3172733534025624E-3</v>
      </c>
      <c r="D41" s="251">
        <v>1.3416666666666666E-3</v>
      </c>
      <c r="E41" s="251">
        <v>-1.5226213373471791E-2</v>
      </c>
      <c r="F41" s="237">
        <v>6.0503147934199645E-4</v>
      </c>
      <c r="G41" s="252"/>
      <c r="H41" s="251">
        <v>0.21541611389443036</v>
      </c>
      <c r="I41" s="251">
        <v>0.13194273259890565</v>
      </c>
      <c r="J41" s="251">
        <v>0.47323643434532325</v>
      </c>
      <c r="K41" s="251">
        <v>6.3767955022714262E-2</v>
      </c>
      <c r="L41" s="251">
        <v>0.11563676413862649</v>
      </c>
      <c r="M41" s="251"/>
      <c r="N41" s="251">
        <v>0.22512312017625422</v>
      </c>
      <c r="O41" s="251">
        <v>0.41572173068175855</v>
      </c>
      <c r="P41" s="251">
        <f t="shared" si="0"/>
        <v>0.3295354571644718</v>
      </c>
      <c r="Q41" s="251">
        <v>0.14699223536016809</v>
      </c>
      <c r="R41" s="251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7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7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6">
        <v>45412</v>
      </c>
      <c r="B42" s="251">
        <v>3.7500000000000001E-4</v>
      </c>
      <c r="C42" s="251">
        <v>1.3007317083196541E-2</v>
      </c>
      <c r="D42" s="251">
        <v>-1.3333333333333333E-3</v>
      </c>
      <c r="E42" s="251">
        <v>-3.0020325002735881E-3</v>
      </c>
      <c r="F42" s="237">
        <v>2.934859069350205E-3</v>
      </c>
      <c r="G42" s="252"/>
      <c r="H42" s="251">
        <v>0.21551433435027972</v>
      </c>
      <c r="I42" s="251">
        <v>0.1317876109913593</v>
      </c>
      <c r="J42" s="251">
        <v>0.47022179859621072</v>
      </c>
      <c r="K42" s="251">
        <v>6.40836871116304E-2</v>
      </c>
      <c r="L42" s="251">
        <v>0.11839256895051979</v>
      </c>
      <c r="M42" s="251"/>
      <c r="N42" s="251">
        <v>0.24099479819442166</v>
      </c>
      <c r="O42" s="251">
        <v>0.28689116224317307</v>
      </c>
      <c r="P42" s="251">
        <f t="shared" si="0"/>
        <v>0.36664297554776393</v>
      </c>
      <c r="Q42" s="251">
        <v>0.1619243999578581</v>
      </c>
      <c r="R42" s="251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7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7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6">
        <v>45443</v>
      </c>
      <c r="B43" s="251">
        <v>-3.3399999999999999E-2</v>
      </c>
      <c r="C43" s="251">
        <v>-4.7502206291406758E-2</v>
      </c>
      <c r="D43" s="251">
        <v>-1.5633333333333332E-2</v>
      </c>
      <c r="E43" s="251">
        <v>-6.3771079249480195E-2</v>
      </c>
      <c r="F43" s="237">
        <v>-3.047628780697414E-3</v>
      </c>
      <c r="G43" s="252"/>
      <c r="H43" s="251">
        <v>0.19870504115473825</v>
      </c>
      <c r="I43" s="251">
        <v>0.14050726911205313</v>
      </c>
      <c r="J43" s="251">
        <v>0.46910803660185346</v>
      </c>
      <c r="K43" s="251">
        <v>6.8687465042213861E-2</v>
      </c>
      <c r="L43" s="251">
        <v>0.12299218808914117</v>
      </c>
      <c r="M43" s="251"/>
      <c r="N43" s="251">
        <v>0.23125223335692074</v>
      </c>
      <c r="O43" s="251">
        <v>0.41030415039719992</v>
      </c>
      <c r="P43" s="251">
        <f t="shared" si="0"/>
        <v>0.2894276309178051</v>
      </c>
      <c r="Q43" s="251">
        <v>7.3375741013198104E-2</v>
      </c>
      <c r="R43" s="251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7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7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6">
        <v>45473</v>
      </c>
      <c r="B44" s="251">
        <v>1.5299999999999999E-2</v>
      </c>
      <c r="C44" s="251">
        <v>3.7874231847154438E-2</v>
      </c>
      <c r="D44" s="251">
        <v>-9.1583333333333343E-3</v>
      </c>
      <c r="E44" s="251">
        <v>2.5156797027642216E-2</v>
      </c>
      <c r="F44" s="237">
        <v>4.8240580014162699E-3</v>
      </c>
      <c r="G44" s="252"/>
      <c r="H44" s="251">
        <v>0.20989073060229954</v>
      </c>
      <c r="I44" s="251">
        <v>0.14348918752635634</v>
      </c>
      <c r="J44" s="251">
        <v>0.44983331980370678</v>
      </c>
      <c r="K44" s="251">
        <v>6.4226636247243798E-2</v>
      </c>
      <c r="L44" s="251">
        <v>0.13256012582039356</v>
      </c>
      <c r="M44" s="251"/>
      <c r="N44" s="251">
        <v>0.18725505937017103</v>
      </c>
      <c r="O44" s="251">
        <v>0.32166834740208267</v>
      </c>
      <c r="P44" s="251">
        <f t="shared" si="0"/>
        <v>0.2513730308711597</v>
      </c>
      <c r="Q44" s="251">
        <v>0.12431871465296725</v>
      </c>
      <c r="R44" s="251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7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7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6">
        <v>45504</v>
      </c>
      <c r="B45" s="251">
        <v>2.9624999999999999E-2</v>
      </c>
      <c r="C45" s="251">
        <v>6.8807121092329906E-2</v>
      </c>
      <c r="D45" s="251">
        <v>4.9166666666666664E-3</v>
      </c>
      <c r="E45" s="251">
        <v>5.7472575517993139E-2</v>
      </c>
      <c r="F45" s="237">
        <v>7.6949197647998525E-3</v>
      </c>
      <c r="G45" s="252"/>
      <c r="H45" s="251">
        <v>0.22304230374314193</v>
      </c>
      <c r="I45" s="251">
        <v>0.14182852944286037</v>
      </c>
      <c r="J45" s="251">
        <v>0.43578054513451325</v>
      </c>
      <c r="K45" s="251">
        <v>6.2399191134482633E-2</v>
      </c>
      <c r="L45" s="251">
        <v>0.13694943054500186</v>
      </c>
      <c r="M45" s="251"/>
      <c r="N45" s="251">
        <v>0.24770372213360226</v>
      </c>
      <c r="O45" s="251">
        <v>0.33544326959919613</v>
      </c>
      <c r="P45" s="251">
        <f t="shared" si="0"/>
        <v>0.26736304898881025</v>
      </c>
      <c r="Q45" s="251">
        <v>0.16156736834136678</v>
      </c>
      <c r="R45" s="251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7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7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6">
        <v>45535</v>
      </c>
      <c r="B46" s="251">
        <v>1.5075E-2</v>
      </c>
      <c r="C46" s="251">
        <v>3.2288258872841834E-2</v>
      </c>
      <c r="D46" s="251">
        <v>6.3416666666666665E-3</v>
      </c>
      <c r="E46" s="251">
        <v>8.609851079016996E-3</v>
      </c>
      <c r="F46" s="237">
        <v>5.4078110605161062E-3</v>
      </c>
      <c r="G46" s="252"/>
      <c r="H46" s="251">
        <v>0.23194325597492788</v>
      </c>
      <c r="I46" s="251">
        <v>0.13101432176761632</v>
      </c>
      <c r="J46" s="251">
        <v>0.43824077069079531</v>
      </c>
      <c r="K46" s="251">
        <v>5.868377246706994E-2</v>
      </c>
      <c r="L46" s="251">
        <v>0.1401178790995905</v>
      </c>
      <c r="M46" s="251"/>
      <c r="N46" s="251">
        <v>0.24213527304383969</v>
      </c>
      <c r="O46" s="251">
        <v>0.31234910993534909</v>
      </c>
      <c r="P46" s="251">
        <f t="shared" si="0"/>
        <v>0.3202859741640397</v>
      </c>
      <c r="Q46" s="251">
        <v>0.10987650205936414</v>
      </c>
      <c r="R46" s="251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7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7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6">
        <v>45565</v>
      </c>
      <c r="B47" s="251">
        <v>1.3950000000000001E-2</v>
      </c>
      <c r="C47" s="251">
        <v>4.1183681972947681E-2</v>
      </c>
      <c r="D47" s="251">
        <v>-1.4808333333333333E-2</v>
      </c>
      <c r="E47" s="251">
        <v>3.6975697279228684E-2</v>
      </c>
      <c r="F47" s="237">
        <v>5.2007517343631493E-3</v>
      </c>
      <c r="G47" s="252"/>
      <c r="H47" s="251">
        <v>0.24244621231870322</v>
      </c>
      <c r="I47" s="251">
        <v>0.14239043242185806</v>
      </c>
      <c r="J47" s="251">
        <v>0.40817527709467138</v>
      </c>
      <c r="K47" s="251">
        <v>5.5781025055975493E-2</v>
      </c>
      <c r="L47" s="251">
        <v>0.15120705310879176</v>
      </c>
      <c r="M47" s="251"/>
      <c r="N47" s="251">
        <v>0.23049555769141361</v>
      </c>
      <c r="O47" s="251">
        <v>0.50948737611416228</v>
      </c>
      <c r="P47" s="251">
        <f t="shared" si="0"/>
        <v>0.37810556750915753</v>
      </c>
      <c r="Q47" s="251">
        <v>9.8824795807221977E-2</v>
      </c>
      <c r="R47" s="251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7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7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6">
        <v>45596</v>
      </c>
      <c r="B48" s="251">
        <v>-6.5500000000000003E-3</v>
      </c>
      <c r="C48" s="251">
        <v>4.280608759971073E-3</v>
      </c>
      <c r="D48" s="251">
        <v>-1.2758333333333333E-2</v>
      </c>
      <c r="E48" s="251">
        <v>-7.1054491467245212E-3</v>
      </c>
      <c r="F48" s="237">
        <v>1.176440441918021E-3</v>
      </c>
      <c r="G48" s="252"/>
      <c r="H48" s="251">
        <v>0.23945197328562995</v>
      </c>
      <c r="I48" s="251">
        <v>0.14999965138679183</v>
      </c>
      <c r="J48" s="251">
        <v>0.39285374763560876</v>
      </c>
      <c r="K48" s="251">
        <v>5.7451274170830714E-2</v>
      </c>
      <c r="L48" s="251">
        <v>0.16024335352113872</v>
      </c>
      <c r="M48" s="251"/>
      <c r="N48" s="251">
        <v>0.2616327903517397</v>
      </c>
      <c r="O48" s="251">
        <v>0.3611991987534966</v>
      </c>
      <c r="P48" s="251">
        <f t="shared" si="0"/>
        <v>0.25287565059225947</v>
      </c>
      <c r="Q48" s="251">
        <v>7.7554234781651146E-2</v>
      </c>
      <c r="R48" s="251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7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7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6">
        <v>45626</v>
      </c>
      <c r="B49" s="251">
        <v>-3.7000000000000002E-3</v>
      </c>
      <c r="C49" s="251">
        <v>6.4491219939634917E-3</v>
      </c>
      <c r="D49" s="251">
        <v>1.0566666666666667E-2</v>
      </c>
      <c r="E49" s="251">
        <v>-8.8434226787396861E-3</v>
      </c>
      <c r="F49" s="237">
        <v>2.2753004003342359E-3</v>
      </c>
      <c r="G49" s="252"/>
      <c r="H49" s="251">
        <v>0.23355621841227173</v>
      </c>
      <c r="I49" s="251">
        <v>0.14909330939234544</v>
      </c>
      <c r="J49" s="251">
        <v>0.40537630552636428</v>
      </c>
      <c r="K49" s="251">
        <v>5.8960272336881427E-2</v>
      </c>
      <c r="L49" s="251">
        <v>0.15301389433213719</v>
      </c>
      <c r="M49" s="251"/>
      <c r="N49" s="251">
        <v>0.27861023605641444</v>
      </c>
      <c r="O49" s="251">
        <v>0.2211483528401082</v>
      </c>
      <c r="P49" s="251">
        <f t="shared" si="0"/>
        <v>0.27240822984640001</v>
      </c>
      <c r="Q49" s="251">
        <v>0.11142782928396697</v>
      </c>
      <c r="R49" s="251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7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7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6">
        <v>45657</v>
      </c>
      <c r="B50" s="251">
        <v>5.8250000000000003E-3</v>
      </c>
      <c r="C50" s="251">
        <v>2.4233071130979805E-2</v>
      </c>
      <c r="D50" s="251">
        <v>1.4166666666666668E-4</v>
      </c>
      <c r="E50" s="251">
        <v>1.0524475595292945E-2</v>
      </c>
      <c r="F50" s="237">
        <v>3.7899259343644369E-3</v>
      </c>
      <c r="G50" s="252"/>
      <c r="H50" s="251">
        <v>0.23570087011954821</v>
      </c>
      <c r="I50" s="251">
        <v>0.14969288196010758</v>
      </c>
      <c r="J50" s="251">
        <v>0.40001029392544374</v>
      </c>
      <c r="K50" s="251">
        <v>5.8728327302773671E-2</v>
      </c>
      <c r="L50" s="251">
        <v>0.15586762669212686</v>
      </c>
      <c r="M50" s="251"/>
      <c r="N50" s="251">
        <v>0.23548556205343996</v>
      </c>
      <c r="O50" s="251">
        <v>0.37053516500341949</v>
      </c>
      <c r="P50" s="251">
        <f t="shared" si="0"/>
        <v>0.26473460281340588</v>
      </c>
      <c r="Q50" s="251">
        <v>9.8634625549997856E-2</v>
      </c>
      <c r="R50" s="251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7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7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6">
        <v>45688</v>
      </c>
      <c r="B51" s="251">
        <v>-4.9249999999999997E-3</v>
      </c>
      <c r="C51" s="251">
        <v>7.7867756826512039E-3</v>
      </c>
      <c r="D51" s="251">
        <v>9.116666666666667E-3</v>
      </c>
      <c r="E51" s="251">
        <v>-3.9931153013642584E-3</v>
      </c>
      <c r="F51" s="237">
        <v>2.3489595380995886E-3</v>
      </c>
      <c r="G51" s="252"/>
      <c r="H51" s="251">
        <v>0.22795545251452262</v>
      </c>
      <c r="I51" s="251">
        <v>0.1529505152955096</v>
      </c>
      <c r="J51" s="251">
        <v>0.4090310748362353</v>
      </c>
      <c r="K51" s="251">
        <v>6.1439425592740023E-2</v>
      </c>
      <c r="L51" s="251">
        <v>0.14862353176099252</v>
      </c>
      <c r="M51" s="251"/>
      <c r="N51" s="251">
        <v>0.23577321092708867</v>
      </c>
      <c r="O51" s="251">
        <v>0.30788080780663563</v>
      </c>
      <c r="P51" s="251">
        <f t="shared" si="0"/>
        <v>0.18095363663727393</v>
      </c>
      <c r="Q51" s="251">
        <v>0.16372637381884125</v>
      </c>
      <c r="R51" s="251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7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7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6">
        <v>45716</v>
      </c>
      <c r="B52" s="251">
        <v>3.8999999999999998E-3</v>
      </c>
      <c r="C52" s="251">
        <v>1.6201566736816313E-2</v>
      </c>
      <c r="D52" s="251">
        <v>-2.4833333333333331E-3</v>
      </c>
      <c r="E52" s="251">
        <v>1.5614668069659568E-3</v>
      </c>
      <c r="F52" s="237">
        <v>2.4323475247473112E-3</v>
      </c>
      <c r="G52" s="252"/>
      <c r="H52" s="251">
        <v>0.2311502544010246</v>
      </c>
      <c r="I52" s="251">
        <v>0.15469197982341024</v>
      </c>
      <c r="J52" s="251">
        <v>0.40433602880598341</v>
      </c>
      <c r="K52" s="251">
        <v>5.8061662096225555E-2</v>
      </c>
      <c r="L52" s="251">
        <v>0.15176007487335605</v>
      </c>
      <c r="M52" s="251"/>
      <c r="N52" s="251">
        <v>0.20556518280051667</v>
      </c>
      <c r="O52" s="251">
        <v>0.3268065380782445</v>
      </c>
      <c r="P52" s="251">
        <f t="shared" si="0"/>
        <v>7.2972370497000449E-2</v>
      </c>
      <c r="Q52" s="251">
        <v>0.20854148401405931</v>
      </c>
      <c r="R52" s="251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7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7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6">
        <v>45747</v>
      </c>
      <c r="B53" s="251">
        <v>1.4449999999999999E-2</v>
      </c>
      <c r="C53" s="251">
        <v>3.8241038463159932E-2</v>
      </c>
      <c r="D53" s="251">
        <v>1.6566666666666667E-2</v>
      </c>
      <c r="E53" s="251">
        <v>2.4265410259653196E-2</v>
      </c>
      <c r="F53" s="237">
        <v>5.252889472619573E-3</v>
      </c>
      <c r="G53" s="252"/>
      <c r="H53" s="251">
        <v>0.23455561909136186</v>
      </c>
      <c r="I53" s="251">
        <v>0.15114895897134756</v>
      </c>
      <c r="J53" s="251">
        <v>0.41357680804938624</v>
      </c>
      <c r="K53" s="251">
        <v>5.6622295561095042E-2</v>
      </c>
      <c r="L53" s="251">
        <v>0.1440963183268093</v>
      </c>
      <c r="M53" s="251"/>
      <c r="N53" s="251">
        <v>0.27081373157571825</v>
      </c>
      <c r="O53" s="251">
        <v>0.36853875465199432</v>
      </c>
      <c r="P53" s="251">
        <f t="shared" si="0"/>
        <v>0.19078389786560651</v>
      </c>
      <c r="Q53" s="251">
        <v>0.11337027563523716</v>
      </c>
      <c r="R53" s="251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7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7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6">
        <v>45777</v>
      </c>
      <c r="B54" s="251">
        <v>1.5775000000000001E-2</v>
      </c>
      <c r="C54" s="251">
        <v>5.0001889052265318E-2</v>
      </c>
      <c r="D54" s="251">
        <v>7.2166666666666664E-3</v>
      </c>
      <c r="E54" s="251">
        <v>4.5562111437863977E-2</v>
      </c>
      <c r="F54" s="237">
        <v>7.0344416390918192E-3</v>
      </c>
      <c r="G54" s="252"/>
      <c r="H54" s="251">
        <v>0.23769856571892925</v>
      </c>
      <c r="I54" s="251">
        <v>0.15727584491139038</v>
      </c>
      <c r="J54" s="251">
        <v>0.40562234894414101</v>
      </c>
      <c r="K54" s="251">
        <v>5.7812811917609105E-2</v>
      </c>
      <c r="L54" s="251">
        <v>0.14159042850793019</v>
      </c>
      <c r="M54" s="251"/>
      <c r="N54" s="251">
        <v>0.26515040480389906</v>
      </c>
      <c r="O54" s="251">
        <v>0.37221409762340824</v>
      </c>
      <c r="P54" s="251">
        <f t="shared" si="0"/>
        <v>0.37728358967504139</v>
      </c>
      <c r="Q54" s="251">
        <v>0.15290321278567548</v>
      </c>
      <c r="R54" s="251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7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7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6">
        <v>45808</v>
      </c>
      <c r="B55" s="251">
        <v>2.075E-3</v>
      </c>
      <c r="C55" s="251">
        <v>1.4320887907415453E-2</v>
      </c>
      <c r="D55" s="251">
        <v>-2.4083333333333335E-3</v>
      </c>
      <c r="E55" s="251">
        <v>-2.0248908518357596E-3</v>
      </c>
      <c r="F55" s="237">
        <v>2.5661378796467032E-3</v>
      </c>
      <c r="G55" s="252"/>
      <c r="H55" s="251">
        <v>0.23938146781661154</v>
      </c>
      <c r="I55" s="251">
        <v>0.15703318353854309</v>
      </c>
      <c r="J55" s="251">
        <v>0.40122878952655461</v>
      </c>
      <c r="K55" s="251">
        <v>5.6836297075055754E-2</v>
      </c>
      <c r="L55" s="251">
        <v>0.14552026204323493</v>
      </c>
      <c r="M55" s="251"/>
      <c r="N55" s="251">
        <v>0.21855459964736904</v>
      </c>
      <c r="O55" s="251">
        <v>0.43581700934558365</v>
      </c>
      <c r="P55" s="251">
        <f t="shared" si="0"/>
        <v>0.2293950948567873</v>
      </c>
      <c r="Q55" s="251">
        <v>0.17764794707370571</v>
      </c>
      <c r="R55" s="251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7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7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6">
        <v>45838</v>
      </c>
      <c r="B56" s="251">
        <v>-4.4250000000000001E-3</v>
      </c>
      <c r="C56" s="251">
        <v>8.4368711795948913E-3</v>
      </c>
      <c r="D56" s="251">
        <v>-1.0258333333333333E-2</v>
      </c>
      <c r="E56" s="251">
        <v>-4.9179243074768848E-3</v>
      </c>
      <c r="F56" s="237">
        <v>2.0068667537282456E-3</v>
      </c>
      <c r="G56" s="252"/>
      <c r="H56" s="251">
        <v>0.23694721345560243</v>
      </c>
      <c r="I56" s="251">
        <v>0.16188712339518488</v>
      </c>
      <c r="J56" s="251">
        <v>0.38771493901610082</v>
      </c>
      <c r="K56" s="251">
        <v>5.9351023097204081E-2</v>
      </c>
      <c r="L56" s="251">
        <v>0.15409970103590789</v>
      </c>
      <c r="M56" s="251"/>
      <c r="N56" s="251">
        <v>0.24539043137457772</v>
      </c>
      <c r="O56" s="251">
        <v>0.31942516458996933</v>
      </c>
      <c r="P56" s="251">
        <f t="shared" si="0"/>
        <v>0.18896229301166889</v>
      </c>
      <c r="Q56" s="251">
        <v>0.17679094886270635</v>
      </c>
      <c r="R56" s="251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7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7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6">
        <v>45869</v>
      </c>
      <c r="B57" s="251">
        <v>5.0000000000000002E-5</v>
      </c>
      <c r="C57" s="251">
        <v>1.1699246064577163E-2</v>
      </c>
      <c r="D57" s="251">
        <v>5.1166666666666661E-3</v>
      </c>
      <c r="E57" s="251">
        <v>-6.6931745375123398E-3</v>
      </c>
      <c r="F57" s="237">
        <v>3.3793823996725409E-3</v>
      </c>
      <c r="G57" s="252"/>
      <c r="H57" s="251">
        <v>0.23523916989346488</v>
      </c>
      <c r="I57" s="251">
        <v>0.15801523859039429</v>
      </c>
      <c r="J57" s="251">
        <v>0.39271956727399238</v>
      </c>
      <c r="K57" s="251">
        <v>6.034884488804769E-2</v>
      </c>
      <c r="L57" s="251">
        <v>0.15367717935410063</v>
      </c>
      <c r="M57" s="251"/>
      <c r="N57" s="251">
        <v>0.21775110224916588</v>
      </c>
      <c r="O57" s="251">
        <v>0.34390195679103036</v>
      </c>
      <c r="P57" s="251">
        <f t="shared" si="0"/>
        <v>0.26118558283978366</v>
      </c>
      <c r="Q57" s="251">
        <v>0.10899561459298517</v>
      </c>
      <c r="R57" s="251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7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7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6">
        <v>45900</v>
      </c>
      <c r="B58" s="251">
        <v>7.6249999999999998E-3</v>
      </c>
      <c r="C58" s="251">
        <v>3.7865462784655385E-2</v>
      </c>
      <c r="D58" s="251">
        <v>1.7441666666666668E-2</v>
      </c>
      <c r="E58" s="251">
        <v>3.2889258902644117E-2</v>
      </c>
      <c r="F58" s="237">
        <v>4.8887897692155092E-3</v>
      </c>
      <c r="G58" s="252"/>
      <c r="H58" s="251">
        <v>0.22992716763217141</v>
      </c>
      <c r="I58" s="251">
        <v>0.16430388609877561</v>
      </c>
      <c r="J58" s="251">
        <v>0.39847791571972019</v>
      </c>
      <c r="K58" s="251">
        <v>6.5013490189813672E-2</v>
      </c>
      <c r="L58" s="251">
        <v>0.14227754035951917</v>
      </c>
      <c r="M58" s="251"/>
      <c r="N58" s="251">
        <v>0.22393588608877874</v>
      </c>
      <c r="O58" s="251">
        <v>0.31744511158204408</v>
      </c>
      <c r="P58" s="251">
        <f t="shared" si="0"/>
        <v>0.30935412397653389</v>
      </c>
      <c r="Q58" s="251">
        <v>0.1468955837211261</v>
      </c>
      <c r="R58" s="251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7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7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6">
        <v>45930</v>
      </c>
      <c r="B59" s="251">
        <v>6.1000000000000004E-3</v>
      </c>
      <c r="C59" s="251">
        <v>2.5346912966114181E-2</v>
      </c>
      <c r="D59" s="251">
        <v>-1.2808333333333333E-2</v>
      </c>
      <c r="E59" s="251">
        <v>1.5002159265561692E-2</v>
      </c>
      <c r="F59" s="237">
        <v>4.6026180718098482E-3</v>
      </c>
      <c r="G59" s="252"/>
      <c r="H59" s="251">
        <v>0.23510269941130726</v>
      </c>
      <c r="I59" s="251">
        <v>0.17176882301781529</v>
      </c>
      <c r="J59" s="251">
        <v>0.37736483837009566</v>
      </c>
      <c r="K59" s="251">
        <v>6.3154359942871635E-2</v>
      </c>
      <c r="L59" s="251">
        <v>0.15260927925791015</v>
      </c>
      <c r="M59" s="251"/>
      <c r="N59" s="251">
        <v>0.27679076811365855</v>
      </c>
      <c r="O59" s="251">
        <v>0.46696802774768525</v>
      </c>
      <c r="P59" s="251">
        <f t="shared" si="0"/>
        <v>0.2623298608965442</v>
      </c>
      <c r="Q59" s="251">
        <v>0.13893715463041936</v>
      </c>
      <c r="R59" s="251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7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7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6">
        <v>45961</v>
      </c>
      <c r="B60" s="251">
        <v>-1.46E-2</v>
      </c>
      <c r="C60" s="251">
        <v>-5.352402956371953E-3</v>
      </c>
      <c r="D60" s="251">
        <v>1.0166666666666666E-3</v>
      </c>
      <c r="E60" s="251">
        <v>-1.2346472579410572E-2</v>
      </c>
      <c r="F60" s="237">
        <v>8.9195655710922427E-4</v>
      </c>
      <c r="G60" s="252"/>
      <c r="H60" s="251">
        <v>0.22136678355487546</v>
      </c>
      <c r="I60" s="251">
        <v>0.18431447073070961</v>
      </c>
      <c r="J60" s="251">
        <v>0.37888932582494061</v>
      </c>
      <c r="K60" s="251">
        <v>6.8028057809600209E-2</v>
      </c>
      <c r="L60" s="251">
        <v>0.14740136207987412</v>
      </c>
      <c r="M60" s="251"/>
      <c r="N60" s="251">
        <v>0.24813259078629799</v>
      </c>
      <c r="O60" s="251">
        <v>0.52264718928792209</v>
      </c>
      <c r="P60" s="251">
        <f t="shared" si="0"/>
        <v>0.21919022315306552</v>
      </c>
      <c r="Q60" s="251">
        <v>0.18266844519620767</v>
      </c>
      <c r="R60" s="251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7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7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6">
        <v>45991</v>
      </c>
      <c r="B61" s="251">
        <v>7.0000000000000001E-3</v>
      </c>
      <c r="C61" s="251">
        <v>2.1378394265932729E-2</v>
      </c>
      <c r="D61" s="251">
        <v>5.0666666666666664E-3</v>
      </c>
      <c r="E61" s="251">
        <v>4.740121865198791E-3</v>
      </c>
      <c r="F61" s="237">
        <v>3.4715550032863394E-3</v>
      </c>
      <c r="G61" s="252"/>
      <c r="H61" s="251">
        <v>0.22460750024147272</v>
      </c>
      <c r="I61" s="251">
        <v>0.18160369813454552</v>
      </c>
      <c r="J61" s="251">
        <v>0.38154410968542807</v>
      </c>
      <c r="K61" s="251">
        <v>6.5478760487239551E-2</v>
      </c>
      <c r="L61" s="251">
        <v>0.14676593145131403</v>
      </c>
      <c r="M61" s="251"/>
      <c r="N61" s="251">
        <v>0.23015472786843019</v>
      </c>
      <c r="O61" s="251">
        <v>0.36591396643123103</v>
      </c>
      <c r="P61" s="251">
        <f t="shared" si="0"/>
        <v>0.23268377369772653</v>
      </c>
      <c r="Q61" s="251">
        <v>9.2516959259591747E-2</v>
      </c>
      <c r="R61" s="251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7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7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6">
        <v>46022</v>
      </c>
      <c r="B62" s="251">
        <v>-3.5000000000000001E-3</v>
      </c>
      <c r="C62" s="251">
        <v>1.5593996872262506E-2</v>
      </c>
      <c r="D62" s="251">
        <v>3.5416666666666669E-3</v>
      </c>
      <c r="E62" s="251">
        <v>5.1963270778583454E-3</v>
      </c>
      <c r="F62" s="237">
        <v>3.3028005629380641E-3</v>
      </c>
      <c r="G62" s="252"/>
      <c r="H62" s="251">
        <v>0.21777208779741808</v>
      </c>
      <c r="I62" s="251">
        <v>0.19096438391370774</v>
      </c>
      <c r="J62" s="251">
        <v>0.38050041155442765</v>
      </c>
      <c r="K62" s="251">
        <v>6.8160596849137542E-2</v>
      </c>
      <c r="L62" s="251">
        <v>0.14260251988530909</v>
      </c>
      <c r="M62" s="251"/>
      <c r="N62" s="251">
        <v>0.2300528503984216</v>
      </c>
      <c r="O62" s="251">
        <v>0.38114191621836813</v>
      </c>
      <c r="P62" s="251">
        <f>1-N62-O62-Q62-R62</f>
        <v>0.21245699057956385</v>
      </c>
      <c r="Q62" s="251">
        <v>0.11511456954040016</v>
      </c>
      <c r="R62" s="251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7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7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56" t="s">
        <v>822</v>
      </c>
      <c r="U64" s="256"/>
      <c r="V64" s="256"/>
      <c r="AA64" s="256" t="s">
        <v>820</v>
      </c>
      <c r="AB64" s="256"/>
      <c r="AC64" s="256"/>
      <c r="AD64" s="256"/>
      <c r="AE64" s="256"/>
    </row>
    <row r="65" spans="19:51">
      <c r="S65" s="1" t="s">
        <v>579</v>
      </c>
      <c r="T65" s="199">
        <f>AVERAGE(T3:T62)</f>
        <v>6.0015964866706817E-3</v>
      </c>
      <c r="U65" s="199">
        <f>AVERAGE(U3:U62)</f>
        <v>9.9004118716199668E-3</v>
      </c>
      <c r="V65" s="244">
        <f>AVERAGE(V3:V62)</f>
        <v>3.8988153849492898E-3</v>
      </c>
      <c r="AA65" s="246" t="s">
        <v>8</v>
      </c>
      <c r="AB65" s="246" t="s">
        <v>9</v>
      </c>
      <c r="AC65" s="246" t="s">
        <v>10</v>
      </c>
      <c r="AD65" s="246" t="s">
        <v>467</v>
      </c>
      <c r="AE65" s="246" t="s">
        <v>468</v>
      </c>
      <c r="AG65" s="246" t="s">
        <v>20</v>
      </c>
    </row>
    <row r="66" spans="19:51">
      <c r="S66" s="1" t="s">
        <v>818</v>
      </c>
      <c r="T66" s="199">
        <f>T65*12</f>
        <v>7.2019157840048184E-2</v>
      </c>
      <c r="U66" s="199">
        <f>U65*12</f>
        <v>0.11880494245943959</v>
      </c>
      <c r="V66" s="244">
        <f>V65*12</f>
        <v>4.6785784619391479E-2</v>
      </c>
      <c r="X66" s="14"/>
      <c r="Z66" s="1" t="s">
        <v>579</v>
      </c>
      <c r="AA66" s="199">
        <f>AVERAGE(AA3:AA62)</f>
        <v>-5.4791854870106017E-5</v>
      </c>
      <c r="AB66" s="199">
        <f>AVERAGE(AB3:AB62)</f>
        <v>3.0218343148934929E-3</v>
      </c>
      <c r="AC66" s="199">
        <f>AVERAGE(AC3:AC62)</f>
        <v>3.0161720393206525E-4</v>
      </c>
      <c r="AD66" s="199">
        <f>AVERAGE(AD3:AD62)</f>
        <v>1.2188748107737852E-4</v>
      </c>
      <c r="AE66" s="199">
        <f>AVERAGE(AE3:AE62)</f>
        <v>5.0826823991645853E-4</v>
      </c>
      <c r="AG66" s="244">
        <f>SUM(AA66:AE66)</f>
        <v>3.8988153849492894E-3</v>
      </c>
      <c r="AS66" s="256"/>
      <c r="AT66" s="256"/>
      <c r="AU66" s="256"/>
      <c r="AV66" s="256"/>
      <c r="AW66" s="256"/>
    </row>
    <row r="67" spans="19:51">
      <c r="T67" s="14"/>
      <c r="U67" s="14"/>
      <c r="V67" s="14"/>
      <c r="X67" s="14"/>
      <c r="Z67" s="1" t="s">
        <v>818</v>
      </c>
      <c r="AA67" s="199">
        <f>AA66*12</f>
        <v>-6.575022584412722E-4</v>
      </c>
      <c r="AB67" s="199">
        <f>AB66*12</f>
        <v>3.6262011778721917E-2</v>
      </c>
      <c r="AC67" s="199">
        <f>AC66*12</f>
        <v>3.6194064471847831E-3</v>
      </c>
      <c r="AD67" s="199">
        <f>AD66*12</f>
        <v>1.4626497729285422E-3</v>
      </c>
      <c r="AE67" s="199">
        <f>AE66*12</f>
        <v>6.0992188789975024E-3</v>
      </c>
      <c r="AG67" s="244">
        <f>SUM(AA67:AE67)</f>
        <v>4.6785784619391473E-2</v>
      </c>
      <c r="AS67" s="3"/>
      <c r="AT67" s="3"/>
      <c r="AU67" s="3"/>
      <c r="AV67" s="3"/>
      <c r="AW67" s="3"/>
    </row>
    <row r="68" spans="19:51">
      <c r="T68" s="248" t="s">
        <v>823</v>
      </c>
      <c r="U68" s="248"/>
      <c r="V68" s="248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579</v>
      </c>
      <c r="T69" s="249">
        <f>INTERCEPT(Y3:Y62,X3:X62)</f>
        <v>2.2732518211335175E-3</v>
      </c>
      <c r="AA69" s="256" t="s">
        <v>821</v>
      </c>
      <c r="AB69" s="256"/>
      <c r="AC69" s="256"/>
      <c r="AD69" s="256"/>
      <c r="AE69" s="256"/>
      <c r="AG69" s="14"/>
      <c r="AS69" s="40"/>
      <c r="AT69" s="40"/>
      <c r="AU69" s="40"/>
      <c r="AV69" s="40"/>
      <c r="AW69" s="40"/>
      <c r="AY69" s="40"/>
    </row>
    <row r="70" spans="19:51">
      <c r="S70" s="1" t="s">
        <v>818</v>
      </c>
      <c r="T70" s="249">
        <f>T69*12</f>
        <v>2.727902185360221E-2</v>
      </c>
      <c r="AA70" s="246" t="s">
        <v>8</v>
      </c>
      <c r="AB70" s="246" t="s">
        <v>9</v>
      </c>
      <c r="AC70" s="246" t="s">
        <v>10</v>
      </c>
      <c r="AD70" s="246" t="s">
        <v>467</v>
      </c>
      <c r="AE70" s="246" t="s">
        <v>468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579</v>
      </c>
      <c r="AA71" s="199">
        <f>INTERCEPT(AA3:AA62,$X$3:$X$62)</f>
        <v>-6.3280927891016725E-5</v>
      </c>
      <c r="AB71" s="199">
        <f>INTERCEPT(AB3:AB62,$X$3:$X$62)</f>
        <v>2.2346518055031978E-3</v>
      </c>
      <c r="AC71" s="199">
        <f>INTERCEPT(AC3:AC62,$X$3:$X$62)</f>
        <v>1.7155095107188945E-4</v>
      </c>
      <c r="AD71" s="199">
        <f>INTERCEPT(AD3:AD62,$X$3:$X$62)</f>
        <v>-8.3861649854842006E-5</v>
      </c>
      <c r="AE71" s="199">
        <f>INTERCEPT(AE3:AE62,$X$3:$X$62)</f>
        <v>1.4191642304293072E-5</v>
      </c>
      <c r="AG71" s="249">
        <f>SUM(AA71:AE71)</f>
        <v>2.2732518211335219E-3</v>
      </c>
    </row>
    <row r="72" spans="19:51">
      <c r="Z72" s="1" t="s">
        <v>818</v>
      </c>
      <c r="AA72" s="199">
        <f>AA71*12</f>
        <v>-7.5937113469220076E-4</v>
      </c>
      <c r="AB72" s="199">
        <f>AB71*12</f>
        <v>2.6815821666038374E-2</v>
      </c>
      <c r="AC72" s="199">
        <f>AC71*12</f>
        <v>2.0586114128626734E-3</v>
      </c>
      <c r="AD72" s="199">
        <f>AD71*12</f>
        <v>-1.0063397982581041E-3</v>
      </c>
      <c r="AE72" s="199">
        <f>AE71*12</f>
        <v>1.7029970765151687E-4</v>
      </c>
      <c r="AG72" s="249">
        <f>SUM(AA72:AE72)</f>
        <v>2.7279021853602259E-2</v>
      </c>
      <c r="AV72" s="40"/>
    </row>
    <row r="74" spans="19:51">
      <c r="AA74" s="256" t="s">
        <v>234</v>
      </c>
      <c r="AB74" s="256"/>
      <c r="AC74" s="256"/>
      <c r="AD74" s="256"/>
      <c r="AE74" s="256"/>
    </row>
    <row r="75" spans="19:51">
      <c r="AA75" s="246" t="s">
        <v>8</v>
      </c>
      <c r="AB75" s="246" t="s">
        <v>9</v>
      </c>
      <c r="AC75" s="246" t="s">
        <v>10</v>
      </c>
      <c r="AD75" s="246" t="s">
        <v>467</v>
      </c>
      <c r="AE75" s="246" t="s">
        <v>468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B1:F1"/>
    <mergeCell ref="X1:Y1"/>
    <mergeCell ref="T64:V64"/>
    <mergeCell ref="H1:L1"/>
    <mergeCell ref="N1:R1"/>
    <mergeCell ref="T1:V1"/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</mergeCells>
  <pageMargins left="0.7" right="0.7" top="0.75" bottom="0.75" header="0.3" footer="0.3"/>
  <ignoredErrors>
    <ignoredError sqref="T3:V6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abSelected="1" topLeftCell="A93" workbookViewId="0">
      <selection activeCell="H100" sqref="H100"/>
    </sheetView>
  </sheetViews>
  <sheetFormatPr defaultRowHeight="15"/>
  <cols>
    <col min="4" max="4" width="13.7109375" bestFit="1" customWidth="1"/>
  </cols>
  <sheetData>
    <row r="1" spans="1:3">
      <c r="A1" s="1" t="s">
        <v>568</v>
      </c>
      <c r="B1" s="1" t="s">
        <v>45</v>
      </c>
      <c r="C1" s="1" t="s">
        <v>206</v>
      </c>
    </row>
    <row r="2" spans="1:3">
      <c r="A2" t="s">
        <v>826</v>
      </c>
      <c r="B2">
        <v>-5.1349999999999998E-3</v>
      </c>
      <c r="C2">
        <v>-2.3921999999999999E-2</v>
      </c>
    </row>
    <row r="3" spans="1:3">
      <c r="A3" t="s">
        <v>827</v>
      </c>
      <c r="B3">
        <v>6.5317E-2</v>
      </c>
      <c r="C3">
        <v>7.8460000000000005E-3</v>
      </c>
    </row>
    <row r="4" spans="1:3">
      <c r="A4" t="s">
        <v>828</v>
      </c>
      <c r="B4">
        <v>-4.8079999999999998E-3</v>
      </c>
      <c r="C4">
        <v>1.6959999999999999E-2</v>
      </c>
    </row>
    <row r="5" spans="1:3">
      <c r="A5" t="s">
        <v>829</v>
      </c>
      <c r="B5">
        <v>-1.4598E-2</v>
      </c>
      <c r="C5">
        <v>5.1659999999999996E-3</v>
      </c>
    </row>
    <row r="6" spans="1:3">
      <c r="A6" t="s">
        <v>830</v>
      </c>
      <c r="B6">
        <v>-2.5149999999999999E-3</v>
      </c>
      <c r="C6">
        <v>1.4200000000000001E-4</v>
      </c>
    </row>
    <row r="7" spans="1:3">
      <c r="A7" t="s">
        <v>831</v>
      </c>
      <c r="B7">
        <v>-8.3820000000000006E-3</v>
      </c>
      <c r="C7">
        <v>8.541E-3</v>
      </c>
    </row>
    <row r="8" spans="1:3">
      <c r="A8" t="s">
        <v>832</v>
      </c>
      <c r="B8">
        <v>2.4022000000000002E-2</v>
      </c>
      <c r="C8">
        <v>-4.1406999999999999E-2</v>
      </c>
    </row>
    <row r="9" spans="1:3">
      <c r="A9" t="s">
        <v>833</v>
      </c>
      <c r="B9">
        <v>-9.0881000000000003E-2</v>
      </c>
      <c r="C9">
        <v>-1.2648E-2</v>
      </c>
    </row>
    <row r="10" spans="1:3">
      <c r="A10" t="s">
        <v>834</v>
      </c>
      <c r="B10">
        <v>-4.5158999999999998E-2</v>
      </c>
      <c r="C10">
        <v>-9.5759999999999994E-3</v>
      </c>
    </row>
    <row r="11" spans="1:3">
      <c r="A11" t="s">
        <v>835</v>
      </c>
      <c r="B11">
        <v>9.5797999999999994E-2</v>
      </c>
      <c r="C11">
        <v>1.9914999999999999E-2</v>
      </c>
    </row>
    <row r="12" spans="1:3">
      <c r="A12" t="s">
        <v>836</v>
      </c>
      <c r="B12">
        <v>-7.45E-3</v>
      </c>
      <c r="C12">
        <v>5.855E-3</v>
      </c>
    </row>
    <row r="13" spans="1:3">
      <c r="A13" t="s">
        <v>837</v>
      </c>
      <c r="B13">
        <v>-5.4599999999999996E-3</v>
      </c>
      <c r="C13">
        <v>-3.5617000000000003E-2</v>
      </c>
    </row>
    <row r="14" spans="1:3">
      <c r="A14" t="s">
        <v>838</v>
      </c>
      <c r="B14">
        <v>-3.7279E-2</v>
      </c>
      <c r="C14">
        <v>-2.1218000000000001E-2</v>
      </c>
    </row>
    <row r="15" spans="1:3">
      <c r="A15" t="s">
        <v>839</v>
      </c>
      <c r="B15">
        <v>7.4371999999999994E-2</v>
      </c>
      <c r="C15">
        <v>1.1742000000000001E-2</v>
      </c>
    </row>
    <row r="16" spans="1:3">
      <c r="A16" t="s">
        <v>840</v>
      </c>
      <c r="B16">
        <v>8.5233000000000003E-2</v>
      </c>
      <c r="C16">
        <v>4.3011000000000001E-2</v>
      </c>
    </row>
    <row r="17" spans="1:3">
      <c r="A17" t="s">
        <v>841</v>
      </c>
      <c r="B17">
        <v>-9.1730000000000006E-3</v>
      </c>
      <c r="C17">
        <v>6.1900000000000002E-3</v>
      </c>
    </row>
    <row r="18" spans="1:3">
      <c r="A18" t="s">
        <v>842</v>
      </c>
      <c r="B18">
        <v>6.2119999999999996E-3</v>
      </c>
      <c r="C18">
        <v>-4.457E-3</v>
      </c>
    </row>
    <row r="19" spans="1:3">
      <c r="A19" t="s">
        <v>843</v>
      </c>
      <c r="B19">
        <v>4.2944999999999997E-2</v>
      </c>
      <c r="C19">
        <v>1.5945000000000001E-2</v>
      </c>
    </row>
    <row r="20" spans="1:3">
      <c r="A20" t="s">
        <v>844</v>
      </c>
      <c r="B20">
        <v>7.8302999999999998E-2</v>
      </c>
      <c r="C20">
        <v>2.7824000000000002E-2</v>
      </c>
    </row>
    <row r="21" spans="1:3">
      <c r="A21" t="s">
        <v>845</v>
      </c>
      <c r="B21">
        <v>-3.0813E-2</v>
      </c>
      <c r="C21">
        <v>1.5724999999999999E-2</v>
      </c>
    </row>
    <row r="22" spans="1:3">
      <c r="A22" t="s">
        <v>846</v>
      </c>
      <c r="B22">
        <v>-3.166E-3</v>
      </c>
      <c r="C22">
        <v>4.8900000000000002E-3</v>
      </c>
    </row>
    <row r="23" spans="1:3">
      <c r="A23" t="s">
        <v>847</v>
      </c>
      <c r="B23">
        <v>-4.4521999999999999E-2</v>
      </c>
      <c r="C23">
        <v>-1.1448E-2</v>
      </c>
    </row>
    <row r="24" spans="1:3">
      <c r="A24" t="s">
        <v>848</v>
      </c>
      <c r="B24">
        <v>7.0823999999999998E-2</v>
      </c>
      <c r="C24">
        <v>9.1991000000000003E-2</v>
      </c>
    </row>
    <row r="25" spans="1:3">
      <c r="A25" t="s">
        <v>849</v>
      </c>
      <c r="B25">
        <v>2.9194000000000001E-2</v>
      </c>
      <c r="C25">
        <v>3.2821999999999997E-2</v>
      </c>
    </row>
    <row r="26" spans="1:3">
      <c r="A26" t="s">
        <v>99</v>
      </c>
      <c r="B26">
        <v>1.6191000000000001E-2</v>
      </c>
      <c r="C26">
        <v>-2.6858E-2</v>
      </c>
    </row>
    <row r="27" spans="1:3">
      <c r="A27" t="s">
        <v>102</v>
      </c>
      <c r="B27">
        <v>2.2187999999999999E-2</v>
      </c>
      <c r="C27">
        <v>-4.9740000000000001E-3</v>
      </c>
    </row>
    <row r="28" spans="1:3">
      <c r="A28" t="s">
        <v>105</v>
      </c>
      <c r="B28">
        <v>3.1671999999999999E-2</v>
      </c>
      <c r="C28">
        <v>-8.8789999999999997E-3</v>
      </c>
    </row>
    <row r="29" spans="1:3">
      <c r="A29" t="s">
        <v>106</v>
      </c>
      <c r="B29">
        <v>1.2148000000000001E-2</v>
      </c>
      <c r="C29">
        <v>8.6370000000000006E-3</v>
      </c>
    </row>
    <row r="30" spans="1:3">
      <c r="A30" t="s">
        <v>107</v>
      </c>
      <c r="B30">
        <v>2.5304E-2</v>
      </c>
      <c r="C30">
        <v>-1.4546999999999999E-2</v>
      </c>
    </row>
    <row r="31" spans="1:3">
      <c r="A31" t="s">
        <v>108</v>
      </c>
      <c r="B31">
        <v>-5.8019999999999999E-3</v>
      </c>
      <c r="C31">
        <v>1.5370999999999999E-2</v>
      </c>
    </row>
    <row r="32" spans="1:3">
      <c r="A32" t="s">
        <v>109</v>
      </c>
      <c r="B32">
        <v>-4.496E-3</v>
      </c>
      <c r="C32">
        <v>-9.4079999999999997E-3</v>
      </c>
    </row>
    <row r="33" spans="1:3">
      <c r="A33" t="s">
        <v>110</v>
      </c>
      <c r="B33">
        <v>-1.5403E-2</v>
      </c>
      <c r="C33">
        <v>-1.448E-2</v>
      </c>
    </row>
    <row r="34" spans="1:3">
      <c r="A34" t="s">
        <v>111</v>
      </c>
      <c r="B34">
        <v>2.4246E-2</v>
      </c>
      <c r="C34">
        <v>5.7779999999999998E-2</v>
      </c>
    </row>
    <row r="35" spans="1:3">
      <c r="A35" t="s">
        <v>112</v>
      </c>
      <c r="B35">
        <v>3.3050000000000002E-3</v>
      </c>
      <c r="C35">
        <v>-2.7430000000000002E-3</v>
      </c>
    </row>
    <row r="36" spans="1:3">
      <c r="A36" t="s">
        <v>113</v>
      </c>
      <c r="B36">
        <v>7.1082000000000006E-2</v>
      </c>
      <c r="C36">
        <v>2.1753999999999999E-2</v>
      </c>
    </row>
    <row r="37" spans="1:3">
      <c r="A37" t="s">
        <v>114</v>
      </c>
      <c r="B37">
        <v>3.9709000000000001E-2</v>
      </c>
      <c r="C37">
        <v>5.6800000000000002E-3</v>
      </c>
    </row>
    <row r="38" spans="1:3">
      <c r="A38" t="s">
        <v>115</v>
      </c>
      <c r="B38">
        <v>5.8111000000000003E-2</v>
      </c>
      <c r="C38">
        <v>-5.4990000000000004E-3</v>
      </c>
    </row>
    <row r="39" spans="1:3">
      <c r="A39" t="s">
        <v>116</v>
      </c>
      <c r="B39">
        <v>-6.4797999999999994E-2</v>
      </c>
      <c r="C39">
        <v>-1.0102999999999999E-2</v>
      </c>
    </row>
    <row r="40" spans="1:3">
      <c r="A40" t="s">
        <v>117</v>
      </c>
      <c r="B40">
        <v>-4.0879999999999996E-3</v>
      </c>
      <c r="C40">
        <v>3.2230000000000002E-3</v>
      </c>
    </row>
    <row r="41" spans="1:3">
      <c r="A41" t="s">
        <v>118</v>
      </c>
      <c r="B41">
        <v>-1.0215999999999999E-2</v>
      </c>
      <c r="C41">
        <v>-3.5339999999999998E-3</v>
      </c>
    </row>
    <row r="42" spans="1:3">
      <c r="A42" t="s">
        <v>119</v>
      </c>
      <c r="B42">
        <v>2.9914E-2</v>
      </c>
      <c r="C42">
        <v>5.5830000000000003E-3</v>
      </c>
    </row>
    <row r="43" spans="1:3">
      <c r="A43" t="s">
        <v>120</v>
      </c>
      <c r="B43">
        <v>4.6439000000000001E-2</v>
      </c>
      <c r="C43">
        <v>3.6879999999999999E-3</v>
      </c>
    </row>
    <row r="44" spans="1:3">
      <c r="A44" t="s">
        <v>121</v>
      </c>
      <c r="B44">
        <v>4.5501E-2</v>
      </c>
      <c r="C44">
        <v>1.0584E-2</v>
      </c>
    </row>
    <row r="45" spans="1:3">
      <c r="A45" t="s">
        <v>122</v>
      </c>
      <c r="B45">
        <v>3.5076999999999997E-2</v>
      </c>
      <c r="C45">
        <v>-2.0209999999999998E-3</v>
      </c>
    </row>
    <row r="46" spans="1:3">
      <c r="A46" t="s">
        <v>123</v>
      </c>
      <c r="B46">
        <v>5.8710000000000004E-3</v>
      </c>
      <c r="C46">
        <v>-2.0712999999999999E-2</v>
      </c>
    </row>
    <row r="47" spans="1:3">
      <c r="A47" t="s">
        <v>124</v>
      </c>
      <c r="B47">
        <v>-6.6720000000000002E-2</v>
      </c>
      <c r="C47">
        <v>-3.7257999999999999E-2</v>
      </c>
    </row>
    <row r="48" spans="1:3">
      <c r="A48" t="s">
        <v>125</v>
      </c>
      <c r="B48">
        <v>-1.4940000000000001E-3</v>
      </c>
      <c r="C48">
        <v>1.7382000000000002E-2</v>
      </c>
    </row>
    <row r="49" spans="1:3">
      <c r="A49" t="s">
        <v>126</v>
      </c>
      <c r="B49">
        <v>-0.119834</v>
      </c>
      <c r="C49">
        <v>-6.8385000000000001E-2</v>
      </c>
    </row>
    <row r="50" spans="1:3">
      <c r="A50" t="s">
        <v>127</v>
      </c>
      <c r="B50">
        <v>7.0872000000000004E-2</v>
      </c>
      <c r="C50">
        <v>4.8003999999999998E-2</v>
      </c>
    </row>
    <row r="51" spans="1:3">
      <c r="A51" t="s">
        <v>128</v>
      </c>
      <c r="B51">
        <v>4.8911000000000003E-2</v>
      </c>
      <c r="C51">
        <v>1.3948E-2</v>
      </c>
    </row>
    <row r="52" spans="1:3">
      <c r="A52" t="s">
        <v>129</v>
      </c>
      <c r="B52">
        <v>1.2574999999999999E-2</v>
      </c>
      <c r="C52">
        <v>-4.1648999999999999E-2</v>
      </c>
    </row>
    <row r="53" spans="1:3">
      <c r="A53" t="s">
        <v>130</v>
      </c>
      <c r="B53">
        <v>4.2777999999999997E-2</v>
      </c>
      <c r="C53">
        <v>2.5080000000000002E-2</v>
      </c>
    </row>
    <row r="54" spans="1:3">
      <c r="A54" t="s">
        <v>131</v>
      </c>
      <c r="B54">
        <v>-6.5914E-2</v>
      </c>
      <c r="C54">
        <v>-4.3725E-2</v>
      </c>
    </row>
    <row r="55" spans="1:3">
      <c r="A55" t="s">
        <v>132</v>
      </c>
      <c r="B55">
        <v>8.4517999999999996E-2</v>
      </c>
      <c r="C55">
        <v>2.6713000000000001E-2</v>
      </c>
    </row>
    <row r="56" spans="1:3">
      <c r="A56" t="s">
        <v>133</v>
      </c>
      <c r="B56">
        <v>1.4963000000000001E-2</v>
      </c>
      <c r="C56">
        <v>-5.3200000000000001E-3</v>
      </c>
    </row>
    <row r="57" spans="1:3">
      <c r="A57" t="s">
        <v>134</v>
      </c>
      <c r="B57">
        <v>-1.9734999999999999E-2</v>
      </c>
      <c r="C57">
        <v>-4.623E-2</v>
      </c>
    </row>
    <row r="58" spans="1:3">
      <c r="A58" t="s">
        <v>135</v>
      </c>
      <c r="B58">
        <v>2.7888E-2</v>
      </c>
      <c r="C58">
        <v>4.6650999999999998E-2</v>
      </c>
    </row>
    <row r="59" spans="1:3">
      <c r="A59" t="s">
        <v>136</v>
      </c>
      <c r="B59">
        <v>4.4281000000000001E-2</v>
      </c>
      <c r="C59">
        <v>-3.4699999999999998E-4</v>
      </c>
    </row>
    <row r="60" spans="1:3">
      <c r="A60" t="s">
        <v>137</v>
      </c>
      <c r="B60">
        <v>2.7743E-2</v>
      </c>
      <c r="C60">
        <v>-5.6779999999999999E-3</v>
      </c>
    </row>
    <row r="61" spans="1:3">
      <c r="A61" t="s">
        <v>138</v>
      </c>
      <c r="B61">
        <v>3.6212000000000001E-2</v>
      </c>
      <c r="C61">
        <v>2.3266999999999999E-2</v>
      </c>
    </row>
    <row r="62" spans="1:3">
      <c r="A62" t="s">
        <v>139</v>
      </c>
      <c r="B62">
        <v>-1.3006E-2</v>
      </c>
      <c r="C62">
        <v>-5.6401E-2</v>
      </c>
    </row>
    <row r="63" spans="1:3">
      <c r="A63" t="s">
        <v>140</v>
      </c>
      <c r="B63">
        <v>-0.11197699999999999</v>
      </c>
      <c r="C63">
        <v>-4.1257000000000002E-2</v>
      </c>
    </row>
    <row r="64" spans="1:3">
      <c r="A64" t="s">
        <v>141</v>
      </c>
      <c r="B64">
        <v>-7.3729000000000003E-2</v>
      </c>
      <c r="C64">
        <v>-0.15043400000000001</v>
      </c>
    </row>
    <row r="65" spans="1:3">
      <c r="A65" t="s">
        <v>142</v>
      </c>
      <c r="B65">
        <v>0.179086</v>
      </c>
      <c r="C65">
        <v>8.3719000000000002E-2</v>
      </c>
    </row>
    <row r="66" spans="1:3">
      <c r="A66" t="s">
        <v>143</v>
      </c>
      <c r="B66">
        <v>9.6227999999999994E-2</v>
      </c>
      <c r="C66">
        <v>1.8824E-2</v>
      </c>
    </row>
    <row r="67" spans="1:3">
      <c r="A67" t="s">
        <v>144</v>
      </c>
      <c r="B67">
        <v>5.8097999999999997E-2</v>
      </c>
      <c r="C67">
        <v>7.3600000000000002E-3</v>
      </c>
    </row>
    <row r="68" spans="1:3">
      <c r="A68" t="s">
        <v>145</v>
      </c>
      <c r="B68">
        <v>7.7633999999999995E-2</v>
      </c>
      <c r="C68">
        <v>1.6497000000000001E-2</v>
      </c>
    </row>
    <row r="69" spans="1:3">
      <c r="A69" t="s">
        <v>146</v>
      </c>
      <c r="B69">
        <v>0.14960100000000001</v>
      </c>
      <c r="C69">
        <v>2.7768000000000001E-2</v>
      </c>
    </row>
    <row r="70" spans="1:3">
      <c r="A70" t="s">
        <v>147</v>
      </c>
      <c r="B70">
        <v>-4.3188999999999998E-2</v>
      </c>
      <c r="C70">
        <v>-3.3083000000000001E-2</v>
      </c>
    </row>
    <row r="71" spans="1:3">
      <c r="A71" t="s">
        <v>148</v>
      </c>
      <c r="B71">
        <v>-5.5348000000000001E-2</v>
      </c>
      <c r="C71">
        <v>3.6651000000000003E-2</v>
      </c>
    </row>
    <row r="72" spans="1:3">
      <c r="A72" t="s">
        <v>149</v>
      </c>
      <c r="B72">
        <v>0.14902099999999999</v>
      </c>
      <c r="C72">
        <v>9.8651000000000003E-2</v>
      </c>
    </row>
    <row r="73" spans="1:3">
      <c r="A73" t="s">
        <v>150</v>
      </c>
      <c r="B73">
        <v>5.6899999999999999E-2</v>
      </c>
      <c r="C73">
        <v>3.8743E-2</v>
      </c>
    </row>
    <row r="74" spans="1:3">
      <c r="A74" t="s">
        <v>151</v>
      </c>
      <c r="B74">
        <v>1.5654000000000001E-2</v>
      </c>
      <c r="C74">
        <v>4.3771999999999998E-2</v>
      </c>
    </row>
    <row r="75" spans="1:3">
      <c r="A75" t="s">
        <v>152</v>
      </c>
      <c r="B75">
        <v>-5.7590000000000002E-3</v>
      </c>
      <c r="C75">
        <v>7.1138999999999994E-2</v>
      </c>
    </row>
    <row r="76" spans="1:3">
      <c r="A76" t="s">
        <v>153</v>
      </c>
      <c r="B76">
        <v>8.9948E-2</v>
      </c>
      <c r="C76">
        <v>6.8834000000000006E-2</v>
      </c>
    </row>
    <row r="77" spans="1:3">
      <c r="A77" t="s">
        <v>154</v>
      </c>
      <c r="B77">
        <v>6.3660999999999995E-2</v>
      </c>
      <c r="C77">
        <v>1.0800000000000001E-2</v>
      </c>
    </row>
    <row r="78" spans="1:3">
      <c r="A78" t="s">
        <v>155</v>
      </c>
      <c r="B78">
        <v>2.3896000000000001E-2</v>
      </c>
      <c r="C78">
        <v>4.3666999999999997E-2</v>
      </c>
    </row>
    <row r="79" spans="1:3">
      <c r="A79" t="s">
        <v>156</v>
      </c>
      <c r="B79">
        <v>6.6915000000000002E-2</v>
      </c>
      <c r="C79">
        <v>-3.6978999999999998E-2</v>
      </c>
    </row>
    <row r="80" spans="1:3">
      <c r="A80" t="s">
        <v>157</v>
      </c>
      <c r="B80">
        <v>5.7801999999999999E-2</v>
      </c>
      <c r="C80">
        <v>-3.388E-3</v>
      </c>
    </row>
    <row r="81" spans="1:3">
      <c r="A81" t="s">
        <v>158</v>
      </c>
      <c r="B81">
        <v>1.9056E-2</v>
      </c>
      <c r="C81">
        <v>1.8500000000000001E-3</v>
      </c>
    </row>
    <row r="82" spans="1:3">
      <c r="A82" t="s">
        <v>159</v>
      </c>
      <c r="B82">
        <v>-5.4052000000000003E-2</v>
      </c>
      <c r="C82">
        <v>1.0036E-2</v>
      </c>
    </row>
    <row r="83" spans="1:3">
      <c r="A83" t="s">
        <v>160</v>
      </c>
      <c r="B83">
        <v>7.4697E-2</v>
      </c>
      <c r="C83">
        <v>1.3540999999999999E-2</v>
      </c>
    </row>
    <row r="84" spans="1:3">
      <c r="A84" t="s">
        <v>161</v>
      </c>
      <c r="B84">
        <v>8.1414E-2</v>
      </c>
      <c r="C84">
        <v>1.1769E-2</v>
      </c>
    </row>
    <row r="85" spans="1:3">
      <c r="A85" t="s">
        <v>850</v>
      </c>
      <c r="B85">
        <v>9.8111000000000004E-2</v>
      </c>
      <c r="C85">
        <v>4.0349999999999997E-2</v>
      </c>
    </row>
    <row r="86" spans="1:3">
      <c r="A86" t="s">
        <v>851</v>
      </c>
      <c r="B86">
        <v>-7.5355000000000005E-2</v>
      </c>
      <c r="C86">
        <v>4.6589999999999999E-3</v>
      </c>
    </row>
    <row r="87" spans="1:3">
      <c r="A87" t="s">
        <v>852</v>
      </c>
      <c r="B87">
        <v>-2.9089E-2</v>
      </c>
      <c r="C87">
        <v>1.0500000000000001E-2</v>
      </c>
    </row>
    <row r="88" spans="1:3">
      <c r="A88" t="s">
        <v>853</v>
      </c>
      <c r="B88">
        <v>6.2893000000000004E-2</v>
      </c>
      <c r="C88">
        <v>-4.3819999999999996E-3</v>
      </c>
    </row>
    <row r="89" spans="1:3">
      <c r="A89" t="s">
        <v>854</v>
      </c>
      <c r="B89">
        <v>-6.3219999999999998E-2</v>
      </c>
      <c r="C89">
        <v>7.1269999999999997E-3</v>
      </c>
    </row>
    <row r="90" spans="1:3">
      <c r="A90" t="s">
        <v>855</v>
      </c>
      <c r="B90">
        <v>1.2508999999999999E-2</v>
      </c>
      <c r="C90">
        <v>3.5376999999999999E-2</v>
      </c>
    </row>
    <row r="91" spans="1:3">
      <c r="A91" t="s">
        <v>856</v>
      </c>
      <c r="B91">
        <v>-8.1605999999999998E-2</v>
      </c>
      <c r="C91">
        <v>-3.6000999999999998E-2</v>
      </c>
    </row>
    <row r="92" spans="1:3">
      <c r="A92" t="s">
        <v>857</v>
      </c>
      <c r="B92">
        <v>9.2456999999999998E-2</v>
      </c>
      <c r="C92">
        <v>3.7385000000000002E-2</v>
      </c>
    </row>
    <row r="93" spans="1:3">
      <c r="A93" t="s">
        <v>858</v>
      </c>
      <c r="B93">
        <v>-7.0456000000000005E-2</v>
      </c>
      <c r="C93">
        <v>-1.8610999999999999E-2</v>
      </c>
    </row>
    <row r="94" spans="1:3">
      <c r="A94" t="s">
        <v>859</v>
      </c>
      <c r="B94">
        <v>-0.14000000000000001</v>
      </c>
      <c r="C94">
        <v>-5.7997E-2</v>
      </c>
    </row>
    <row r="95" spans="1:3">
      <c r="A95" t="s">
        <v>440</v>
      </c>
      <c r="B95">
        <v>0.12245499999999999</v>
      </c>
      <c r="C95">
        <v>8.1643999999999994E-2</v>
      </c>
    </row>
    <row r="96" spans="1:3">
      <c r="A96" t="s">
        <v>441</v>
      </c>
      <c r="B96">
        <v>0.119232</v>
      </c>
      <c r="C96">
        <v>3.7984999999999998E-2</v>
      </c>
    </row>
    <row r="97" spans="1:3">
      <c r="A97" t="s">
        <v>442</v>
      </c>
      <c r="B97">
        <v>-4.7477999999999999E-2</v>
      </c>
      <c r="C97">
        <v>-1.3768000000000001E-2</v>
      </c>
    </row>
    <row r="98" spans="1:3">
      <c r="A98" t="s">
        <v>860</v>
      </c>
      <c r="B98">
        <v>7.1791999999999995E-2</v>
      </c>
      <c r="C98">
        <v>2.8065E-2</v>
      </c>
    </row>
    <row r="99" spans="1:3">
      <c r="A99" t="s">
        <v>861</v>
      </c>
      <c r="B99">
        <v>-2.2669999999999999E-3</v>
      </c>
      <c r="C99">
        <v>-2.1066000000000001E-2</v>
      </c>
    </row>
    <row r="100" spans="1:3">
      <c r="A100" t="s">
        <v>862</v>
      </c>
      <c r="B100">
        <v>5.7209999999999997E-2</v>
      </c>
      <c r="C100">
        <v>-5.7017999999999999E-2</v>
      </c>
    </row>
    <row r="101" spans="1:3">
      <c r="A101" t="s">
        <v>863</v>
      </c>
      <c r="B101">
        <v>5.5313000000000001E-2</v>
      </c>
      <c r="C101">
        <v>-1.2312E-2</v>
      </c>
    </row>
    <row r="102" spans="1:3">
      <c r="A102" t="s">
        <v>864</v>
      </c>
      <c r="B102">
        <v>-3.6065E-2</v>
      </c>
      <c r="C102">
        <v>-2.8339E-2</v>
      </c>
    </row>
    <row r="103" spans="1:3">
      <c r="A103" t="s">
        <v>865</v>
      </c>
      <c r="B103">
        <v>9.7267999999999993E-2</v>
      </c>
      <c r="C103">
        <v>3.1725999999999997E-2</v>
      </c>
    </row>
    <row r="104" spans="1:3">
      <c r="A104" t="s">
        <v>866</v>
      </c>
      <c r="B104">
        <v>1.2907E-2</v>
      </c>
      <c r="C104">
        <v>4.1475999999999999E-2</v>
      </c>
    </row>
    <row r="105" spans="1:3">
      <c r="A105" t="s">
        <v>867</v>
      </c>
      <c r="B105">
        <v>-1.3194000000000001E-2</v>
      </c>
      <c r="C105">
        <v>-1.847E-2</v>
      </c>
    </row>
    <row r="106" spans="1:3">
      <c r="A106" t="s">
        <v>868</v>
      </c>
      <c r="B106">
        <v>-7.0044999999999996E-2</v>
      </c>
      <c r="C106">
        <v>-2.5562999999999999E-2</v>
      </c>
    </row>
    <row r="107" spans="1:3">
      <c r="A107" t="s">
        <v>452</v>
      </c>
      <c r="B107">
        <v>-4.1651000000000001E-2</v>
      </c>
      <c r="C107">
        <v>-3.4705E-2</v>
      </c>
    </row>
    <row r="108" spans="1:3">
      <c r="A108" t="s">
        <v>453</v>
      </c>
      <c r="B108">
        <v>4.4873000000000003E-2</v>
      </c>
      <c r="C108">
        <v>2.2460999999999998E-2</v>
      </c>
    </row>
    <row r="109" spans="1:3">
      <c r="A109" t="s">
        <v>454</v>
      </c>
      <c r="B109">
        <v>1.5063E-2</v>
      </c>
      <c r="C109">
        <v>5.3952E-2</v>
      </c>
    </row>
    <row r="110" spans="1:3">
      <c r="A110" t="s">
        <v>869</v>
      </c>
      <c r="B110">
        <v>1.4024999999999999E-2</v>
      </c>
      <c r="C110">
        <v>-3.7241000000000003E-2</v>
      </c>
    </row>
    <row r="111" spans="1:3">
      <c r="A111" t="s">
        <v>870</v>
      </c>
      <c r="B111">
        <v>3.4645000000000002E-2</v>
      </c>
      <c r="C111">
        <v>-8.5380000000000005E-3</v>
      </c>
    </row>
    <row r="112" spans="1:3">
      <c r="A112" t="s">
        <v>871</v>
      </c>
      <c r="B112">
        <v>4.8544999999999998E-2</v>
      </c>
      <c r="C112">
        <v>2.6065000000000001E-2</v>
      </c>
    </row>
    <row r="113" spans="1:3">
      <c r="A113" t="s">
        <v>872</v>
      </c>
      <c r="B113">
        <v>-3.7053999999999997E-2</v>
      </c>
      <c r="C113">
        <v>-4.1659000000000002E-2</v>
      </c>
    </row>
    <row r="114" spans="1:3">
      <c r="A114" t="s">
        <v>873</v>
      </c>
      <c r="B114">
        <v>8.3468000000000001E-2</v>
      </c>
      <c r="C114">
        <v>3.0766000000000002E-2</v>
      </c>
    </row>
    <row r="115" spans="1:3">
      <c r="A115" t="s">
        <v>874</v>
      </c>
      <c r="B115">
        <v>2.8306000000000001E-2</v>
      </c>
      <c r="C115">
        <v>-1.8821999999999998E-2</v>
      </c>
    </row>
    <row r="116" spans="1:3">
      <c r="A116" t="s">
        <v>875</v>
      </c>
      <c r="B116">
        <v>2.7543999999999999E-2</v>
      </c>
      <c r="C116">
        <v>6.7946000000000006E-2</v>
      </c>
    </row>
    <row r="117" spans="1:3">
      <c r="A117" t="s">
        <v>876</v>
      </c>
      <c r="B117">
        <v>4.6532999999999998E-2</v>
      </c>
      <c r="C117">
        <v>-1.2062E-2</v>
      </c>
    </row>
    <row r="118" spans="1:3">
      <c r="A118" t="s">
        <v>877</v>
      </c>
      <c r="B118">
        <v>3.2971E-2</v>
      </c>
      <c r="C118">
        <v>-6.7749999999999998E-3</v>
      </c>
    </row>
    <row r="119" spans="1:3">
      <c r="A119" t="s">
        <v>464</v>
      </c>
      <c r="B119">
        <v>-2.1538000000000002E-2</v>
      </c>
      <c r="C119">
        <v>-1.8389999999999999E-3</v>
      </c>
    </row>
    <row r="120" spans="1:3">
      <c r="A120" t="s">
        <v>465</v>
      </c>
      <c r="B120">
        <v>6.6799999999999998E-2</v>
      </c>
      <c r="C120">
        <v>4.7354E-2</v>
      </c>
    </row>
    <row r="121" spans="1:3">
      <c r="A121" t="s">
        <v>466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21" sqref="G21"/>
    </sheetView>
  </sheetViews>
  <sheetFormatPr defaultRowHeight="15"/>
  <cols>
    <col min="1" max="1" width="11.5703125" customWidth="1"/>
    <col min="7" max="7" width="6.5703125" customWidth="1"/>
    <col min="8" max="8" width="10.42578125" customWidth="1"/>
    <col min="9" max="9" width="11.42578125" customWidth="1"/>
  </cols>
  <sheetData>
    <row r="1" spans="1:9">
      <c r="B1" s="256" t="s">
        <v>781</v>
      </c>
      <c r="C1" s="265"/>
      <c r="D1" s="265"/>
      <c r="E1" s="265"/>
      <c r="F1" s="265"/>
    </row>
    <row r="3" spans="1:9">
      <c r="B3" s="3" t="s">
        <v>8</v>
      </c>
      <c r="C3" s="3" t="s">
        <v>9</v>
      </c>
      <c r="D3" s="3" t="s">
        <v>10</v>
      </c>
      <c r="E3" s="3" t="s">
        <v>467</v>
      </c>
      <c r="F3" s="3" t="s">
        <v>468</v>
      </c>
    </row>
    <row r="4" spans="1:9">
      <c r="A4" s="3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467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468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56" t="s">
        <v>478</v>
      </c>
      <c r="C10" s="256"/>
      <c r="D10" s="256"/>
      <c r="E10" s="256"/>
      <c r="F10" s="256"/>
      <c r="G10" s="256"/>
    </row>
    <row r="11" spans="1:9">
      <c r="B11" s="4" t="s">
        <v>8</v>
      </c>
      <c r="C11" s="4" t="s">
        <v>9</v>
      </c>
      <c r="D11" s="4" t="s">
        <v>10</v>
      </c>
      <c r="E11" s="4" t="s">
        <v>467</v>
      </c>
      <c r="F11" s="4" t="s">
        <v>468</v>
      </c>
      <c r="G11" s="4" t="s">
        <v>193</v>
      </c>
      <c r="H11" s="4"/>
    </row>
    <row r="12" spans="1:9">
      <c r="A12" s="227" t="s">
        <v>469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206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56" t="s">
        <v>470</v>
      </c>
      <c r="C15" s="265"/>
      <c r="D15" s="265"/>
      <c r="E15" s="265"/>
      <c r="F15" s="265"/>
      <c r="H15" s="1" t="s">
        <v>471</v>
      </c>
      <c r="I15" s="1" t="s">
        <v>263</v>
      </c>
    </row>
    <row r="16" spans="1:9">
      <c r="A16" s="227" t="s">
        <v>469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64" customWidth="1"/>
    <col min="2" max="2" width="32.42578125" style="64" bestFit="1" customWidth="1"/>
    <col min="3" max="6" width="9.140625" style="64" customWidth="1"/>
    <col min="7" max="7" width="32.42578125" style="64" bestFit="1" customWidth="1"/>
    <col min="8" max="8" width="9.140625" style="64" customWidth="1"/>
    <col min="9" max="9" width="9.5703125" style="64" bestFit="1" customWidth="1"/>
    <col min="10" max="10" width="9.140625" style="64" customWidth="1"/>
    <col min="11" max="11" width="32.42578125" style="64" bestFit="1" customWidth="1"/>
    <col min="12" max="12" width="9.140625" style="64" customWidth="1"/>
    <col min="13" max="13" width="9.5703125" style="64" bestFit="1" customWidth="1"/>
    <col min="14" max="19" width="9.140625" style="64" customWidth="1"/>
    <col min="20" max="16384" width="9.140625" style="64"/>
  </cols>
  <sheetData>
    <row r="2" spans="2:13">
      <c r="B2" s="266" t="s">
        <v>265</v>
      </c>
      <c r="C2" s="267"/>
      <c r="D2" s="268"/>
      <c r="G2" s="266" t="s">
        <v>265</v>
      </c>
      <c r="H2" s="267"/>
      <c r="I2" s="268"/>
      <c r="K2" s="266" t="s">
        <v>265</v>
      </c>
      <c r="L2" s="267"/>
      <c r="M2" s="268"/>
    </row>
    <row r="3" spans="2:13">
      <c r="B3" s="269" t="s">
        <v>266</v>
      </c>
      <c r="C3" s="270"/>
      <c r="D3" s="271"/>
      <c r="G3" s="269" t="s">
        <v>267</v>
      </c>
      <c r="H3" s="270"/>
      <c r="I3" s="271"/>
      <c r="K3" s="269" t="s">
        <v>268</v>
      </c>
      <c r="L3" s="270"/>
      <c r="M3" s="271"/>
    </row>
    <row r="4" spans="2:13">
      <c r="B4" s="272">
        <v>45261</v>
      </c>
      <c r="C4" s="258"/>
      <c r="D4" s="273"/>
      <c r="G4" s="272">
        <v>45261</v>
      </c>
      <c r="H4" s="258"/>
      <c r="I4" s="273"/>
      <c r="K4" s="272">
        <v>45261</v>
      </c>
      <c r="L4" s="258"/>
      <c r="M4" s="273"/>
    </row>
    <row r="5" spans="2:13">
      <c r="B5" s="75" t="s">
        <v>269</v>
      </c>
      <c r="D5" s="76" t="s">
        <v>270</v>
      </c>
      <c r="G5" s="75"/>
      <c r="I5" s="76" t="s">
        <v>270</v>
      </c>
      <c r="K5" s="75"/>
      <c r="M5" s="76" t="s">
        <v>270</v>
      </c>
    </row>
    <row r="6" spans="2:13">
      <c r="B6" s="77" t="s">
        <v>271</v>
      </c>
      <c r="D6" s="76"/>
      <c r="G6" s="78" t="s">
        <v>272</v>
      </c>
      <c r="H6" s="79"/>
      <c r="I6" s="80">
        <v>442</v>
      </c>
      <c r="K6" s="77" t="s">
        <v>273</v>
      </c>
      <c r="M6" s="76"/>
    </row>
    <row r="7" spans="2:13">
      <c r="B7" s="77" t="s">
        <v>274</v>
      </c>
      <c r="D7" s="81">
        <v>20</v>
      </c>
      <c r="G7" s="77"/>
      <c r="I7" s="81"/>
      <c r="K7" s="77" t="s">
        <v>275</v>
      </c>
      <c r="M7" s="81">
        <f>I27</f>
        <v>23.270000000000024</v>
      </c>
    </row>
    <row r="8" spans="2:13">
      <c r="B8" s="77" t="s">
        <v>276</v>
      </c>
      <c r="D8" s="81">
        <v>5</v>
      </c>
      <c r="G8" s="78" t="s">
        <v>277</v>
      </c>
      <c r="H8" s="82"/>
      <c r="I8" s="83"/>
      <c r="K8" s="77" t="s">
        <v>278</v>
      </c>
      <c r="M8" s="81">
        <f>I16</f>
        <v>10</v>
      </c>
    </row>
    <row r="9" spans="2:13">
      <c r="B9" s="77" t="s">
        <v>279</v>
      </c>
      <c r="D9" s="81">
        <v>45</v>
      </c>
      <c r="G9" s="77" t="s">
        <v>280</v>
      </c>
      <c r="I9" s="84">
        <f>I6*0.7</f>
        <v>309.39999999999998</v>
      </c>
      <c r="K9" s="77" t="s">
        <v>281</v>
      </c>
      <c r="M9" s="81"/>
    </row>
    <row r="10" spans="2:13">
      <c r="B10" s="77" t="s">
        <v>282</v>
      </c>
      <c r="D10" s="85">
        <v>25</v>
      </c>
      <c r="G10" s="77" t="s">
        <v>283</v>
      </c>
      <c r="I10" s="81">
        <f>I6-I9</f>
        <v>132.60000000000002</v>
      </c>
      <c r="K10" s="77" t="s">
        <v>284</v>
      </c>
      <c r="M10" s="81"/>
    </row>
    <row r="11" spans="2:13">
      <c r="B11" s="77" t="s">
        <v>285</v>
      </c>
      <c r="D11" s="81">
        <f>SUM(D7:D10)</f>
        <v>95</v>
      </c>
      <c r="G11" s="75"/>
      <c r="I11" s="86"/>
      <c r="K11" s="77" t="s">
        <v>286</v>
      </c>
      <c r="M11" s="81">
        <v>-5</v>
      </c>
    </row>
    <row r="12" spans="2:13">
      <c r="B12" s="77" t="s">
        <v>287</v>
      </c>
      <c r="D12" s="81">
        <v>155</v>
      </c>
      <c r="G12" s="77" t="s">
        <v>288</v>
      </c>
      <c r="I12" s="81"/>
      <c r="K12" s="77" t="s">
        <v>289</v>
      </c>
      <c r="M12" s="81">
        <v>6</v>
      </c>
    </row>
    <row r="13" spans="2:13">
      <c r="B13" s="77" t="s">
        <v>290</v>
      </c>
      <c r="D13" s="85">
        <v>100</v>
      </c>
      <c r="G13" s="77" t="s">
        <v>291</v>
      </c>
      <c r="I13" s="81">
        <v>84</v>
      </c>
      <c r="K13" s="77" t="s">
        <v>292</v>
      </c>
      <c r="M13" s="81"/>
    </row>
    <row r="14" spans="2:13">
      <c r="B14" s="77" t="s">
        <v>293</v>
      </c>
      <c r="D14" s="81">
        <f>D12-D13</f>
        <v>55</v>
      </c>
      <c r="G14" s="75" t="s">
        <v>294</v>
      </c>
      <c r="H14" s="65"/>
      <c r="I14" s="81">
        <v>0.1</v>
      </c>
      <c r="K14" s="77" t="s">
        <v>295</v>
      </c>
      <c r="M14" s="81">
        <v>3</v>
      </c>
    </row>
    <row r="15" spans="2:13">
      <c r="B15" s="77" t="s">
        <v>296</v>
      </c>
      <c r="D15" s="81">
        <v>5</v>
      </c>
      <c r="G15" s="77" t="s">
        <v>297</v>
      </c>
      <c r="H15" s="65"/>
      <c r="I15" s="81">
        <v>0.6</v>
      </c>
      <c r="K15" s="77" t="s">
        <v>298</v>
      </c>
      <c r="M15" s="81">
        <v>1</v>
      </c>
    </row>
    <row r="16" spans="2:13">
      <c r="B16" s="78" t="s">
        <v>299</v>
      </c>
      <c r="C16" s="82"/>
      <c r="D16" s="83">
        <f>D14+D11+D15</f>
        <v>155</v>
      </c>
      <c r="G16" s="77" t="s">
        <v>300</v>
      </c>
      <c r="H16" s="65"/>
      <c r="I16" s="81">
        <v>10</v>
      </c>
      <c r="K16" s="77" t="s">
        <v>301</v>
      </c>
      <c r="M16" s="81">
        <v>-1</v>
      </c>
    </row>
    <row r="17" spans="2:13">
      <c r="B17" s="75" t="s">
        <v>302</v>
      </c>
      <c r="D17" s="76" t="s">
        <v>270</v>
      </c>
      <c r="G17" s="77" t="s">
        <v>303</v>
      </c>
      <c r="I17" s="87">
        <f>SUM(I13:I16)</f>
        <v>94.699999999999989</v>
      </c>
      <c r="K17" s="88" t="s">
        <v>304</v>
      </c>
      <c r="L17" s="89"/>
      <c r="M17" s="85">
        <f>SUM(M11:M16)</f>
        <v>4</v>
      </c>
    </row>
    <row r="18" spans="2:13">
      <c r="B18" s="77" t="s">
        <v>305</v>
      </c>
      <c r="D18" s="81"/>
      <c r="G18" s="77" t="s">
        <v>306</v>
      </c>
      <c r="I18" s="76">
        <f>I10-I17</f>
        <v>37.900000000000034</v>
      </c>
      <c r="K18" s="90" t="s">
        <v>307</v>
      </c>
      <c r="L18" s="91"/>
      <c r="M18" s="92">
        <f>M17+M8+M7</f>
        <v>37.270000000000024</v>
      </c>
    </row>
    <row r="19" spans="2:13">
      <c r="B19" s="77" t="s">
        <v>308</v>
      </c>
      <c r="D19" s="81">
        <v>40</v>
      </c>
      <c r="G19" s="77"/>
      <c r="I19" s="81"/>
      <c r="K19" s="93" t="s">
        <v>309</v>
      </c>
      <c r="L19" s="94"/>
      <c r="M19" s="95"/>
    </row>
    <row r="20" spans="2:13">
      <c r="B20" s="77" t="s">
        <v>310</v>
      </c>
      <c r="D20" s="81">
        <v>15</v>
      </c>
      <c r="G20" s="77" t="s">
        <v>311</v>
      </c>
      <c r="I20" s="81"/>
      <c r="K20" s="77" t="s">
        <v>312</v>
      </c>
      <c r="M20" s="81"/>
    </row>
    <row r="21" spans="2:13">
      <c r="B21" s="77" t="s">
        <v>313</v>
      </c>
      <c r="D21" s="85">
        <v>5</v>
      </c>
      <c r="G21" s="77" t="s">
        <v>314</v>
      </c>
      <c r="I21" s="96">
        <f>0.05*5</f>
        <v>0.25</v>
      </c>
      <c r="K21" s="77" t="s">
        <v>315</v>
      </c>
      <c r="M21" s="81">
        <v>-5</v>
      </c>
    </row>
    <row r="22" spans="2:13">
      <c r="B22" s="77" t="s">
        <v>316</v>
      </c>
      <c r="C22" s="65"/>
      <c r="D22" s="81">
        <f>SUM(D19:D21)</f>
        <v>60</v>
      </c>
      <c r="G22" s="77" t="s">
        <v>317</v>
      </c>
      <c r="I22" s="97">
        <f>0.08*D23</f>
        <v>2.4</v>
      </c>
      <c r="K22" s="77" t="s">
        <v>318</v>
      </c>
      <c r="M22" s="87">
        <v>10</v>
      </c>
    </row>
    <row r="23" spans="2:13">
      <c r="B23" s="77" t="s">
        <v>319</v>
      </c>
      <c r="C23" s="65"/>
      <c r="D23" s="85">
        <v>30</v>
      </c>
      <c r="G23" s="77" t="s">
        <v>320</v>
      </c>
      <c r="I23" s="98">
        <v>-2.1</v>
      </c>
      <c r="K23" s="77" t="s">
        <v>321</v>
      </c>
      <c r="M23" s="81">
        <f>SUM(M21:M22)</f>
        <v>5</v>
      </c>
    </row>
    <row r="24" spans="2:13">
      <c r="B24" s="77" t="s">
        <v>322</v>
      </c>
      <c r="D24" s="81">
        <f>SUM(D22:D23)</f>
        <v>90</v>
      </c>
      <c r="G24" s="77"/>
      <c r="H24" s="65"/>
      <c r="I24" s="81"/>
      <c r="K24" s="77" t="s">
        <v>323</v>
      </c>
      <c r="M24" s="81"/>
    </row>
    <row r="25" spans="2:13">
      <c r="B25" s="88" t="s">
        <v>324</v>
      </c>
      <c r="C25" s="89"/>
      <c r="D25" s="85">
        <f>155-90</f>
        <v>65</v>
      </c>
      <c r="G25" s="77" t="s">
        <v>325</v>
      </c>
      <c r="I25" s="99">
        <f>I10-I17+I23</f>
        <v>35.800000000000033</v>
      </c>
      <c r="K25" s="77" t="s">
        <v>326</v>
      </c>
      <c r="M25" s="81">
        <v>-3</v>
      </c>
    </row>
    <row r="26" spans="2:13">
      <c r="B26" s="90" t="s">
        <v>327</v>
      </c>
      <c r="C26" s="100"/>
      <c r="D26" s="101">
        <f>SUM(D24:D25)</f>
        <v>155</v>
      </c>
      <c r="G26" s="77" t="s">
        <v>328</v>
      </c>
      <c r="H26" s="65"/>
      <c r="I26" s="81">
        <f>0.35*I25</f>
        <v>12.53000000000001</v>
      </c>
      <c r="K26" s="77" t="s">
        <v>329</v>
      </c>
      <c r="M26" s="87">
        <v>2</v>
      </c>
    </row>
    <row r="27" spans="2:13">
      <c r="G27" s="78" t="s">
        <v>330</v>
      </c>
      <c r="H27" s="82"/>
      <c r="I27" s="102">
        <f>I25-I26</f>
        <v>23.270000000000024</v>
      </c>
      <c r="K27" s="88" t="s">
        <v>331</v>
      </c>
      <c r="L27" s="89"/>
      <c r="M27" s="85">
        <f>SUM(M25:M26)</f>
        <v>-1</v>
      </c>
    </row>
    <row r="28" spans="2:13">
      <c r="K28" s="78" t="s">
        <v>332</v>
      </c>
      <c r="L28" s="82"/>
      <c r="M28" s="103">
        <f>M27+M23</f>
        <v>4</v>
      </c>
    </row>
    <row r="29" spans="2:13">
      <c r="K29" s="77" t="s">
        <v>333</v>
      </c>
      <c r="M29" s="104"/>
    </row>
    <row r="30" spans="2:13">
      <c r="K30" s="77" t="s">
        <v>334</v>
      </c>
      <c r="M30" s="81">
        <v>-5</v>
      </c>
    </row>
    <row r="31" spans="2:13">
      <c r="K31" s="77" t="s">
        <v>335</v>
      </c>
      <c r="M31" s="81">
        <v>2</v>
      </c>
    </row>
    <row r="32" spans="2:13">
      <c r="K32" s="77" t="s">
        <v>336</v>
      </c>
      <c r="M32" s="81">
        <v>1</v>
      </c>
    </row>
    <row r="33" spans="11:13">
      <c r="K33" s="88" t="s">
        <v>337</v>
      </c>
      <c r="L33" s="89"/>
      <c r="M33" s="85">
        <v>-2.4</v>
      </c>
    </row>
    <row r="34" spans="11:13">
      <c r="K34" s="90" t="s">
        <v>338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339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5703125" style="129" customWidth="1"/>
    <col min="2" max="2" width="12.42578125" style="129" customWidth="1"/>
    <col min="3" max="3" width="11.85546875" style="129" customWidth="1"/>
    <col min="4" max="4" width="14.5703125" style="129" customWidth="1"/>
    <col min="5" max="5" width="23" style="129" customWidth="1"/>
    <col min="6" max="6" width="18" style="129" customWidth="1"/>
    <col min="7" max="7" width="11" style="129" customWidth="1"/>
    <col min="8" max="8" width="13.5703125" style="129" customWidth="1"/>
    <col min="9" max="9" width="3.42578125" style="129" customWidth="1"/>
    <col min="10" max="10" width="12.5703125" style="129" customWidth="1"/>
    <col min="11" max="11" width="12.140625" style="129" customWidth="1"/>
    <col min="12" max="12" width="12" style="129" customWidth="1"/>
    <col min="13" max="13" width="15.85546875" style="129" customWidth="1"/>
    <col min="14" max="14" width="2" style="129" customWidth="1"/>
    <col min="15" max="15" width="10.42578125" style="129" customWidth="1"/>
    <col min="16" max="16" width="9.5703125" style="129" customWidth="1"/>
    <col min="17" max="17" width="12.140625" style="129" customWidth="1"/>
    <col min="18" max="18" width="10.5703125" style="129" bestFit="1" customWidth="1"/>
    <col min="19" max="24" width="9.140625" style="129" customWidth="1"/>
    <col min="25" max="16384" width="9.140625" style="129"/>
  </cols>
  <sheetData>
    <row r="1" spans="2:22" ht="20.25" customHeight="1">
      <c r="B1" s="115" t="s">
        <v>340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74" t="s">
        <v>341</v>
      </c>
      <c r="D4" s="275"/>
      <c r="E4" s="275"/>
      <c r="F4" s="275"/>
      <c r="G4" s="275"/>
      <c r="H4" s="275"/>
      <c r="I4" s="128"/>
      <c r="J4" s="274" t="s">
        <v>342</v>
      </c>
      <c r="K4" s="275"/>
      <c r="L4" s="275"/>
      <c r="M4" s="115"/>
      <c r="N4" s="130"/>
      <c r="O4" s="130"/>
      <c r="P4" s="130"/>
    </row>
    <row r="5" spans="2:22" ht="20.25" customHeight="1">
      <c r="B5" s="115" t="s">
        <v>343</v>
      </c>
      <c r="C5" s="117" t="s">
        <v>344</v>
      </c>
      <c r="D5" s="117" t="s">
        <v>345</v>
      </c>
      <c r="E5" s="117" t="s">
        <v>346</v>
      </c>
      <c r="F5" s="117" t="s">
        <v>347</v>
      </c>
      <c r="G5" s="117" t="s">
        <v>348</v>
      </c>
      <c r="H5" s="117" t="s">
        <v>345</v>
      </c>
      <c r="I5" s="117"/>
      <c r="J5" s="117" t="s">
        <v>349</v>
      </c>
      <c r="K5" s="115" t="s">
        <v>350</v>
      </c>
      <c r="L5" s="117" t="s">
        <v>351</v>
      </c>
      <c r="M5" s="117" t="s">
        <v>352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353</v>
      </c>
      <c r="D12" s="117" t="s">
        <v>354</v>
      </c>
      <c r="E12" s="117" t="s">
        <v>355</v>
      </c>
      <c r="F12" s="117"/>
      <c r="I12" s="116"/>
      <c r="J12" s="118"/>
      <c r="K12" s="117" t="s">
        <v>356</v>
      </c>
      <c r="L12" s="116"/>
      <c r="M12" s="116"/>
      <c r="U12" s="130"/>
      <c r="V12" s="130"/>
    </row>
    <row r="13" spans="2:22" ht="20.25" customHeight="1">
      <c r="B13" s="115" t="s">
        <v>19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348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357</v>
      </c>
      <c r="D14" s="157" t="s">
        <v>351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358</v>
      </c>
      <c r="C15" s="120">
        <v>0.1</v>
      </c>
      <c r="D15" s="120">
        <v>0.14000000000000001</v>
      </c>
      <c r="E15" s="116"/>
      <c r="F15" s="116"/>
      <c r="I15" s="116"/>
      <c r="J15" s="135" t="s">
        <v>344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359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1" width="9.5703125" style="64" bestFit="1" customWidth="1"/>
    <col min="12" max="12" width="8.85546875" style="64" customWidth="1"/>
    <col min="13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76" t="s">
        <v>360</v>
      </c>
      <c r="B1" s="270"/>
      <c r="C1" s="270"/>
      <c r="D1" s="270"/>
      <c r="E1" s="270"/>
      <c r="F1" s="108"/>
      <c r="G1" s="108"/>
      <c r="H1" s="108"/>
      <c r="J1" s="277"/>
      <c r="K1" s="270"/>
      <c r="L1" s="270"/>
      <c r="M1" s="270"/>
      <c r="N1" s="27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275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361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277</v>
      </c>
      <c r="B7" s="65"/>
      <c r="C7" s="65"/>
      <c r="D7" s="65"/>
      <c r="E7" s="65"/>
      <c r="F7" s="65"/>
      <c r="J7" s="64" t="s">
        <v>364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280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283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366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367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369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303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344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306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370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371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253</v>
      </c>
    </row>
    <row r="16" spans="1:17">
      <c r="A16" s="64" t="s">
        <v>317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330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364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344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30">
      <c r="A19" s="64" t="s">
        <v>325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9" t="s">
        <v>372</v>
      </c>
    </row>
    <row r="20" spans="1:19">
      <c r="A20" s="64" t="s">
        <v>328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70" t="s">
        <v>330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359</v>
      </c>
      <c r="K21" s="64">
        <v>0.18</v>
      </c>
    </row>
    <row r="22" spans="1:19">
      <c r="G22" s="73"/>
      <c r="J22" s="64" t="s">
        <v>374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349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375</v>
      </c>
      <c r="K24" s="64">
        <f>30-20</f>
        <v>10</v>
      </c>
      <c r="N24" s="70"/>
    </row>
    <row r="25" spans="1:19">
      <c r="H25" s="110"/>
      <c r="J25" s="64" t="s">
        <v>376</v>
      </c>
      <c r="K25" s="66">
        <f>K23-K24</f>
        <v>607.50035360888171</v>
      </c>
    </row>
    <row r="26" spans="1:19">
      <c r="J26" s="64" t="s">
        <v>377</v>
      </c>
      <c r="K26" s="64">
        <v>50</v>
      </c>
      <c r="N26" s="70"/>
    </row>
    <row r="27" spans="1:19">
      <c r="J27" s="64" t="s">
        <v>378</v>
      </c>
      <c r="K27" s="71">
        <f>K25/K26</f>
        <v>12.150007072177635</v>
      </c>
    </row>
    <row r="28" spans="1:19">
      <c r="J28" s="64" t="s">
        <v>379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40625" defaultRowHeight="15"/>
  <cols>
    <col min="1" max="1" width="30.42578125" style="64" bestFit="1" customWidth="1"/>
    <col min="2" max="4" width="9.140625" style="64" customWidth="1"/>
    <col min="5" max="5" width="9.5703125" style="64" bestFit="1" customWidth="1"/>
    <col min="6" max="8" width="9.5703125" style="64" customWidth="1"/>
    <col min="9" max="9" width="9.140625" style="64" customWidth="1"/>
    <col min="10" max="10" width="28.140625" style="64" bestFit="1" customWidth="1"/>
    <col min="11" max="13" width="9.5703125" style="64" bestFit="1" customWidth="1"/>
    <col min="14" max="14" width="9.85546875" style="64" bestFit="1" customWidth="1"/>
    <col min="15" max="17" width="9.5703125" style="64" bestFit="1" customWidth="1"/>
    <col min="18" max="23" width="9.140625" style="64" customWidth="1"/>
    <col min="24" max="16384" width="9.140625" style="64"/>
  </cols>
  <sheetData>
    <row r="1" spans="1:17">
      <c r="A1" s="276" t="s">
        <v>360</v>
      </c>
      <c r="B1" s="270"/>
      <c r="C1" s="270"/>
      <c r="D1" s="270"/>
      <c r="E1" s="270"/>
      <c r="F1" s="108"/>
      <c r="G1" s="108"/>
      <c r="H1" s="108"/>
      <c r="J1" s="277"/>
      <c r="K1" s="270"/>
      <c r="L1" s="270"/>
      <c r="M1" s="270"/>
      <c r="N1" s="27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272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275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380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362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381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363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382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364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365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277</v>
      </c>
      <c r="B9" s="113"/>
      <c r="C9" s="65"/>
      <c r="D9" s="65"/>
      <c r="E9" s="65"/>
      <c r="F9" s="65"/>
      <c r="J9" s="64" t="s">
        <v>366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280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368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283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369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367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344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253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303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370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306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371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253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330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317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364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372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373</v>
      </c>
    </row>
    <row r="21" spans="1:19">
      <c r="A21" s="64" t="s">
        <v>325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359</v>
      </c>
      <c r="K21" s="64">
        <v>0.18</v>
      </c>
    </row>
    <row r="22" spans="1:19">
      <c r="A22" s="64" t="s">
        <v>328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374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330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383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375</v>
      </c>
      <c r="K24" s="64">
        <f>30-20</f>
        <v>10</v>
      </c>
      <c r="N24" s="70"/>
    </row>
    <row r="25" spans="1:19">
      <c r="H25" s="73"/>
      <c r="J25" s="64" t="s">
        <v>376</v>
      </c>
      <c r="K25" s="66">
        <f>K23-K24</f>
        <v>670.33731375149682</v>
      </c>
    </row>
    <row r="26" spans="1:19">
      <c r="G26" s="110"/>
      <c r="J26" s="64" t="s">
        <v>377</v>
      </c>
      <c r="K26" s="64">
        <v>50</v>
      </c>
      <c r="N26" s="70"/>
    </row>
    <row r="27" spans="1:19">
      <c r="H27" s="110"/>
      <c r="J27" s="64" t="s">
        <v>378</v>
      </c>
      <c r="K27" s="71">
        <f>K25/K26</f>
        <v>13.406746275029937</v>
      </c>
    </row>
    <row r="28" spans="1:19">
      <c r="J28" s="64" t="s">
        <v>379</v>
      </c>
      <c r="K28" s="64">
        <v>12.15</v>
      </c>
    </row>
    <row r="29" spans="1:19">
      <c r="J29" s="112" t="s">
        <v>100</v>
      </c>
      <c r="K29" s="114">
        <f>K27/K28-1</f>
        <v>0.10343590740987141</v>
      </c>
      <c r="L29" s="64" t="s">
        <v>598</v>
      </c>
    </row>
    <row r="31" spans="1:19">
      <c r="J31" s="68" t="s">
        <v>599</v>
      </c>
      <c r="K31" s="64">
        <v>0.19</v>
      </c>
    </row>
    <row r="32" spans="1:19">
      <c r="J32" s="64" t="s">
        <v>601</v>
      </c>
      <c r="R32" s="71"/>
      <c r="S32" s="71"/>
    </row>
    <row r="33" spans="10:18">
      <c r="J33" s="64" t="s">
        <v>600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602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40625" defaultRowHeight="15"/>
  <cols>
    <col min="1" max="1" width="8.5703125" style="64" customWidth="1"/>
    <col min="2" max="2" width="9.140625" style="142" customWidth="1"/>
    <col min="3" max="3" width="22.42578125" style="65" customWidth="1"/>
    <col min="4" max="4" width="32.42578125" style="64" customWidth="1"/>
    <col min="5" max="5" width="10.85546875" style="64" customWidth="1"/>
    <col min="6" max="6" width="9.5703125" style="64" bestFit="1" customWidth="1"/>
    <col min="7" max="9" width="9.140625" style="64" customWidth="1"/>
    <col min="10" max="10" width="10.140625" style="64" bestFit="1" customWidth="1"/>
    <col min="11" max="16" width="9.140625" style="64" customWidth="1"/>
    <col min="17" max="16384" width="9.140625" style="64"/>
  </cols>
  <sheetData>
    <row r="1" spans="2:6">
      <c r="B1" s="143"/>
      <c r="C1" s="138"/>
      <c r="D1" s="89"/>
      <c r="E1" s="89"/>
      <c r="F1" s="89"/>
    </row>
    <row r="2" spans="2:6">
      <c r="E2" s="278" t="s">
        <v>384</v>
      </c>
      <c r="F2" s="270"/>
    </row>
    <row r="3" spans="2:6">
      <c r="B3" s="143" t="s">
        <v>385</v>
      </c>
      <c r="C3" s="138"/>
      <c r="D3" s="89"/>
      <c r="E3" s="139" t="s">
        <v>8</v>
      </c>
      <c r="F3" s="139" t="s">
        <v>9</v>
      </c>
    </row>
    <row r="4" spans="2:6">
      <c r="C4" s="279"/>
      <c r="D4" s="267"/>
      <c r="E4" s="267"/>
      <c r="F4" s="267"/>
    </row>
    <row r="5" spans="2:6">
      <c r="B5" s="144">
        <v>1</v>
      </c>
      <c r="C5" s="65" t="s">
        <v>386</v>
      </c>
      <c r="D5" s="64" t="s">
        <v>269</v>
      </c>
      <c r="E5" s="64">
        <v>200</v>
      </c>
      <c r="F5" s="64">
        <v>200</v>
      </c>
    </row>
    <row r="6" spans="2:6">
      <c r="B6" s="144">
        <f>B5+1</f>
        <v>2</v>
      </c>
      <c r="C6" s="65" t="s">
        <v>266</v>
      </c>
      <c r="D6" s="64" t="s">
        <v>387</v>
      </c>
      <c r="E6" s="64">
        <v>20</v>
      </c>
      <c r="F6" s="64">
        <v>20</v>
      </c>
    </row>
    <row r="7" spans="2:6">
      <c r="B7" s="144">
        <f>B6+1</f>
        <v>3</v>
      </c>
      <c r="D7" s="140" t="s">
        <v>350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388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389</v>
      </c>
      <c r="D10" s="64" t="s">
        <v>390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391</v>
      </c>
      <c r="D11" s="64" t="s">
        <v>392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306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366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368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393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330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394</v>
      </c>
      <c r="D18" s="64" t="s">
        <v>330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395</v>
      </c>
      <c r="D19" s="64" t="s">
        <v>396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521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397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522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398</v>
      </c>
      <c r="D24" s="64" t="s">
        <v>344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399</v>
      </c>
      <c r="D25" s="64" t="s">
        <v>400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401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348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402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403</v>
      </c>
      <c r="D30" s="64" t="s">
        <v>404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405</v>
      </c>
      <c r="D31" s="64" t="s">
        <v>406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407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408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409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410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411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412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373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413</v>
      </c>
      <c r="D40" s="64" t="s">
        <v>414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415</v>
      </c>
      <c r="D41" s="64" t="s">
        <v>416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417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418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5703125" bestFit="1" customWidth="1"/>
    <col min="9" max="9" width="13.42578125" bestFit="1" customWidth="1"/>
    <col min="11" max="11" width="27" bestFit="1" customWidth="1"/>
    <col min="12" max="12" width="12" bestFit="1" customWidth="1"/>
    <col min="13" max="15" width="11.5703125" bestFit="1" customWidth="1"/>
    <col min="18" max="18" width="12.5703125" bestFit="1" customWidth="1"/>
    <col min="19" max="19" width="14.5703125" bestFit="1" customWidth="1"/>
    <col min="22" max="23" width="12.5703125" bestFit="1" customWidth="1"/>
  </cols>
  <sheetData>
    <row r="1" spans="1:15">
      <c r="A1" t="s">
        <v>98</v>
      </c>
    </row>
    <row r="2" spans="1:15">
      <c r="A2">
        <v>5.0000000000000001E-3</v>
      </c>
      <c r="C2" t="s">
        <v>262</v>
      </c>
      <c r="E2" s="253" t="s">
        <v>94</v>
      </c>
      <c r="F2" s="254"/>
      <c r="G2" s="254"/>
      <c r="H2" s="254"/>
      <c r="I2" s="254"/>
    </row>
    <row r="3" spans="1:15">
      <c r="A3" t="s">
        <v>244</v>
      </c>
      <c r="B3" t="s">
        <v>419</v>
      </c>
      <c r="C3" t="s">
        <v>420</v>
      </c>
      <c r="E3" t="s">
        <v>419</v>
      </c>
      <c r="F3" t="s">
        <v>420</v>
      </c>
      <c r="G3" t="s">
        <v>420</v>
      </c>
      <c r="H3" t="s">
        <v>420</v>
      </c>
      <c r="I3" t="s">
        <v>420</v>
      </c>
    </row>
    <row r="4" spans="1:15">
      <c r="F4" t="s">
        <v>421</v>
      </c>
      <c r="G4" t="s">
        <v>422</v>
      </c>
      <c r="H4" t="s">
        <v>423</v>
      </c>
      <c r="I4" t="s">
        <v>424</v>
      </c>
      <c r="L4" t="s">
        <v>224</v>
      </c>
    </row>
    <row r="5" spans="1:15">
      <c r="A5" t="s">
        <v>425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426</v>
      </c>
      <c r="M5" t="s">
        <v>427</v>
      </c>
      <c r="N5" t="s">
        <v>428</v>
      </c>
      <c r="O5" t="s">
        <v>429</v>
      </c>
    </row>
    <row r="6" spans="1:15">
      <c r="A6" t="s">
        <v>430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431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432</v>
      </c>
      <c r="L7">
        <v>1</v>
      </c>
      <c r="M7">
        <v>1.2</v>
      </c>
      <c r="N7">
        <v>1.6</v>
      </c>
      <c r="O7">
        <v>2</v>
      </c>
    </row>
    <row r="8" spans="1:15">
      <c r="A8" t="s">
        <v>433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434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435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436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437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438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439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440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441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442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443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444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445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446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447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448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449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450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451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452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453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454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455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456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457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458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459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460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461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462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463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464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465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466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253" t="s">
        <v>191</v>
      </c>
      <c r="C1" s="254"/>
      <c r="D1" s="254"/>
      <c r="E1" s="254"/>
      <c r="F1" s="254"/>
    </row>
    <row r="2" spans="1:9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473</v>
      </c>
      <c r="G9" t="s">
        <v>474</v>
      </c>
      <c r="H9" t="s">
        <v>475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42578125" customWidth="1"/>
  </cols>
  <sheetData>
    <row r="1" spans="1:10">
      <c r="B1" s="253" t="s">
        <v>191</v>
      </c>
      <c r="C1" s="254"/>
      <c r="D1" s="254"/>
      <c r="E1" s="254"/>
      <c r="F1" s="254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473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42578125" customWidth="1"/>
  </cols>
  <sheetData>
    <row r="1" spans="1:10">
      <c r="B1" s="253" t="s">
        <v>191</v>
      </c>
      <c r="C1" s="254"/>
      <c r="D1" s="254"/>
      <c r="E1" s="254"/>
      <c r="F1" s="254"/>
    </row>
    <row r="2" spans="1:10">
      <c r="B2" s="4" t="s">
        <v>8</v>
      </c>
      <c r="C2" s="4" t="s">
        <v>9</v>
      </c>
      <c r="D2" s="4" t="s">
        <v>10</v>
      </c>
      <c r="E2" s="4" t="s">
        <v>467</v>
      </c>
      <c r="F2" s="4" t="s">
        <v>468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467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468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467</v>
      </c>
      <c r="E10" t="s">
        <v>468</v>
      </c>
      <c r="F10" t="s">
        <v>174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473</v>
      </c>
      <c r="B13" t="s">
        <v>8</v>
      </c>
      <c r="C13" t="s">
        <v>10</v>
      </c>
      <c r="D13" t="s">
        <v>467</v>
      </c>
      <c r="E13" t="s">
        <v>468</v>
      </c>
      <c r="F13" t="s">
        <v>174</v>
      </c>
      <c r="G13" t="s">
        <v>474</v>
      </c>
      <c r="H13" t="s">
        <v>475</v>
      </c>
      <c r="I13" t="s">
        <v>476</v>
      </c>
      <c r="J13" t="s">
        <v>477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478</v>
      </c>
      <c r="B16" t="s">
        <v>8</v>
      </c>
      <c r="C16" t="s">
        <v>10</v>
      </c>
      <c r="D16" t="s">
        <v>467</v>
      </c>
      <c r="E16" t="s">
        <v>468</v>
      </c>
      <c r="F16" t="s">
        <v>174</v>
      </c>
    </row>
    <row r="17" spans="1:6">
      <c r="A17" t="s">
        <v>206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479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570312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256" t="s">
        <v>226</v>
      </c>
      <c r="C1" s="254"/>
      <c r="D1" s="254"/>
    </row>
    <row r="2" spans="1:12">
      <c r="B2" s="1" t="s">
        <v>227</v>
      </c>
      <c r="C2" s="1" t="s">
        <v>228</v>
      </c>
      <c r="D2" s="1" t="s">
        <v>229</v>
      </c>
      <c r="E2" s="1" t="s">
        <v>480</v>
      </c>
      <c r="F2" s="1" t="s">
        <v>481</v>
      </c>
      <c r="G2" s="1" t="s">
        <v>482</v>
      </c>
      <c r="H2" s="1" t="s">
        <v>483</v>
      </c>
      <c r="I2" s="1" t="s">
        <v>484</v>
      </c>
      <c r="J2" s="1" t="s">
        <v>485</v>
      </c>
      <c r="K2" s="1" t="s">
        <v>486</v>
      </c>
      <c r="L2" s="1" t="s">
        <v>193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56" t="s">
        <v>191</v>
      </c>
      <c r="C5" s="254"/>
      <c r="D5" s="254"/>
    </row>
    <row r="7" spans="1:12">
      <c r="B7" s="1" t="s">
        <v>227</v>
      </c>
      <c r="C7" s="1" t="s">
        <v>228</v>
      </c>
      <c r="D7" s="1" t="s">
        <v>229</v>
      </c>
      <c r="E7" s="1" t="s">
        <v>480</v>
      </c>
      <c r="F7" s="1" t="s">
        <v>481</v>
      </c>
      <c r="G7" s="1" t="s">
        <v>482</v>
      </c>
      <c r="H7" s="1" t="s">
        <v>483</v>
      </c>
      <c r="I7" s="1" t="s">
        <v>484</v>
      </c>
      <c r="J7" s="1" t="s">
        <v>485</v>
      </c>
      <c r="K7" s="1" t="s">
        <v>486</v>
      </c>
    </row>
    <row r="8" spans="1:12">
      <c r="A8" s="1" t="s">
        <v>227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228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229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480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481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482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483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484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485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486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56" t="s">
        <v>232</v>
      </c>
      <c r="C19" s="254"/>
      <c r="D19" s="254"/>
    </row>
    <row r="20" spans="1:12">
      <c r="B20" s="1" t="s">
        <v>227</v>
      </c>
      <c r="C20" s="1" t="s">
        <v>228</v>
      </c>
      <c r="D20" s="1" t="s">
        <v>229</v>
      </c>
      <c r="E20" s="1" t="s">
        <v>480</v>
      </c>
      <c r="F20" s="1" t="s">
        <v>481</v>
      </c>
      <c r="G20" s="1" t="s">
        <v>482</v>
      </c>
      <c r="H20" s="1" t="s">
        <v>483</v>
      </c>
      <c r="I20" s="1" t="s">
        <v>484</v>
      </c>
      <c r="J20" s="1" t="s">
        <v>485</v>
      </c>
      <c r="K20" s="1" t="s">
        <v>486</v>
      </c>
    </row>
    <row r="21" spans="1:12">
      <c r="A21" s="1" t="s">
        <v>487</v>
      </c>
      <c r="B21" s="162">
        <v>0.12</v>
      </c>
      <c r="C21" s="162">
        <v>0.08</v>
      </c>
      <c r="D21" s="162">
        <v>0.16</v>
      </c>
      <c r="E21" s="162">
        <v>7.0000000000000007E-2</v>
      </c>
      <c r="F21" s="162">
        <v>0.08</v>
      </c>
      <c r="G21" s="162">
        <v>0.11</v>
      </c>
      <c r="H21" s="162">
        <v>0.09</v>
      </c>
      <c r="I21" s="162">
        <v>0.08</v>
      </c>
      <c r="J21" s="162">
        <v>0.11</v>
      </c>
      <c r="K21" s="162">
        <f>1-SUM(B21:J21)</f>
        <v>0.10000000000000009</v>
      </c>
    </row>
    <row r="22" spans="1:12">
      <c r="A22" s="1" t="s">
        <v>488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489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206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490</v>
      </c>
      <c r="C26" s="1" t="s">
        <v>225</v>
      </c>
      <c r="D26" s="1" t="s">
        <v>37</v>
      </c>
      <c r="E26" s="1" t="s">
        <v>100</v>
      </c>
      <c r="F26" s="1"/>
      <c r="G26" s="1"/>
      <c r="H26" s="1"/>
      <c r="I26" s="1"/>
      <c r="J26" s="1"/>
    </row>
    <row r="27" spans="1:12">
      <c r="A27" s="1" t="s">
        <v>227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228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229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480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481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482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483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484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485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486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491</v>
      </c>
      <c r="C38" t="s">
        <v>225</v>
      </c>
      <c r="D38" t="s">
        <v>37</v>
      </c>
      <c r="E38" t="s">
        <v>100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206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492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493</v>
      </c>
      <c r="B43">
        <f>SQRT(B40)</f>
        <v>5.0000999960443923E-2</v>
      </c>
    </row>
    <row r="44" spans="1:19">
      <c r="A44" s="1" t="s">
        <v>100</v>
      </c>
      <c r="B44">
        <f>E40</f>
        <v>3.1611561870672031E-2</v>
      </c>
    </row>
    <row r="45" spans="1:19">
      <c r="A45" s="1" t="s">
        <v>494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5703125" bestFit="1" customWidth="1"/>
    <col min="8" max="8" width="15.85546875" bestFit="1" customWidth="1"/>
  </cols>
  <sheetData>
    <row r="1" spans="1:12">
      <c r="B1" s="256" t="s">
        <v>226</v>
      </c>
      <c r="C1" s="254"/>
      <c r="D1" s="254"/>
    </row>
    <row r="2" spans="1:12">
      <c r="B2" s="1" t="s">
        <v>227</v>
      </c>
      <c r="C2" s="1" t="s">
        <v>228</v>
      </c>
      <c r="D2" s="1" t="s">
        <v>495</v>
      </c>
      <c r="E2" s="1" t="s">
        <v>98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56" t="s">
        <v>191</v>
      </c>
      <c r="C5" s="254"/>
      <c r="D5" s="254"/>
    </row>
    <row r="7" spans="1:12">
      <c r="B7" s="1" t="s">
        <v>227</v>
      </c>
      <c r="C7" s="1" t="s">
        <v>228</v>
      </c>
      <c r="D7" s="1" t="s">
        <v>495</v>
      </c>
    </row>
    <row r="8" spans="1:12">
      <c r="A8" s="1" t="s">
        <v>227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228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495</v>
      </c>
      <c r="B10">
        <v>7.8192000000000018E-3</v>
      </c>
      <c r="C10">
        <v>1.371E-2</v>
      </c>
      <c r="D10">
        <v>1.6866720000000002E-2</v>
      </c>
    </row>
    <row r="13" spans="1:12">
      <c r="B13" s="253" t="s">
        <v>232</v>
      </c>
      <c r="C13" s="254"/>
      <c r="D13" s="254"/>
    </row>
    <row r="14" spans="1:12">
      <c r="B14" s="1" t="s">
        <v>227</v>
      </c>
      <c r="C14" s="1" t="s">
        <v>228</v>
      </c>
      <c r="D14" s="1" t="s">
        <v>495</v>
      </c>
      <c r="I14" s="1">
        <v>-0.25</v>
      </c>
      <c r="J14" s="1"/>
      <c r="K14" s="1"/>
      <c r="L14" s="1"/>
    </row>
    <row r="15" spans="1:12">
      <c r="A15" s="1" t="s">
        <v>230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487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496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497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498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499</v>
      </c>
      <c r="B21" t="s">
        <v>490</v>
      </c>
      <c r="C21" t="s">
        <v>225</v>
      </c>
      <c r="D21" t="s">
        <v>37</v>
      </c>
      <c r="E21" t="s">
        <v>100</v>
      </c>
      <c r="F21" t="s">
        <v>500</v>
      </c>
    </row>
    <row r="22" spans="1:9">
      <c r="A22" s="1" t="s">
        <v>227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228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206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493</v>
      </c>
      <c r="B28">
        <f>SQRT(SUMPRODUCT(MMULT(B17:D17,B8:D10),B17:D17))</f>
        <v>4.999997371290596E-2</v>
      </c>
    </row>
    <row r="29" spans="1:9">
      <c r="A29" s="1" t="s">
        <v>100</v>
      </c>
      <c r="B29">
        <f>SUMPRODUCT(B17:D17,B3:D3)</f>
        <v>6.7571003603079105E-3</v>
      </c>
    </row>
    <row r="30" spans="1:9">
      <c r="A30" s="1" t="s">
        <v>494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506</v>
      </c>
      <c r="C3">
        <v>30</v>
      </c>
    </row>
    <row r="4" spans="1:3">
      <c r="A4" s="47" t="s">
        <v>223</v>
      </c>
      <c r="B4" t="s">
        <v>507</v>
      </c>
      <c r="C4">
        <v>0.5</v>
      </c>
    </row>
    <row r="5" spans="1:3">
      <c r="A5" t="s">
        <v>85</v>
      </c>
      <c r="B5" t="s">
        <v>508</v>
      </c>
      <c r="C5">
        <v>40</v>
      </c>
    </row>
    <row r="6" spans="1:3">
      <c r="A6" t="s">
        <v>509</v>
      </c>
      <c r="B6" t="s">
        <v>510</v>
      </c>
      <c r="C6">
        <v>0.5</v>
      </c>
    </row>
    <row r="7" spans="1:3">
      <c r="A7" t="s">
        <v>193</v>
      </c>
      <c r="B7" t="s">
        <v>511</v>
      </c>
      <c r="C7">
        <v>0.01</v>
      </c>
    </row>
    <row r="8" spans="1:3">
      <c r="A8" t="s">
        <v>512</v>
      </c>
      <c r="B8" t="s">
        <v>513</v>
      </c>
      <c r="C8">
        <v>69.342915559511255</v>
      </c>
    </row>
    <row r="9" spans="1:3">
      <c r="A9" t="s">
        <v>514</v>
      </c>
      <c r="B9" t="s">
        <v>515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516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4-VW</vt:lpstr>
      <vt:lpstr>4-EW</vt:lpstr>
      <vt:lpstr>4-Direct_Indirect</vt:lpstr>
      <vt:lpstr>4-Zero_Cost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2025-08-19T03:02:53Z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