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8A64C11D-673C-42DB-93BE-27611B0CEC0F}" xr6:coauthVersionLast="47" xr6:coauthVersionMax="47" xr10:uidLastSave="{00000000-0000-0000-0000-000000000000}"/>
  <bookViews>
    <workbookView xWindow="57480" yWindow="14325" windowWidth="29040" windowHeight="15720" tabRatio="799" firstSheet="39" activeTab="49" xr2:uid="{00000000-000D-0000-FFFF-FFFF00000000}"/>
  </bookViews>
  <sheets>
    <sheet name="4-VW" sheetId="2" r:id="rId1"/>
    <sheet name="4-EW" sheetId="1" r:id="rId2"/>
    <sheet name="4-Direct_Indirect" sheetId="51" r:id="rId3"/>
    <sheet name="4-Zero_Cost" sheetId="68" r:id="rId4"/>
    <sheet name="5-Variance" sheetId="3" r:id="rId5"/>
    <sheet name="5-Variance Estimate" sheetId="4" r:id="rId6"/>
    <sheet name="5-Harley-Zion" sheetId="5" r:id="rId7"/>
    <sheet name="5-Geometric_Mean" sheetId="50" r:id="rId8"/>
    <sheet name="7-Cov1" sheetId="6" r:id="rId9"/>
    <sheet name="7-Var" sheetId="7" r:id="rId10"/>
    <sheet name="7-Var and Corr" sheetId="54" r:id="rId11"/>
    <sheet name="7-Beta_and_Var" sheetId="69" r:id="rId12"/>
    <sheet name="7-alpha beta 1" sheetId="53" r:id="rId13"/>
    <sheet name="7-alpha beta 2" sheetId="52" r:id="rId14"/>
    <sheet name="7-Google and Tech" sheetId="11" r:id="rId15"/>
    <sheet name="7-Google Tech and Oil" sheetId="13" r:id="rId16"/>
    <sheet name="9-Lakers" sheetId="70" r:id="rId17"/>
    <sheet name="9-alpha beta" sheetId="8" r:id="rId18"/>
    <sheet name="9-Lakers2" sheetId="71" r:id="rId19"/>
    <sheet name="8-Var1" sheetId="14" r:id="rId20"/>
    <sheet name="8-Efficient Frontier" sheetId="15" r:id="rId21"/>
    <sheet name="8-active portfolio" sheetId="16" r:id="rId22"/>
    <sheet name="8-alpha" sheetId="17" r:id="rId23"/>
    <sheet name="8-Rate of Change" sheetId="19" r:id="rId24"/>
    <sheet name="9-Systematic_Risk" sheetId="22" r:id="rId25"/>
    <sheet name="8-Var2" sheetId="18" r:id="rId26"/>
    <sheet name="9-Alpha" sheetId="23" r:id="rId27"/>
    <sheet name="9-max corr" sheetId="55" r:id="rId28"/>
    <sheet name="10-Out of Sample" sheetId="25" r:id="rId29"/>
    <sheet name="10-Tangent Indirect" sheetId="56" r:id="rId30"/>
    <sheet name="10-LoBeta" sheetId="61" r:id="rId31"/>
    <sheet name="10-Estimating Alpha" sheetId="62" r:id="rId32"/>
    <sheet name="10-Tweights5" sheetId="63" r:id="rId33"/>
    <sheet name="10-FF5" sheetId="60" r:id="rId34"/>
    <sheet name="12-PE_Metrics" sheetId="64" r:id="rId35"/>
    <sheet name="13-butterfly" sheetId="48" r:id="rId36"/>
    <sheet name="FI_IRR" sheetId="72" r:id="rId37"/>
    <sheet name="FI_coupon1" sheetId="78" r:id="rId38"/>
    <sheet name="FI_parbonds" sheetId="74" r:id="rId39"/>
    <sheet name="FI_duration" sheetId="75" r:id="rId40"/>
    <sheet name="FI_Convexity" sheetId="76" r:id="rId41"/>
    <sheet name="FI_real yields" sheetId="77" r:id="rId42"/>
    <sheet name="IR-IR" sheetId="79" r:id="rId43"/>
    <sheet name="14-IR0" sheetId="80" r:id="rId44"/>
    <sheet name="14-IR1" sheetId="66" r:id="rId45"/>
    <sheet name="IR-2" sheetId="81" r:id="rId46"/>
    <sheet name="IR-3" sheetId="82" r:id="rId47"/>
    <sheet name="PA-1" sheetId="83" r:id="rId48"/>
    <sheet name="PA-2" sheetId="86" r:id="rId49"/>
    <sheet name="PA-3" sheetId="87" r:id="rId50"/>
    <sheet name="IR-measuring active risk" sheetId="42" r:id="rId51"/>
    <sheet name="15-Accounting" sheetId="36" r:id="rId52"/>
    <sheet name="15-FCFF vs FCFE" sheetId="37" r:id="rId53"/>
    <sheet name="15-Consensus Model" sheetId="38" r:id="rId54"/>
    <sheet name="15-Thesis Model" sheetId="39" r:id="rId55"/>
    <sheet name="15-Summary" sheetId="40" r:id="rId56"/>
    <sheet name="14-alpha and leverage" sheetId="41" r:id="rId57"/>
    <sheet name="14-scaling h and active risk" sheetId="43" r:id="rId58"/>
    <sheet name="14-scaling h and IR" sheetId="44" r:id="rId59"/>
    <sheet name="14-Maximizing IR1" sheetId="45" r:id="rId60"/>
    <sheet name="14-Maximizing IR" sheetId="46" r:id="rId61"/>
    <sheet name="14-Maximizing IR with ETF" sheetId="47" r:id="rId62"/>
    <sheet name="16-Debt Value" sheetId="49" r:id="rId63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1" hidden="1">'10-Estimating Alpha'!$I$15:$J$15</definedName>
    <definedName name="solver_adj" localSheetId="28" hidden="1">'10-Out of Sample'!$E$13</definedName>
    <definedName name="solver_adj" localSheetId="32" hidden="1">'10-Tweights5'!$K$15:$N$15</definedName>
    <definedName name="solver_adj" localSheetId="44" hidden="1">'14-IR1'!$B$14</definedName>
    <definedName name="solver_adj" localSheetId="60" hidden="1">'14-Maximizing IR'!$B$22:$J$22</definedName>
    <definedName name="solver_adj" localSheetId="59" hidden="1">'14-Maximizing IR1'!$B$14:$E$14</definedName>
    <definedName name="solver_adj" localSheetId="53" hidden="1">'15-Consensus Model'!$S$22</definedName>
    <definedName name="solver_adj" localSheetId="54" hidden="1">'15-Thesis Model'!$S$22</definedName>
    <definedName name="solver_adj" localSheetId="62" hidden="1">'16-Debt Value'!$C$8</definedName>
    <definedName name="solver_adj" localSheetId="9" hidden="1">'7-Var'!$C$37:$C$62</definedName>
    <definedName name="solver_adj" localSheetId="21" hidden="1">'8-active portfolio'!$C$13:$E$13</definedName>
    <definedName name="solver_adj" localSheetId="22" hidden="1">'8-alpha'!$K$42:$L$42</definedName>
    <definedName name="solver_adj" localSheetId="20" hidden="1">'8-Efficient Frontier'!$B$27:$C$36</definedName>
    <definedName name="solver_adj" localSheetId="25" hidden="1">'8-Var2'!$B$16:$C$16</definedName>
    <definedName name="solver_adj" localSheetId="27" hidden="1">'9-max corr'!$B$27</definedName>
    <definedName name="solver_adj" localSheetId="40" hidden="1">FI_Convexity!$G$29:$G$30</definedName>
    <definedName name="solver_adj" localSheetId="45" hidden="1">'IR-2'!$B$22:$K$22</definedName>
    <definedName name="solver_adj" localSheetId="46" hidden="1">'IR-3'!$B$22:$K$22</definedName>
    <definedName name="solver_cvg" localSheetId="31" hidden="1">0.0001</definedName>
    <definedName name="solver_cvg" localSheetId="28" hidden="1">0.0001</definedName>
    <definedName name="solver_cvg" localSheetId="32" hidden="1">0.0001</definedName>
    <definedName name="solver_cvg" localSheetId="44" hidden="1">0.0001</definedName>
    <definedName name="solver_cvg" localSheetId="60" hidden="1">0.0001</definedName>
    <definedName name="solver_cvg" localSheetId="59" hidden="1">0.0001</definedName>
    <definedName name="solver_cvg" localSheetId="53" hidden="1">0.0001</definedName>
    <definedName name="solver_cvg" localSheetId="54" hidden="1">0.0001</definedName>
    <definedName name="solver_cvg" localSheetId="62" hidden="1">0.0001</definedName>
    <definedName name="solver_cvg" localSheetId="9" hidden="1">0.0001</definedName>
    <definedName name="solver_cvg" localSheetId="21" hidden="1">0.0001</definedName>
    <definedName name="solver_cvg" localSheetId="22" hidden="1">0.0001</definedName>
    <definedName name="solver_cvg" localSheetId="20" hidden="1">0.0001</definedName>
    <definedName name="solver_cvg" localSheetId="25" hidden="1">0.0001</definedName>
    <definedName name="solver_cvg" localSheetId="27" hidden="1">0.0001</definedName>
    <definedName name="solver_cvg" localSheetId="40" hidden="1">0.0001</definedName>
    <definedName name="solver_cvg" localSheetId="45" hidden="1">0.000001</definedName>
    <definedName name="solver_cvg" localSheetId="46" hidden="1">0.0001</definedName>
    <definedName name="solver_drv" localSheetId="31" hidden="1">1</definedName>
    <definedName name="solver_drv" localSheetId="28" hidden="1">1</definedName>
    <definedName name="solver_drv" localSheetId="32" hidden="1">1</definedName>
    <definedName name="solver_drv" localSheetId="44" hidden="1">1</definedName>
    <definedName name="solver_drv" localSheetId="60" hidden="1">2</definedName>
    <definedName name="solver_drv" localSheetId="59" hidden="1">2</definedName>
    <definedName name="solver_drv" localSheetId="53" hidden="1">1</definedName>
    <definedName name="solver_drv" localSheetId="54" hidden="1">1</definedName>
    <definedName name="solver_drv" localSheetId="62" hidden="1">1</definedName>
    <definedName name="solver_drv" localSheetId="9" hidden="1">1</definedName>
    <definedName name="solver_drv" localSheetId="21" hidden="1">1</definedName>
    <definedName name="solver_drv" localSheetId="22" hidden="1">1</definedName>
    <definedName name="solver_drv" localSheetId="20" hidden="1">1</definedName>
    <definedName name="solver_drv" localSheetId="25" hidden="1">1</definedName>
    <definedName name="solver_drv" localSheetId="27" hidden="1">1</definedName>
    <definedName name="solver_drv" localSheetId="40" hidden="1">1</definedName>
    <definedName name="solver_drv" localSheetId="45" hidden="1">2</definedName>
    <definedName name="solver_drv" localSheetId="46" hidden="1">2</definedName>
    <definedName name="solver_eng" localSheetId="31" hidden="1">1</definedName>
    <definedName name="solver_eng" localSheetId="28" hidden="1">1</definedName>
    <definedName name="solver_eng" localSheetId="32" hidden="1">1</definedName>
    <definedName name="solver_eng" localSheetId="44" hidden="1">1</definedName>
    <definedName name="solver_eng" localSheetId="60" hidden="1">1</definedName>
    <definedName name="solver_eng" localSheetId="59" hidden="1">1</definedName>
    <definedName name="solver_eng" localSheetId="53" hidden="1">1</definedName>
    <definedName name="solver_eng" localSheetId="54" hidden="1">1</definedName>
    <definedName name="solver_eng" localSheetId="62" hidden="1">1</definedName>
    <definedName name="solver_eng" localSheetId="9" hidden="1">1</definedName>
    <definedName name="solver_eng" localSheetId="21" hidden="1">1</definedName>
    <definedName name="solver_eng" localSheetId="22" hidden="1">1</definedName>
    <definedName name="solver_eng" localSheetId="20" hidden="1">1</definedName>
    <definedName name="solver_eng" localSheetId="25" hidden="1">1</definedName>
    <definedName name="solver_eng" localSheetId="27" hidden="1">1</definedName>
    <definedName name="solver_eng" localSheetId="40" hidden="1">2</definedName>
    <definedName name="solver_eng" localSheetId="45" hidden="1">1</definedName>
    <definedName name="solver_eng" localSheetId="46" hidden="1">1</definedName>
    <definedName name="solver_eng" localSheetId="48" hidden="1">1</definedName>
    <definedName name="solver_est" localSheetId="31" hidden="1">1</definedName>
    <definedName name="solver_est" localSheetId="28" hidden="1">1</definedName>
    <definedName name="solver_est" localSheetId="32" hidden="1">1</definedName>
    <definedName name="solver_est" localSheetId="44" hidden="1">1</definedName>
    <definedName name="solver_est" localSheetId="60" hidden="1">1</definedName>
    <definedName name="solver_est" localSheetId="59" hidden="1">1</definedName>
    <definedName name="solver_est" localSheetId="53" hidden="1">1</definedName>
    <definedName name="solver_est" localSheetId="54" hidden="1">1</definedName>
    <definedName name="solver_est" localSheetId="62" hidden="1">1</definedName>
    <definedName name="solver_est" localSheetId="9" hidden="1">1</definedName>
    <definedName name="solver_est" localSheetId="21" hidden="1">1</definedName>
    <definedName name="solver_est" localSheetId="22" hidden="1">1</definedName>
    <definedName name="solver_est" localSheetId="20" hidden="1">1</definedName>
    <definedName name="solver_est" localSheetId="25" hidden="1">1</definedName>
    <definedName name="solver_est" localSheetId="27" hidden="1">1</definedName>
    <definedName name="solver_est" localSheetId="40" hidden="1">1</definedName>
    <definedName name="solver_est" localSheetId="45" hidden="1">1</definedName>
    <definedName name="solver_est" localSheetId="46" hidden="1">1</definedName>
    <definedName name="solver_itr" localSheetId="31" hidden="1">2147483647</definedName>
    <definedName name="solver_itr" localSheetId="28" hidden="1">2147483647</definedName>
    <definedName name="solver_itr" localSheetId="32" hidden="1">2147483647</definedName>
    <definedName name="solver_itr" localSheetId="44" hidden="1">2147483647</definedName>
    <definedName name="solver_itr" localSheetId="60" hidden="1">2147483647</definedName>
    <definedName name="solver_itr" localSheetId="59" hidden="1">2147483647</definedName>
    <definedName name="solver_itr" localSheetId="53" hidden="1">2147483647</definedName>
    <definedName name="solver_itr" localSheetId="54" hidden="1">2147483647</definedName>
    <definedName name="solver_itr" localSheetId="62" hidden="1">2147483647</definedName>
    <definedName name="solver_itr" localSheetId="9" hidden="1">2147483647</definedName>
    <definedName name="solver_itr" localSheetId="21" hidden="1">2147483647</definedName>
    <definedName name="solver_itr" localSheetId="22" hidden="1">2147483647</definedName>
    <definedName name="solver_itr" localSheetId="20" hidden="1">2147483647</definedName>
    <definedName name="solver_itr" localSheetId="25" hidden="1">2147483647</definedName>
    <definedName name="solver_itr" localSheetId="27" hidden="1">2147483647</definedName>
    <definedName name="solver_itr" localSheetId="40" hidden="1">2147483647</definedName>
    <definedName name="solver_itr" localSheetId="45" hidden="1">2147483647</definedName>
    <definedName name="solver_itr" localSheetId="46" hidden="1">2147483647</definedName>
    <definedName name="solver_lhs1" localSheetId="60" hidden="1">'14-Maximizing IR'!$B$43</definedName>
    <definedName name="solver_lhs1" localSheetId="59" hidden="1">'14-Maximizing IR1'!$H$14</definedName>
    <definedName name="solver_lhs1" localSheetId="9" hidden="1">'7-Var'!$B$64</definedName>
    <definedName name="solver_lhs1" localSheetId="21" hidden="1">'8-active portfolio'!$B$16</definedName>
    <definedName name="solver_lhs1" localSheetId="20" hidden="1">'8-Efficient Frontier'!$E$27:$E$36</definedName>
    <definedName name="solver_lhs1" localSheetId="45" hidden="1">'IR-2'!$C$40</definedName>
    <definedName name="solver_lhs1" localSheetId="46" hidden="1">'IR-3'!$C$39</definedName>
    <definedName name="solver_lhs2" localSheetId="60" hidden="1">'14-Maximizing IR'!$C$41</definedName>
    <definedName name="solver_lhs2" localSheetId="9" hidden="1">'7-Var'!$B$65</definedName>
    <definedName name="solver_lhs2" localSheetId="45" hidden="1">'IR-2'!$I$27</definedName>
    <definedName name="solver_lhs2" localSheetId="46" hidden="1">'IR-3'!$H$27</definedName>
    <definedName name="solver_lhs3" localSheetId="60" hidden="1">'14-Maximizing IR'!$I$25</definedName>
    <definedName name="solver_lhs3" localSheetId="9" hidden="1">'7-Var'!$C$64</definedName>
    <definedName name="solver_lhs3" localSheetId="45" hidden="1">'IR-2'!$M$22</definedName>
    <definedName name="solver_lhs3" localSheetId="46" hidden="1">'IR-3'!$H$27</definedName>
    <definedName name="solver_lhs4" localSheetId="9" hidden="1">'7-Var'!$C$65</definedName>
    <definedName name="solver_lhs4" localSheetId="46" hidden="1">'IR-3'!$H$27</definedName>
    <definedName name="solver_lhs5" localSheetId="46" hidden="1">'IR-3'!$H$27</definedName>
    <definedName name="solver_mip" localSheetId="31" hidden="1">2147483647</definedName>
    <definedName name="solver_mip" localSheetId="28" hidden="1">2147483647</definedName>
    <definedName name="solver_mip" localSheetId="32" hidden="1">2147483647</definedName>
    <definedName name="solver_mip" localSheetId="44" hidden="1">2147483647</definedName>
    <definedName name="solver_mip" localSheetId="60" hidden="1">2147483647</definedName>
    <definedName name="solver_mip" localSheetId="59" hidden="1">2147483647</definedName>
    <definedName name="solver_mip" localSheetId="53" hidden="1">2147483647</definedName>
    <definedName name="solver_mip" localSheetId="54" hidden="1">2147483647</definedName>
    <definedName name="solver_mip" localSheetId="62" hidden="1">2147483647</definedName>
    <definedName name="solver_mip" localSheetId="9" hidden="1">2147483647</definedName>
    <definedName name="solver_mip" localSheetId="21" hidden="1">2147483647</definedName>
    <definedName name="solver_mip" localSheetId="22" hidden="1">2147483647</definedName>
    <definedName name="solver_mip" localSheetId="20" hidden="1">2147483647</definedName>
    <definedName name="solver_mip" localSheetId="25" hidden="1">2147483647</definedName>
    <definedName name="solver_mip" localSheetId="27" hidden="1">2147483647</definedName>
    <definedName name="solver_mip" localSheetId="40" hidden="1">2147483647</definedName>
    <definedName name="solver_mip" localSheetId="45" hidden="1">2147483647</definedName>
    <definedName name="solver_mip" localSheetId="46" hidden="1">2147483647</definedName>
    <definedName name="solver_mni" localSheetId="31" hidden="1">30</definedName>
    <definedName name="solver_mni" localSheetId="28" hidden="1">30</definedName>
    <definedName name="solver_mni" localSheetId="32" hidden="1">30</definedName>
    <definedName name="solver_mni" localSheetId="44" hidden="1">30</definedName>
    <definedName name="solver_mni" localSheetId="60" hidden="1">30</definedName>
    <definedName name="solver_mni" localSheetId="59" hidden="1">30</definedName>
    <definedName name="solver_mni" localSheetId="53" hidden="1">30</definedName>
    <definedName name="solver_mni" localSheetId="54" hidden="1">30</definedName>
    <definedName name="solver_mni" localSheetId="62" hidden="1">30</definedName>
    <definedName name="solver_mni" localSheetId="9" hidden="1">30</definedName>
    <definedName name="solver_mni" localSheetId="21" hidden="1">30</definedName>
    <definedName name="solver_mni" localSheetId="22" hidden="1">30</definedName>
    <definedName name="solver_mni" localSheetId="20" hidden="1">30</definedName>
    <definedName name="solver_mni" localSheetId="25" hidden="1">30</definedName>
    <definedName name="solver_mni" localSheetId="27" hidden="1">30</definedName>
    <definedName name="solver_mni" localSheetId="40" hidden="1">30</definedName>
    <definedName name="solver_mni" localSheetId="45" hidden="1">30</definedName>
    <definedName name="solver_mni" localSheetId="46" hidden="1">30</definedName>
    <definedName name="solver_mrt" localSheetId="31" hidden="1">0.075</definedName>
    <definedName name="solver_mrt" localSheetId="28" hidden="1">0.075</definedName>
    <definedName name="solver_mrt" localSheetId="32" hidden="1">0.075</definedName>
    <definedName name="solver_mrt" localSheetId="44" hidden="1">0.075</definedName>
    <definedName name="solver_mrt" localSheetId="60" hidden="1">0.075</definedName>
    <definedName name="solver_mrt" localSheetId="59" hidden="1">0.075</definedName>
    <definedName name="solver_mrt" localSheetId="53" hidden="1">0.075</definedName>
    <definedName name="solver_mrt" localSheetId="54" hidden="1">0.075</definedName>
    <definedName name="solver_mrt" localSheetId="62" hidden="1">0.075</definedName>
    <definedName name="solver_mrt" localSheetId="9" hidden="1">0.075</definedName>
    <definedName name="solver_mrt" localSheetId="21" hidden="1">0.075</definedName>
    <definedName name="solver_mrt" localSheetId="22" hidden="1">0.075</definedName>
    <definedName name="solver_mrt" localSheetId="20" hidden="1">0.075</definedName>
    <definedName name="solver_mrt" localSheetId="25" hidden="1">0.075</definedName>
    <definedName name="solver_mrt" localSheetId="27" hidden="1">0.075</definedName>
    <definedName name="solver_mrt" localSheetId="40" hidden="1">0.075</definedName>
    <definedName name="solver_mrt" localSheetId="45" hidden="1">0.075</definedName>
    <definedName name="solver_mrt" localSheetId="46" hidden="1">0.075</definedName>
    <definedName name="solver_msl" localSheetId="31" hidden="1">2</definedName>
    <definedName name="solver_msl" localSheetId="28" hidden="1">2</definedName>
    <definedName name="solver_msl" localSheetId="32" hidden="1">2</definedName>
    <definedName name="solver_msl" localSheetId="44" hidden="1">2</definedName>
    <definedName name="solver_msl" localSheetId="60" hidden="1">2</definedName>
    <definedName name="solver_msl" localSheetId="59" hidden="1">2</definedName>
    <definedName name="solver_msl" localSheetId="53" hidden="1">2</definedName>
    <definedName name="solver_msl" localSheetId="54" hidden="1">2</definedName>
    <definedName name="solver_msl" localSheetId="62" hidden="1">2</definedName>
    <definedName name="solver_msl" localSheetId="9" hidden="1">2</definedName>
    <definedName name="solver_msl" localSheetId="21" hidden="1">2</definedName>
    <definedName name="solver_msl" localSheetId="22" hidden="1">2</definedName>
    <definedName name="solver_msl" localSheetId="20" hidden="1">2</definedName>
    <definedName name="solver_msl" localSheetId="25" hidden="1">2</definedName>
    <definedName name="solver_msl" localSheetId="27" hidden="1">2</definedName>
    <definedName name="solver_msl" localSheetId="40" hidden="1">2</definedName>
    <definedName name="solver_msl" localSheetId="45" hidden="1">2</definedName>
    <definedName name="solver_msl" localSheetId="46" hidden="1">2</definedName>
    <definedName name="solver_neg" localSheetId="31" hidden="1">2</definedName>
    <definedName name="solver_neg" localSheetId="28" hidden="1">2</definedName>
    <definedName name="solver_neg" localSheetId="32" hidden="1">2</definedName>
    <definedName name="solver_neg" localSheetId="44" hidden="1">2</definedName>
    <definedName name="solver_neg" localSheetId="60" hidden="1">2</definedName>
    <definedName name="solver_neg" localSheetId="59" hidden="1">2</definedName>
    <definedName name="solver_neg" localSheetId="53" hidden="1">2</definedName>
    <definedName name="solver_neg" localSheetId="54" hidden="1">2</definedName>
    <definedName name="solver_neg" localSheetId="62" hidden="1">1</definedName>
    <definedName name="solver_neg" localSheetId="9" hidden="1">2</definedName>
    <definedName name="solver_neg" localSheetId="21" hidden="1">2</definedName>
    <definedName name="solver_neg" localSheetId="22" hidden="1">2</definedName>
    <definedName name="solver_neg" localSheetId="20" hidden="1">2</definedName>
    <definedName name="solver_neg" localSheetId="25" hidden="1">2</definedName>
    <definedName name="solver_neg" localSheetId="27" hidden="1">2</definedName>
    <definedName name="solver_neg" localSheetId="40" hidden="1">2</definedName>
    <definedName name="solver_neg" localSheetId="45" hidden="1">2</definedName>
    <definedName name="solver_neg" localSheetId="46" hidden="1">2</definedName>
    <definedName name="solver_neg" localSheetId="48" hidden="1">1</definedName>
    <definedName name="solver_nod" localSheetId="31" hidden="1">2147483647</definedName>
    <definedName name="solver_nod" localSheetId="28" hidden="1">2147483647</definedName>
    <definedName name="solver_nod" localSheetId="32" hidden="1">2147483647</definedName>
    <definedName name="solver_nod" localSheetId="44" hidden="1">2147483647</definedName>
    <definedName name="solver_nod" localSheetId="60" hidden="1">2147483647</definedName>
    <definedName name="solver_nod" localSheetId="59" hidden="1">2147483647</definedName>
    <definedName name="solver_nod" localSheetId="53" hidden="1">2147483647</definedName>
    <definedName name="solver_nod" localSheetId="54" hidden="1">2147483647</definedName>
    <definedName name="solver_nod" localSheetId="62" hidden="1">2147483647</definedName>
    <definedName name="solver_nod" localSheetId="9" hidden="1">2147483647</definedName>
    <definedName name="solver_nod" localSheetId="21" hidden="1">2147483647</definedName>
    <definedName name="solver_nod" localSheetId="22" hidden="1">2147483647</definedName>
    <definedName name="solver_nod" localSheetId="20" hidden="1">2147483647</definedName>
    <definedName name="solver_nod" localSheetId="25" hidden="1">2147483647</definedName>
    <definedName name="solver_nod" localSheetId="27" hidden="1">2147483647</definedName>
    <definedName name="solver_nod" localSheetId="40" hidden="1">2147483647</definedName>
    <definedName name="solver_nod" localSheetId="45" hidden="1">2147483647</definedName>
    <definedName name="solver_nod" localSheetId="46" hidden="1">2147483647</definedName>
    <definedName name="solver_num" localSheetId="31" hidden="1">0</definedName>
    <definedName name="solver_num" localSheetId="28" hidden="1">0</definedName>
    <definedName name="solver_num" localSheetId="32" hidden="1">0</definedName>
    <definedName name="solver_num" localSheetId="44" hidden="1">0</definedName>
    <definedName name="solver_num" localSheetId="60" hidden="1">2</definedName>
    <definedName name="solver_num" localSheetId="59" hidden="1">1</definedName>
    <definedName name="solver_num" localSheetId="53" hidden="1">0</definedName>
    <definedName name="solver_num" localSheetId="54" hidden="1">0</definedName>
    <definedName name="solver_num" localSheetId="62" hidden="1">0</definedName>
    <definedName name="solver_num" localSheetId="9" hidden="1">4</definedName>
    <definedName name="solver_num" localSheetId="21" hidden="1">0</definedName>
    <definedName name="solver_num" localSheetId="22" hidden="1">0</definedName>
    <definedName name="solver_num" localSheetId="20" hidden="1">1</definedName>
    <definedName name="solver_num" localSheetId="25" hidden="1">0</definedName>
    <definedName name="solver_num" localSheetId="27" hidden="1">0</definedName>
    <definedName name="solver_num" localSheetId="40" hidden="1">0</definedName>
    <definedName name="solver_num" localSheetId="45" hidden="1">3</definedName>
    <definedName name="solver_num" localSheetId="46" hidden="1">2</definedName>
    <definedName name="solver_num" localSheetId="48" hidden="1">0</definedName>
    <definedName name="solver_nwt" localSheetId="31" hidden="1">1</definedName>
    <definedName name="solver_nwt" localSheetId="28" hidden="1">1</definedName>
    <definedName name="solver_nwt" localSheetId="32" hidden="1">1</definedName>
    <definedName name="solver_nwt" localSheetId="44" hidden="1">1</definedName>
    <definedName name="solver_nwt" localSheetId="60" hidden="1">1</definedName>
    <definedName name="solver_nwt" localSheetId="59" hidden="1">1</definedName>
    <definedName name="solver_nwt" localSheetId="53" hidden="1">1</definedName>
    <definedName name="solver_nwt" localSheetId="54" hidden="1">1</definedName>
    <definedName name="solver_nwt" localSheetId="62" hidden="1">1</definedName>
    <definedName name="solver_nwt" localSheetId="9" hidden="1">1</definedName>
    <definedName name="solver_nwt" localSheetId="21" hidden="1">1</definedName>
    <definedName name="solver_nwt" localSheetId="22" hidden="1">1</definedName>
    <definedName name="solver_nwt" localSheetId="20" hidden="1">1</definedName>
    <definedName name="solver_nwt" localSheetId="25" hidden="1">1</definedName>
    <definedName name="solver_nwt" localSheetId="27" hidden="1">1</definedName>
    <definedName name="solver_nwt" localSheetId="40" hidden="1">1</definedName>
    <definedName name="solver_nwt" localSheetId="45" hidden="1">1</definedName>
    <definedName name="solver_nwt" localSheetId="46" hidden="1">1</definedName>
    <definedName name="solver_opt" localSheetId="31" hidden="1">'10-Estimating Alpha'!$M$15</definedName>
    <definedName name="solver_opt" localSheetId="28" hidden="1">'10-Out of Sample'!$J$13</definedName>
    <definedName name="solver_opt" localSheetId="32" hidden="1">'10-Tweights5'!$J$21</definedName>
    <definedName name="solver_opt" localSheetId="44" hidden="1">'14-IR1'!$H$9</definedName>
    <definedName name="solver_opt" localSheetId="60" hidden="1">'14-Maximizing IR'!$B$45</definedName>
    <definedName name="solver_opt" localSheetId="59" hidden="1">'14-Maximizing IR1'!$J$14</definedName>
    <definedName name="solver_opt" localSheetId="53" hidden="1">'15-Consensus Model'!$K$27</definedName>
    <definedName name="solver_opt" localSheetId="54" hidden="1">'15-Thesis Model'!$K$27</definedName>
    <definedName name="solver_opt" localSheetId="62" hidden="1">'16-Debt Value'!$C$9</definedName>
    <definedName name="solver_opt" localSheetId="9" hidden="1">'7-Var'!$A$66</definedName>
    <definedName name="solver_opt" localSheetId="21" hidden="1">'8-active portfolio'!$B$17</definedName>
    <definedName name="solver_opt" localSheetId="22" hidden="1">'8-alpha'!$N$46</definedName>
    <definedName name="solver_opt" localSheetId="20" hidden="1">'8-Efficient Frontier'!$F$38</definedName>
    <definedName name="solver_opt" localSheetId="25" hidden="1">'8-Var2'!$B$25</definedName>
    <definedName name="solver_opt" localSheetId="27" hidden="1">'9-max corr'!$F$27</definedName>
    <definedName name="solver_opt" localSheetId="40" hidden="1">FI_Convexity!$H$40</definedName>
    <definedName name="solver_opt" localSheetId="45" hidden="1">'IR-2'!$H$27</definedName>
    <definedName name="solver_opt" localSheetId="46" hidden="1">'IR-3'!$G$27</definedName>
    <definedName name="solver_opt" localSheetId="48" hidden="1">'PA-2'!$F$3</definedName>
    <definedName name="solver_pre" localSheetId="31" hidden="1">0.000001</definedName>
    <definedName name="solver_pre" localSheetId="28" hidden="1">0.000001</definedName>
    <definedName name="solver_pre" localSheetId="32" hidden="1">0.000001</definedName>
    <definedName name="solver_pre" localSheetId="44" hidden="1">0.000001</definedName>
    <definedName name="solver_pre" localSheetId="60" hidden="1">0.000001</definedName>
    <definedName name="solver_pre" localSheetId="59" hidden="1">0.000001</definedName>
    <definedName name="solver_pre" localSheetId="53" hidden="1">0.000001</definedName>
    <definedName name="solver_pre" localSheetId="54" hidden="1">0.000001</definedName>
    <definedName name="solver_pre" localSheetId="62" hidden="1">0.000001</definedName>
    <definedName name="solver_pre" localSheetId="9" hidden="1">0.000001</definedName>
    <definedName name="solver_pre" localSheetId="21" hidden="1">0.000001</definedName>
    <definedName name="solver_pre" localSheetId="22" hidden="1">0.000001</definedName>
    <definedName name="solver_pre" localSheetId="20" hidden="1">0.000001</definedName>
    <definedName name="solver_pre" localSheetId="25" hidden="1">0.000001</definedName>
    <definedName name="solver_pre" localSheetId="27" hidden="1">0.000001</definedName>
    <definedName name="solver_pre" localSheetId="40" hidden="1">0.000001</definedName>
    <definedName name="solver_pre" localSheetId="45" hidden="1">0.000000001</definedName>
    <definedName name="solver_pre" localSheetId="46" hidden="1">0.000001</definedName>
    <definedName name="solver_rbv" localSheetId="31" hidden="1">1</definedName>
    <definedName name="solver_rbv" localSheetId="28" hidden="1">1</definedName>
    <definedName name="solver_rbv" localSheetId="32" hidden="1">1</definedName>
    <definedName name="solver_rbv" localSheetId="44" hidden="1">1</definedName>
    <definedName name="solver_rbv" localSheetId="60" hidden="1">2</definedName>
    <definedName name="solver_rbv" localSheetId="59" hidden="1">2</definedName>
    <definedName name="solver_rbv" localSheetId="53" hidden="1">1</definedName>
    <definedName name="solver_rbv" localSheetId="54" hidden="1">1</definedName>
    <definedName name="solver_rbv" localSheetId="62" hidden="1">1</definedName>
    <definedName name="solver_rbv" localSheetId="9" hidden="1">1</definedName>
    <definedName name="solver_rbv" localSheetId="21" hidden="1">1</definedName>
    <definedName name="solver_rbv" localSheetId="22" hidden="1">1</definedName>
    <definedName name="solver_rbv" localSheetId="20" hidden="1">1</definedName>
    <definedName name="solver_rbv" localSheetId="25" hidden="1">1</definedName>
    <definedName name="solver_rbv" localSheetId="27" hidden="1">1</definedName>
    <definedName name="solver_rbv" localSheetId="40" hidden="1">1</definedName>
    <definedName name="solver_rbv" localSheetId="45" hidden="1">2</definedName>
    <definedName name="solver_rbv" localSheetId="46" hidden="1">2</definedName>
    <definedName name="solver_rel1" localSheetId="60" hidden="1">2</definedName>
    <definedName name="solver_rel1" localSheetId="59" hidden="1">2</definedName>
    <definedName name="solver_rel1" localSheetId="9" hidden="1">2</definedName>
    <definedName name="solver_rel1" localSheetId="21" hidden="1">2</definedName>
    <definedName name="solver_rel1" localSheetId="20" hidden="1">2</definedName>
    <definedName name="solver_rel1" localSheetId="45" hidden="1">2</definedName>
    <definedName name="solver_rel1" localSheetId="46" hidden="1">2</definedName>
    <definedName name="solver_rel2" localSheetId="60" hidden="1">2</definedName>
    <definedName name="solver_rel2" localSheetId="9" hidden="1">2</definedName>
    <definedName name="solver_rel2" localSheetId="45" hidden="1">2</definedName>
    <definedName name="solver_rel2" localSheetId="46" hidden="1">2</definedName>
    <definedName name="solver_rel3" localSheetId="60" hidden="1">2</definedName>
    <definedName name="solver_rel3" localSheetId="9" hidden="1">2</definedName>
    <definedName name="solver_rel3" localSheetId="45" hidden="1">2</definedName>
    <definedName name="solver_rel3" localSheetId="46" hidden="1">2</definedName>
    <definedName name="solver_rel4" localSheetId="9" hidden="1">2</definedName>
    <definedName name="solver_rel4" localSheetId="46" hidden="1">2</definedName>
    <definedName name="solver_rel5" localSheetId="46" hidden="1">2</definedName>
    <definedName name="solver_rhs1" localSheetId="60" hidden="1">0.05</definedName>
    <definedName name="solver_rhs1" localSheetId="59" hidden="1">0.05</definedName>
    <definedName name="solver_rhs1" localSheetId="9" hidden="1">0</definedName>
    <definedName name="solver_rhs1" localSheetId="21" hidden="1">0.2</definedName>
    <definedName name="solver_rhs1" localSheetId="20" hidden="1">'8-Efficient Frontier'!$G$27:$G$36</definedName>
    <definedName name="solver_rhs1" localSheetId="45" hidden="1">0</definedName>
    <definedName name="solver_rhs1" localSheetId="46" hidden="1">0</definedName>
    <definedName name="solver_rhs2" localSheetId="60" hidden="1">1</definedName>
    <definedName name="solver_rhs2" localSheetId="9" hidden="1">1</definedName>
    <definedName name="solver_rhs2" localSheetId="45" hidden="1">0.05</definedName>
    <definedName name="solver_rhs2" localSheetId="46" hidden="1">0.05</definedName>
    <definedName name="solver_rhs3" localSheetId="60" hidden="1">0</definedName>
    <definedName name="solver_rhs3" localSheetId="9" hidden="1">0</definedName>
    <definedName name="solver_rhs3" localSheetId="45" hidden="1">0</definedName>
    <definedName name="solver_rhs3" localSheetId="46" hidden="1">0.05</definedName>
    <definedName name="solver_rhs4" localSheetId="9" hidden="1">1</definedName>
    <definedName name="solver_rhs4" localSheetId="46" hidden="1">0.05</definedName>
    <definedName name="solver_rhs5" localSheetId="46" hidden="1">0.05</definedName>
    <definedName name="solver_rlx" localSheetId="31" hidden="1">2</definedName>
    <definedName name="solver_rlx" localSheetId="28" hidden="1">2</definedName>
    <definedName name="solver_rlx" localSheetId="32" hidden="1">2</definedName>
    <definedName name="solver_rlx" localSheetId="44" hidden="1">2</definedName>
    <definedName name="solver_rlx" localSheetId="60" hidden="1">2</definedName>
    <definedName name="solver_rlx" localSheetId="59" hidden="1">2</definedName>
    <definedName name="solver_rlx" localSheetId="53" hidden="1">2</definedName>
    <definedName name="solver_rlx" localSheetId="54" hidden="1">2</definedName>
    <definedName name="solver_rlx" localSheetId="62" hidden="1">2</definedName>
    <definedName name="solver_rlx" localSheetId="9" hidden="1">2</definedName>
    <definedName name="solver_rlx" localSheetId="21" hidden="1">2</definedName>
    <definedName name="solver_rlx" localSheetId="22" hidden="1">2</definedName>
    <definedName name="solver_rlx" localSheetId="20" hidden="1">2</definedName>
    <definedName name="solver_rlx" localSheetId="25" hidden="1">2</definedName>
    <definedName name="solver_rlx" localSheetId="27" hidden="1">2</definedName>
    <definedName name="solver_rlx" localSheetId="40" hidden="1">2</definedName>
    <definedName name="solver_rlx" localSheetId="45" hidden="1">2</definedName>
    <definedName name="solver_rlx" localSheetId="46" hidden="1">2</definedName>
    <definedName name="solver_rsd" localSheetId="31" hidden="1">0</definedName>
    <definedName name="solver_rsd" localSheetId="28" hidden="1">0</definedName>
    <definedName name="solver_rsd" localSheetId="32" hidden="1">0</definedName>
    <definedName name="solver_rsd" localSheetId="44" hidden="1">0</definedName>
    <definedName name="solver_rsd" localSheetId="60" hidden="1">0</definedName>
    <definedName name="solver_rsd" localSheetId="59" hidden="1">0</definedName>
    <definedName name="solver_rsd" localSheetId="53" hidden="1">0</definedName>
    <definedName name="solver_rsd" localSheetId="54" hidden="1">0</definedName>
    <definedName name="solver_rsd" localSheetId="62" hidden="1">0</definedName>
    <definedName name="solver_rsd" localSheetId="9" hidden="1">0</definedName>
    <definedName name="solver_rsd" localSheetId="21" hidden="1">0</definedName>
    <definedName name="solver_rsd" localSheetId="22" hidden="1">0</definedName>
    <definedName name="solver_rsd" localSheetId="20" hidden="1">0</definedName>
    <definedName name="solver_rsd" localSheetId="25" hidden="1">0</definedName>
    <definedName name="solver_rsd" localSheetId="27" hidden="1">0</definedName>
    <definedName name="solver_rsd" localSheetId="40" hidden="1">0</definedName>
    <definedName name="solver_rsd" localSheetId="45" hidden="1">0</definedName>
    <definedName name="solver_rsd" localSheetId="46" hidden="1">0</definedName>
    <definedName name="solver_scl" localSheetId="31" hidden="1">1</definedName>
    <definedName name="solver_scl" localSheetId="28" hidden="1">1</definedName>
    <definedName name="solver_scl" localSheetId="32" hidden="1">1</definedName>
    <definedName name="solver_scl" localSheetId="44" hidden="1">1</definedName>
    <definedName name="solver_scl" localSheetId="60" hidden="1">2</definedName>
    <definedName name="solver_scl" localSheetId="59" hidden="1">2</definedName>
    <definedName name="solver_scl" localSheetId="53" hidden="1">1</definedName>
    <definedName name="solver_scl" localSheetId="54" hidden="1">1</definedName>
    <definedName name="solver_scl" localSheetId="62" hidden="1">1</definedName>
    <definedName name="solver_scl" localSheetId="9" hidden="1">1</definedName>
    <definedName name="solver_scl" localSheetId="21" hidden="1">1</definedName>
    <definedName name="solver_scl" localSheetId="22" hidden="1">1</definedName>
    <definedName name="solver_scl" localSheetId="20" hidden="1">1</definedName>
    <definedName name="solver_scl" localSheetId="25" hidden="1">1</definedName>
    <definedName name="solver_scl" localSheetId="27" hidden="1">1</definedName>
    <definedName name="solver_scl" localSheetId="40" hidden="1">1</definedName>
    <definedName name="solver_scl" localSheetId="45" hidden="1">2</definedName>
    <definedName name="solver_scl" localSheetId="46" hidden="1">2</definedName>
    <definedName name="solver_sho" localSheetId="31" hidden="1">2</definedName>
    <definedName name="solver_sho" localSheetId="28" hidden="1">2</definedName>
    <definedName name="solver_sho" localSheetId="32" hidden="1">2</definedName>
    <definedName name="solver_sho" localSheetId="44" hidden="1">2</definedName>
    <definedName name="solver_sho" localSheetId="60" hidden="1">2</definedName>
    <definedName name="solver_sho" localSheetId="59" hidden="1">2</definedName>
    <definedName name="solver_sho" localSheetId="53" hidden="1">2</definedName>
    <definedName name="solver_sho" localSheetId="54" hidden="1">2</definedName>
    <definedName name="solver_sho" localSheetId="62" hidden="1">2</definedName>
    <definedName name="solver_sho" localSheetId="9" hidden="1">2</definedName>
    <definedName name="solver_sho" localSheetId="21" hidden="1">2</definedName>
    <definedName name="solver_sho" localSheetId="22" hidden="1">2</definedName>
    <definedName name="solver_sho" localSheetId="20" hidden="1">2</definedName>
    <definedName name="solver_sho" localSheetId="25" hidden="1">2</definedName>
    <definedName name="solver_sho" localSheetId="27" hidden="1">2</definedName>
    <definedName name="solver_sho" localSheetId="40" hidden="1">2</definedName>
    <definedName name="solver_sho" localSheetId="45" hidden="1">2</definedName>
    <definedName name="solver_sho" localSheetId="46" hidden="1">2</definedName>
    <definedName name="solver_ssz" localSheetId="31" hidden="1">100</definedName>
    <definedName name="solver_ssz" localSheetId="28" hidden="1">100</definedName>
    <definedName name="solver_ssz" localSheetId="32" hidden="1">100</definedName>
    <definedName name="solver_ssz" localSheetId="44" hidden="1">100</definedName>
    <definedName name="solver_ssz" localSheetId="60" hidden="1">100</definedName>
    <definedName name="solver_ssz" localSheetId="59" hidden="1">100</definedName>
    <definedName name="solver_ssz" localSheetId="53" hidden="1">100</definedName>
    <definedName name="solver_ssz" localSheetId="54" hidden="1">100</definedName>
    <definedName name="solver_ssz" localSheetId="62" hidden="1">100</definedName>
    <definedName name="solver_ssz" localSheetId="9" hidden="1">100</definedName>
    <definedName name="solver_ssz" localSheetId="21" hidden="1">100</definedName>
    <definedName name="solver_ssz" localSheetId="22" hidden="1">100</definedName>
    <definedName name="solver_ssz" localSheetId="20" hidden="1">100</definedName>
    <definedName name="solver_ssz" localSheetId="25" hidden="1">100</definedName>
    <definedName name="solver_ssz" localSheetId="27" hidden="1">100</definedName>
    <definedName name="solver_ssz" localSheetId="40" hidden="1">100</definedName>
    <definedName name="solver_ssz" localSheetId="45" hidden="1">100</definedName>
    <definedName name="solver_ssz" localSheetId="46" hidden="1">100</definedName>
    <definedName name="solver_tim" localSheetId="31" hidden="1">2147483647</definedName>
    <definedName name="solver_tim" localSheetId="28" hidden="1">2147483647</definedName>
    <definedName name="solver_tim" localSheetId="32" hidden="1">2147483647</definedName>
    <definedName name="solver_tim" localSheetId="44" hidden="1">2147483647</definedName>
    <definedName name="solver_tim" localSheetId="60" hidden="1">2147483647</definedName>
    <definedName name="solver_tim" localSheetId="59" hidden="1">2147483647</definedName>
    <definedName name="solver_tim" localSheetId="53" hidden="1">2147483647</definedName>
    <definedName name="solver_tim" localSheetId="54" hidden="1">2147483647</definedName>
    <definedName name="solver_tim" localSheetId="62" hidden="1">2147483647</definedName>
    <definedName name="solver_tim" localSheetId="9" hidden="1">2147483647</definedName>
    <definedName name="solver_tim" localSheetId="21" hidden="1">2147483647</definedName>
    <definedName name="solver_tim" localSheetId="22" hidden="1">2147483647</definedName>
    <definedName name="solver_tim" localSheetId="20" hidden="1">2147483647</definedName>
    <definedName name="solver_tim" localSheetId="25" hidden="1">2147483647</definedName>
    <definedName name="solver_tim" localSheetId="27" hidden="1">2147483647</definedName>
    <definedName name="solver_tim" localSheetId="40" hidden="1">2147483647</definedName>
    <definedName name="solver_tim" localSheetId="45" hidden="1">2147483647</definedName>
    <definedName name="solver_tim" localSheetId="46" hidden="1">2147483647</definedName>
    <definedName name="solver_tol" localSheetId="31" hidden="1">0.01</definedName>
    <definedName name="solver_tol" localSheetId="28" hidden="1">0.01</definedName>
    <definedName name="solver_tol" localSheetId="32" hidden="1">0.01</definedName>
    <definedName name="solver_tol" localSheetId="44" hidden="1">0.01</definedName>
    <definedName name="solver_tol" localSheetId="60" hidden="1">0.01</definedName>
    <definedName name="solver_tol" localSheetId="59" hidden="1">0.01</definedName>
    <definedName name="solver_tol" localSheetId="53" hidden="1">0.01</definedName>
    <definedName name="solver_tol" localSheetId="54" hidden="1">0.01</definedName>
    <definedName name="solver_tol" localSheetId="62" hidden="1">0.01</definedName>
    <definedName name="solver_tol" localSheetId="9" hidden="1">0.01</definedName>
    <definedName name="solver_tol" localSheetId="21" hidden="1">0.01</definedName>
    <definedName name="solver_tol" localSheetId="22" hidden="1">0.01</definedName>
    <definedName name="solver_tol" localSheetId="20" hidden="1">0.01</definedName>
    <definedName name="solver_tol" localSheetId="25" hidden="1">0.01</definedName>
    <definedName name="solver_tol" localSheetId="27" hidden="1">0.01</definedName>
    <definedName name="solver_tol" localSheetId="40" hidden="1">0.01</definedName>
    <definedName name="solver_tol" localSheetId="45" hidden="1">0.01</definedName>
    <definedName name="solver_tol" localSheetId="46" hidden="1">0.01</definedName>
    <definedName name="solver_typ" localSheetId="31" hidden="1">1</definedName>
    <definedName name="solver_typ" localSheetId="28" hidden="1">1</definedName>
    <definedName name="solver_typ" localSheetId="32" hidden="1">1</definedName>
    <definedName name="solver_typ" localSheetId="44" hidden="1">3</definedName>
    <definedName name="solver_typ" localSheetId="60" hidden="1">1</definedName>
    <definedName name="solver_typ" localSheetId="59" hidden="1">1</definedName>
    <definedName name="solver_typ" localSheetId="53" hidden="1">3</definedName>
    <definedName name="solver_typ" localSheetId="54" hidden="1">3</definedName>
    <definedName name="solver_typ" localSheetId="62" hidden="1">3</definedName>
    <definedName name="solver_typ" localSheetId="9" hidden="1">3</definedName>
    <definedName name="solver_typ" localSheetId="21" hidden="1">1</definedName>
    <definedName name="solver_typ" localSheetId="22" hidden="1">1</definedName>
    <definedName name="solver_typ" localSheetId="20" hidden="1">2</definedName>
    <definedName name="solver_typ" localSheetId="25" hidden="1">1</definedName>
    <definedName name="solver_typ" localSheetId="27" hidden="1">1</definedName>
    <definedName name="solver_typ" localSheetId="40" hidden="1">3</definedName>
    <definedName name="solver_typ" localSheetId="45" hidden="1">1</definedName>
    <definedName name="solver_typ" localSheetId="46" hidden="1">1</definedName>
    <definedName name="solver_typ" localSheetId="48" hidden="1">1</definedName>
    <definedName name="solver_val" localSheetId="31" hidden="1">0</definedName>
    <definedName name="solver_val" localSheetId="28" hidden="1">0</definedName>
    <definedName name="solver_val" localSheetId="32" hidden="1">0</definedName>
    <definedName name="solver_val" localSheetId="44" hidden="1">1</definedName>
    <definedName name="solver_val" localSheetId="60" hidden="1">0</definedName>
    <definedName name="solver_val" localSheetId="59" hidden="1">0</definedName>
    <definedName name="solver_val" localSheetId="53" hidden="1">12.15</definedName>
    <definedName name="solver_val" localSheetId="54" hidden="1">12.15</definedName>
    <definedName name="solver_val" localSheetId="62" hidden="1">30</definedName>
    <definedName name="solver_val" localSheetId="9" hidden="1">0</definedName>
    <definedName name="solver_val" localSheetId="21" hidden="1">0</definedName>
    <definedName name="solver_val" localSheetId="22" hidden="1">0</definedName>
    <definedName name="solver_val" localSheetId="20" hidden="1">-0.1</definedName>
    <definedName name="solver_val" localSheetId="25" hidden="1">0</definedName>
    <definedName name="solver_val" localSheetId="27" hidden="1">0</definedName>
    <definedName name="solver_val" localSheetId="40" hidden="1">0</definedName>
    <definedName name="solver_val" localSheetId="45" hidden="1">0</definedName>
    <definedName name="solver_val" localSheetId="46" hidden="1">0</definedName>
    <definedName name="solver_val" localSheetId="48" hidden="1">0</definedName>
    <definedName name="solver_ver" localSheetId="31" hidden="1">3</definedName>
    <definedName name="solver_ver" localSheetId="28" hidden="1">3</definedName>
    <definedName name="solver_ver" localSheetId="32" hidden="1">3</definedName>
    <definedName name="solver_ver" localSheetId="44" hidden="1">3</definedName>
    <definedName name="solver_ver" localSheetId="60" hidden="1">3</definedName>
    <definedName name="solver_ver" localSheetId="59" hidden="1">3</definedName>
    <definedName name="solver_ver" localSheetId="53" hidden="1">3</definedName>
    <definedName name="solver_ver" localSheetId="54" hidden="1">3</definedName>
    <definedName name="solver_ver" localSheetId="62" hidden="1">3</definedName>
    <definedName name="solver_ver" localSheetId="9" hidden="1">3</definedName>
    <definedName name="solver_ver" localSheetId="21" hidden="1">3</definedName>
    <definedName name="solver_ver" localSheetId="22" hidden="1">3</definedName>
    <definedName name="solver_ver" localSheetId="20" hidden="1">3</definedName>
    <definedName name="solver_ver" localSheetId="25" hidden="1">3</definedName>
    <definedName name="solver_ver" localSheetId="27" hidden="1">3</definedName>
    <definedName name="solver_ver" localSheetId="40" hidden="1">3</definedName>
    <definedName name="solver_ver" localSheetId="45" hidden="1">3</definedName>
    <definedName name="solver_ver" localSheetId="46" hidden="1">3</definedName>
    <definedName name="solver_ver" localSheetId="4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83" l="1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X10" i="86" l="1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AG13" i="86" l="1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AG24" i="86" l="1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C11" i="51"/>
  <c r="C10" i="51"/>
  <c r="C9" i="51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L6" i="70"/>
  <c r="I35" i="70"/>
  <c r="I14" i="70"/>
  <c r="I13" i="70"/>
  <c r="G11" i="70"/>
  <c r="G10" i="70" s="1"/>
  <c r="G6" i="70"/>
  <c r="I34" i="70" s="1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I46" i="70" s="1"/>
  <c r="G2" i="11"/>
  <c r="G3" i="11"/>
  <c r="H6" i="11" s="1"/>
  <c r="H9" i="11" s="1"/>
  <c r="H10" i="11" s="1"/>
  <c r="H7" i="11"/>
  <c r="F5" i="52"/>
  <c r="G5" i="52"/>
  <c r="F6" i="52"/>
  <c r="J5" i="52" s="1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F9" i="53" s="1"/>
  <c r="D10" i="53"/>
  <c r="F10" i="53"/>
  <c r="D11" i="53"/>
  <c r="G11" i="53" s="1"/>
  <c r="F11" i="53"/>
  <c r="D12" i="53"/>
  <c r="G12" i="53" s="1"/>
  <c r="F12" i="53"/>
  <c r="D13" i="53"/>
  <c r="G13" i="53" s="1"/>
  <c r="D14" i="53"/>
  <c r="F14" i="53" s="1"/>
  <c r="D15" i="53"/>
  <c r="F15" i="53"/>
  <c r="D16" i="53"/>
  <c r="F16" i="53"/>
  <c r="D17" i="53"/>
  <c r="G17" i="53" s="1"/>
  <c r="F17" i="53"/>
  <c r="D18" i="53"/>
  <c r="F18" i="53"/>
  <c r="D19" i="53"/>
  <c r="F19" i="53"/>
  <c r="D20" i="53"/>
  <c r="F20" i="53" s="1"/>
  <c r="D21" i="53"/>
  <c r="G21" i="53" s="1"/>
  <c r="F21" i="53"/>
  <c r="D22" i="53"/>
  <c r="G22" i="53" s="1"/>
  <c r="D23" i="53"/>
  <c r="F23" i="53"/>
  <c r="D24" i="53"/>
  <c r="G24" i="53" s="1"/>
  <c r="F24" i="53"/>
  <c r="D25" i="53"/>
  <c r="F25" i="53" s="1"/>
  <c r="D26" i="53"/>
  <c r="F26" i="53"/>
  <c r="D27" i="53"/>
  <c r="F27" i="53"/>
  <c r="D28" i="53"/>
  <c r="F28" i="53"/>
  <c r="D29" i="53"/>
  <c r="G29" i="53" s="1"/>
  <c r="F29" i="53"/>
  <c r="D30" i="53"/>
  <c r="F30" i="53"/>
  <c r="D31" i="53"/>
  <c r="F31" i="53" s="1"/>
  <c r="D32" i="53"/>
  <c r="F32" i="53"/>
  <c r="D33" i="53"/>
  <c r="G33" i="53" s="1"/>
  <c r="F33" i="53"/>
  <c r="D34" i="53"/>
  <c r="G34" i="53" s="1"/>
  <c r="F34" i="53"/>
  <c r="D35" i="53"/>
  <c r="G35" i="53" s="1"/>
  <c r="F35" i="53"/>
  <c r="D36" i="53"/>
  <c r="F36" i="53" s="1"/>
  <c r="D37" i="53"/>
  <c r="F37" i="53"/>
  <c r="D38" i="53"/>
  <c r="F38" i="53"/>
  <c r="D39" i="53"/>
  <c r="F39" i="53"/>
  <c r="D40" i="53"/>
  <c r="F40" i="53"/>
  <c r="G8" i="53"/>
  <c r="G9" i="53"/>
  <c r="G10" i="53"/>
  <c r="G14" i="53"/>
  <c r="G15" i="53"/>
  <c r="G16" i="53"/>
  <c r="G18" i="53"/>
  <c r="G19" i="53"/>
  <c r="G20" i="53"/>
  <c r="G23" i="53"/>
  <c r="G25" i="53"/>
  <c r="G26" i="53"/>
  <c r="G27" i="53"/>
  <c r="G28" i="53"/>
  <c r="G30" i="53"/>
  <c r="G32" i="53"/>
  <c r="G36" i="53"/>
  <c r="G37" i="53"/>
  <c r="G38" i="53"/>
  <c r="G39" i="53"/>
  <c r="G40" i="53"/>
  <c r="M5" i="53"/>
  <c r="M6" i="53"/>
  <c r="E3" i="8"/>
  <c r="K4" i="8" s="1"/>
  <c r="F3" i="8"/>
  <c r="E4" i="8"/>
  <c r="E5" i="8"/>
  <c r="J8" i="8" s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K8" i="8" s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H5" i="6" s="1"/>
  <c r="C17" i="6"/>
  <c r="F14" i="6" s="1"/>
  <c r="F5" i="6"/>
  <c r="E6" i="6"/>
  <c r="E9" i="6"/>
  <c r="F9" i="6"/>
  <c r="H9" i="6"/>
  <c r="F10" i="6"/>
  <c r="E12" i="6"/>
  <c r="H12" i="6" s="1"/>
  <c r="F12" i="6"/>
  <c r="F13" i="6"/>
  <c r="F15" i="6"/>
  <c r="H19" i="6"/>
  <c r="H23" i="6"/>
  <c r="H24" i="6"/>
  <c r="H22" i="6"/>
  <c r="A4" i="50"/>
  <c r="E4" i="50"/>
  <c r="A5" i="50"/>
  <c r="E5" i="50"/>
  <c r="A6" i="50"/>
  <c r="A7" i="50" s="1"/>
  <c r="A8" i="50" s="1"/>
  <c r="A9" i="50" s="1"/>
  <c r="A10" i="50" s="1"/>
  <c r="A11" i="50" s="1"/>
  <c r="A12" i="50" s="1"/>
  <c r="E6" i="50"/>
  <c r="J6" i="5"/>
  <c r="G14" i="5" s="1"/>
  <c r="L6" i="5"/>
  <c r="G7" i="5"/>
  <c r="G16" i="5" s="1"/>
  <c r="H7" i="5"/>
  <c r="G24" i="5" s="1"/>
  <c r="J7" i="5"/>
  <c r="L7" i="5"/>
  <c r="G8" i="5"/>
  <c r="H8" i="5"/>
  <c r="J8" i="5"/>
  <c r="L8" i="5"/>
  <c r="G9" i="5"/>
  <c r="H9" i="5"/>
  <c r="J9" i="5"/>
  <c r="L9" i="5"/>
  <c r="J10" i="5"/>
  <c r="L10" i="5"/>
  <c r="J11" i="5"/>
  <c r="G13" i="5" s="1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19" i="5"/>
  <c r="G25" i="5"/>
  <c r="G26" i="5"/>
  <c r="C8" i="4"/>
  <c r="C9" i="4"/>
  <c r="D9" i="3"/>
  <c r="E6" i="3" s="1"/>
  <c r="G3" i="68"/>
  <c r="H3" i="68"/>
  <c r="G4" i="68"/>
  <c r="H4" i="68" s="1"/>
  <c r="H10" i="68" s="1"/>
  <c r="G5" i="68"/>
  <c r="H5" i="68" s="1"/>
  <c r="G6" i="68"/>
  <c r="H6" i="68"/>
  <c r="C8" i="68"/>
  <c r="D8" i="68"/>
  <c r="E8" i="68"/>
  <c r="G8" i="68"/>
  <c r="C10" i="68"/>
  <c r="D10" i="68"/>
  <c r="E10" i="68"/>
  <c r="D3" i="51"/>
  <c r="D4" i="51"/>
  <c r="D5" i="51"/>
  <c r="D6" i="51"/>
  <c r="D7" i="51"/>
  <c r="F6" i="1"/>
  <c r="G6" i="1"/>
  <c r="H6" i="1" s="1"/>
  <c r="G7" i="1"/>
  <c r="H7" i="1"/>
  <c r="F7" i="1"/>
  <c r="I7" i="1"/>
  <c r="G8" i="1"/>
  <c r="I11" i="1" s="1"/>
  <c r="H8" i="1"/>
  <c r="I8" i="1" s="1"/>
  <c r="F8" i="1"/>
  <c r="C12" i="2"/>
  <c r="C13" i="2"/>
  <c r="C14" i="2"/>
  <c r="C16" i="2"/>
  <c r="D14" i="2" s="1"/>
  <c r="C24" i="2" s="1"/>
  <c r="D24" i="2" s="1"/>
  <c r="C31" i="2" s="1"/>
  <c r="D13" i="2"/>
  <c r="C23" i="2" s="1"/>
  <c r="D23" i="2" s="1"/>
  <c r="C30" i="2" s="1"/>
  <c r="E36" i="2"/>
  <c r="E37" i="2"/>
  <c r="F36" i="2" s="1"/>
  <c r="E38" i="2"/>
  <c r="F24" i="80" l="1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5" i="53"/>
  <c r="H8" i="68"/>
  <c r="K19" i="63"/>
  <c r="J20" i="63"/>
  <c r="K20" i="63" s="1"/>
  <c r="F6" i="3"/>
  <c r="E18" i="15"/>
  <c r="F18" i="15"/>
  <c r="E7" i="3"/>
  <c r="F7" i="3" s="1"/>
  <c r="G12" i="5"/>
  <c r="E15" i="6"/>
  <c r="H15" i="6" s="1"/>
  <c r="N45" i="17"/>
  <c r="J6" i="53"/>
  <c r="N43" i="17"/>
  <c r="K20" i="18"/>
  <c r="I26" i="36"/>
  <c r="I27" i="36"/>
  <c r="M7" i="36" s="1"/>
  <c r="M18" i="36" s="1"/>
  <c r="M36" i="36" s="1"/>
  <c r="E15" i="40"/>
  <c r="E16" i="40"/>
  <c r="D12" i="2"/>
  <c r="C22" i="2" s="1"/>
  <c r="D22" i="2" s="1"/>
  <c r="C29" i="2" s="1"/>
  <c r="C36" i="2" s="1"/>
  <c r="F4" i="6"/>
  <c r="I43" i="17"/>
  <c r="I49" i="17" s="1"/>
  <c r="C20" i="18"/>
  <c r="E20" i="18" s="1"/>
  <c r="G31" i="53"/>
  <c r="E16" i="15"/>
  <c r="D41" i="46"/>
  <c r="J8" i="14"/>
  <c r="J13" i="14" s="1"/>
  <c r="G48" i="17"/>
  <c r="G50" i="17" s="1"/>
  <c r="N48" i="17"/>
  <c r="F38" i="2"/>
  <c r="G10" i="68"/>
  <c r="G21" i="5"/>
  <c r="E14" i="6"/>
  <c r="H14" i="6" s="1"/>
  <c r="E7" i="6"/>
  <c r="E10" i="6"/>
  <c r="H10" i="6" s="1"/>
  <c r="E4" i="6"/>
  <c r="H4" i="6" s="1"/>
  <c r="E11" i="6"/>
  <c r="E13" i="6"/>
  <c r="H13" i="6" s="1"/>
  <c r="E65" i="7"/>
  <c r="J6" i="52"/>
  <c r="F42" i="15"/>
  <c r="G42" i="15" s="1"/>
  <c r="F46" i="15" s="1"/>
  <c r="E22" i="39"/>
  <c r="E23" i="39" s="1"/>
  <c r="N4" i="39" s="1"/>
  <c r="O6" i="41"/>
  <c r="F37" i="2"/>
  <c r="F40" i="2" s="1"/>
  <c r="F13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H11" i="68"/>
  <c r="N49" i="17"/>
  <c r="N51" i="17" s="1"/>
  <c r="I47" i="17"/>
  <c r="I48" i="17"/>
  <c r="I50" i="17" s="1"/>
  <c r="L8" i="41"/>
  <c r="M8" i="41"/>
  <c r="N8" i="41"/>
  <c r="O8" i="41"/>
  <c r="G20" i="5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5" i="8"/>
  <c r="J5" i="8" s="1"/>
  <c r="J4" i="8"/>
  <c r="T9" i="25"/>
  <c r="I6" i="1"/>
  <c r="F8" i="6"/>
  <c r="I45" i="17"/>
  <c r="I46" i="17" s="1"/>
  <c r="E19" i="38"/>
  <c r="E14" i="38"/>
  <c r="F22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C12" i="51"/>
  <c r="H21" i="6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I10" i="78" l="1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5" i="8"/>
  <c r="H8" i="8"/>
  <c r="H56" i="8"/>
  <c r="H9" i="8"/>
  <c r="H61" i="8"/>
  <c r="H33" i="8"/>
  <c r="H34" i="8"/>
  <c r="H35" i="8"/>
  <c r="H31" i="8"/>
  <c r="H12" i="8"/>
  <c r="H36" i="8"/>
  <c r="H13" i="8"/>
  <c r="H42" i="8"/>
  <c r="H43" i="8"/>
  <c r="H14" i="8"/>
  <c r="H44" i="8"/>
  <c r="H3" i="8"/>
  <c r="H45" i="8"/>
  <c r="H17" i="8"/>
  <c r="H47" i="8"/>
  <c r="H22" i="8"/>
  <c r="H53" i="8"/>
  <c r="H23" i="8"/>
  <c r="H57" i="8"/>
  <c r="H5" i="8"/>
  <c r="H52" i="8"/>
  <c r="H39" i="8"/>
  <c r="H60" i="8"/>
  <c r="H28" i="8"/>
  <c r="H6" i="8"/>
  <c r="H26" i="8"/>
  <c r="H15" i="8"/>
  <c r="H59" i="8"/>
  <c r="H48" i="8"/>
  <c r="H37" i="8"/>
  <c r="H49" i="8"/>
  <c r="H58" i="8"/>
  <c r="H30" i="8"/>
  <c r="H4" i="8"/>
  <c r="H11" i="8"/>
  <c r="H46" i="8"/>
  <c r="H24" i="8"/>
  <c r="H18" i="8"/>
  <c r="H41" i="8"/>
  <c r="H10" i="8"/>
  <c r="H7" i="8"/>
  <c r="H55" i="8"/>
  <c r="H54" i="8"/>
  <c r="H21" i="8"/>
  <c r="H32" i="8"/>
  <c r="H20" i="8"/>
  <c r="H27" i="8"/>
  <c r="H62" i="8"/>
  <c r="H40" i="8"/>
  <c r="H29" i="8"/>
  <c r="H19" i="8"/>
  <c r="H50" i="8"/>
  <c r="H38" i="8"/>
  <c r="H51" i="8"/>
  <c r="H16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C40" i="2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D11" i="3"/>
  <c r="D12" i="3" s="1"/>
  <c r="B19" i="38"/>
  <c r="B14" i="38"/>
  <c r="C37" i="2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D10" i="3"/>
  <c r="F18" i="66"/>
  <c r="I18" i="66"/>
  <c r="B19" i="66"/>
  <c r="F19" i="66" s="1"/>
  <c r="C38" i="2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I10" i="1"/>
  <c r="J6" i="1" s="1"/>
  <c r="B19" i="47"/>
  <c r="C19" i="47"/>
  <c r="F22" i="47" a="1"/>
  <c r="F22" i="47" s="1"/>
  <c r="N46" i="17"/>
  <c r="O50" i="17"/>
  <c r="K18" i="63"/>
  <c r="K21" i="63" s="1"/>
  <c r="J21" i="63"/>
  <c r="E19" i="56"/>
  <c r="J18" i="66" l="1"/>
  <c r="Q34" i="76"/>
  <c r="Q36" i="76" s="1"/>
  <c r="P7" i="38"/>
  <c r="P16" i="38"/>
  <c r="D20" i="38"/>
  <c r="D21" i="38"/>
  <c r="M4" i="38" s="1"/>
  <c r="J11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J8" i="1"/>
  <c r="J7" i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N12" i="38" l="1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<sst xmlns="http://schemas.openxmlformats.org/spreadsheetml/2006/main" count="2590" uniqueCount="1492">
  <si>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</si>
  <si>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</si>
  <si>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</si>
  <si>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</si>
  <si>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</si>
  <si>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</si>
  <si>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</si>
  <si>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</si>
  <si>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</si>
  <si>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</si>
  <si>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</si>
  <si>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</si>
  <si>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</si>
  <si>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</si>
  <si>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</si>
  <si>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</si>
  <si>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</si>
  <si>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</si>
  <si>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</si>
  <si>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</si>
  <si>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</si>
  <si>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</si>
  <si>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</si>
  <si>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</si>
  <si>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</si>
  <si>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</si>
  <si>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</si>
  <si>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</si>
  <si>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</si>
  <si>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</si>
  <si>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</si>
  <si>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</si>
  <si>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</si>
  <si>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</si>
  <si>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</si>
  <si>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</si>
  <si>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</si>
  <si>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</si>
  <si>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</si>
  <si>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</si>
  <si>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</si>
  <si>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</si>
  <si>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</si>
  <si>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</si>
  <si>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</si>
  <si>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</si>
  <si>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</si>
  <si>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</si>
  <si>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</si>
  <si>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</si>
  <si>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</si>
  <si>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</si>
  <si>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</si>
  <si>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</si>
  <si>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</si>
  <si>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</si>
  <si>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</si>
  <si>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</si>
  <si>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</si>
  <si>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</si>
  <si>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</si>
  <si>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</si>
  <si>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</si>
  <si>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</si>
  <si>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</si>
  <si>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</si>
  <si>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</si>
  <si>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</si>
  <si>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</si>
  <si>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</si>
  <si>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</si>
  <si>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</si>
  <si>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</si>
  <si>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</si>
  <si>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</si>
  <si>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</si>
  <si>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</si>
  <si>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</si>
  <si>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</si>
  <si>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</si>
  <si>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</si>
  <si>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</si>
  <si>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</si>
  <si>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</si>
  <si>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</si>
  <si>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</si>
  <si>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</si>
  <si>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</si>
  <si>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</si>
  <si>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</si>
  <si>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</si>
  <si>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</si>
  <si>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</si>
  <si>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</si>
  <si>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</si>
  <si>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</si>
  <si>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</si>
  <si>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</si>
  <si>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</si>
  <si>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</si>
  <si>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</si>
  <si>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</si>
  <si>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</si>
  <si>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</si>
  <si>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</si>
  <si>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</si>
  <si>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</si>
  <si>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</si>
  <si>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</si>
  <si>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</si>
  <si>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</si>
  <si>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</si>
  <si>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</si>
  <si>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</si>
  <si>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</si>
  <si>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</si>
  <si>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</si>
  <si>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</si>
  <si>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</si>
  <si>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</si>
  <si>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</si>
  <si>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</si>
  <si>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</si>
  <si>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</si>
  <si>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</si>
  <si>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</si>
  <si>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</si>
  <si>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</si>
  <si>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</si>
  <si>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</si>
  <si>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</si>
  <si>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</si>
  <si>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</si>
  <si>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</si>
  <si>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</si>
  <si>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</si>
  <si>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</si>
  <si>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</si>
  <si>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</si>
  <si>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</si>
  <si>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</si>
  <si>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</si>
  <si>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</si>
  <si>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</si>
  <si>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</si>
  <si>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</si>
  <si>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</si>
  <si>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</si>
  <si>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</si>
  <si>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</si>
  <si>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</si>
  <si>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</si>
  <si>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</si>
  <si>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</si>
  <si>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</si>
  <si>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</si>
  <si>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</si>
  <si>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</si>
  <si>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</si>
  <si>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</si>
  <si>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</si>
  <si>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</si>
  <si>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</si>
  <si>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</si>
  <si>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</si>
  <si>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</si>
  <si>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</si>
  <si>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</si>
  <si>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</si>
  <si>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</si>
  <si>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</si>
  <si>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</si>
  <si>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</si>
  <si>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</si>
  <si>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</si>
  <si>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</si>
  <si>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</si>
  <si>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</si>
  <si>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</si>
  <si>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</si>
  <si>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</si>
  <si>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</si>
  <si>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</si>
  <si>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</si>
  <si>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</si>
  <si>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</si>
  <si>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</si>
  <si>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</si>
  <si>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</si>
  <si>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</si>
  <si>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</si>
  <si>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</si>
  <si>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</si>
  <si>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</si>
  <si>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</si>
  <si>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</si>
  <si>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</si>
  <si>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</si>
  <si>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</si>
  <si>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</si>
  <si>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</si>
  <si>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</si>
  <si>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</si>
  <si>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</si>
  <si>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</si>
  <si>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</si>
  <si>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</si>
  <si>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</si>
  <si>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</si>
  <si>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</si>
  <si>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</si>
  <si>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</si>
  <si>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</si>
  <si>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</si>
  <si>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</si>
  <si>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</si>
  <si>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</si>
  <si>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</si>
  <si>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</si>
  <si>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</si>
  <si>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</si>
  <si>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</si>
  <si>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</si>
  <si>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</si>
  <si>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</si>
  <si>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</si>
  <si>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</si>
  <si>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</si>
  <si>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</si>
  <si>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</si>
  <si>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</si>
  <si>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</si>
  <si>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</si>
  <si>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</si>
  <si>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</si>
  <si>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</si>
  <si>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</si>
  <si>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</si>
  <si>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</si>
  <si>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</si>
  <si>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</si>
  <si>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</si>
  <si>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</si>
  <si>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</si>
  <si>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</si>
  <si>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</si>
  <si>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</si>
  <si>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</si>
  <si>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</si>
  <si>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</si>
  <si>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</si>
  <si>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</si>
  <si>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</si>
  <si>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</si>
  <si>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</si>
  <si>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</si>
  <si>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</si>
  <si>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</si>
  <si>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</si>
  <si>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</si>
  <si>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</si>
  <si>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</si>
  <si>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</si>
  <si>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</si>
  <si>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</si>
  <si>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</si>
  <si>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</si>
  <si>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</si>
  <si>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</si>
  <si>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</si>
  <si>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</si>
  <si>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</si>
  <si>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</si>
  <si>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</si>
  <si>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</si>
  <si>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</si>
  <si>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</si>
  <si>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</si>
  <si>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</si>
  <si>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</si>
  <si>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</si>
  <si>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</si>
  <si>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</si>
  <si>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</si>
  <si>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</si>
  <si>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</si>
  <si>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</si>
  <si>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</si>
  <si>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</si>
  <si>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</si>
  <si>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</si>
  <si>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</si>
  <si>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</si>
  <si>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</si>
  <si>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</si>
  <si>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</si>
  <si>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</si>
  <si>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</si>
  <si>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</si>
  <si>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</si>
  <si>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</si>
  <si>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</si>
  <si>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</si>
  <si>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</si>
  <si>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</si>
  <si>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</si>
  <si>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</si>
  <si>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</si>
  <si>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</si>
  <si>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</si>
  <si>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</si>
  <si>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</si>
  <si>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</si>
  <si>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</si>
  <si>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</si>
  <si>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</si>
  <si>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</si>
  <si>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</si>
  <si>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</si>
  <si>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</si>
  <si>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</si>
  <si>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</si>
  <si>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</si>
  <si>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</si>
  <si>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</si>
  <si>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</si>
  <si>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</si>
  <si>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</si>
  <si>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</si>
  <si>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</si>
  <si>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</si>
  <si>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</si>
  <si>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</si>
  <si>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</si>
  <si>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</si>
  <si>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</si>
  <si>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</si>
  <si>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</si>
  <si>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</si>
  <si>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</si>
  <si>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</si>
  <si>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</si>
  <si>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</si>
  <si>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</si>
  <si>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</si>
  <si>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</si>
  <si>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</si>
  <si>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</si>
  <si>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</si>
  <si>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</si>
  <si>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</si>
  <si>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</si>
  <si>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</si>
  <si>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</si>
  <si>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</si>
  <si>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</si>
  <si>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</si>
  <si>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</si>
  <si>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</si>
  <si>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</si>
  <si>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</si>
  <si>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</si>
  <si>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</si>
  <si>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</si>
  <si>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</si>
  <si>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</si>
  <si>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</si>
  <si>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</si>
  <si>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</si>
  <si>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</si>
  <si>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</si>
  <si>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</si>
  <si>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</si>
  <si>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</si>
  <si>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</si>
  <si>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</si>
  <si>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</si>
  <si>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</si>
  <si>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</si>
  <si>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</si>
  <si>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</si>
  <si>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</si>
  <si>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</si>
  <si>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</si>
  <si>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</si>
  <si>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</si>
  <si>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</si>
  <si>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</si>
  <si>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</si>
  <si>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</si>
  <si>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</si>
  <si>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</si>
  <si>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</si>
  <si>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</si>
  <si>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</si>
  <si>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</si>
  <si>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</si>
  <si>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</si>
  <si>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</si>
  <si>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</si>
  <si>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</si>
  <si>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</si>
  <si>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</si>
  <si>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</si>
  <si>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</si>
  <si>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</si>
  <si>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</si>
  <si>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</si>
  <si>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</si>
  <si>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</si>
  <si>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</si>
  <si>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</si>
  <si>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</si>
  <si>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</si>
  <si>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</si>
  <si>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</si>
  <si>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</si>
  <si>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</si>
  <si>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</si>
  <si>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</si>
  <si>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</si>
  <si>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</si>
  <si>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</si>
  <si>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</si>
  <si>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</si>
  <si>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</si>
  <si>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</si>
  <si>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</si>
  <si>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</si>
  <si>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</si>
  <si>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</si>
  <si>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</si>
  <si>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</si>
  <si>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</si>
  <si>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</si>
  <si>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</si>
  <si>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</si>
  <si>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</si>
  <si>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</si>
  <si>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</si>
  <si>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</si>
  <si>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</si>
  <si>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</si>
  <si>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</si>
  <si>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</si>
  <si>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</si>
  <si>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</si>
  <si>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</si>
  <si>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</si>
  <si>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</si>
  <si>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</si>
  <si>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</si>
  <si>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</si>
  <si>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</si>
  <si>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</si>
  <si>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</si>
  <si>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</si>
  <si>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</si>
  <si>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</si>
  <si>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</si>
  <si>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</si>
  <si>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</si>
  <si>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</si>
  <si>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</si>
  <si>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</si>
  <si>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</si>
  <si>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</si>
  <si>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</si>
  <si>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</si>
  <si>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</si>
  <si>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</si>
  <si>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</si>
  <si>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</si>
  <si>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</si>
  <si>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</si>
  <si>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</si>
  <si>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</si>
  <si>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</si>
  <si>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</si>
  <si>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</si>
  <si>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</si>
  <si>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</si>
  <si>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</si>
  <si>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</si>
  <si>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</si>
  <si>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</si>
  <si>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</si>
  <si>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</si>
  <si>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</si>
  <si>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</si>
  <si>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</si>
  <si>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</si>
  <si>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</si>
  <si>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</si>
  <si>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</si>
  <si>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</si>
  <si>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</si>
  <si>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</si>
  <si>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</si>
  <si>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</si>
  <si>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</si>
  <si>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</si>
  <si>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</si>
  <si>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</si>
  <si>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</si>
  <si>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</si>
  <si>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</si>
  <si>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</si>
  <si>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</si>
  <si>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</si>
  <si>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</si>
  <si>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</si>
  <si>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</si>
  <si>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</si>
  <si>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</si>
  <si>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</si>
  <si>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</si>
  <si>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</si>
  <si>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</si>
  <si>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</si>
  <si>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</si>
  <si>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</si>
  <si>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</si>
  <si>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</si>
  <si>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</si>
  <si>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</si>
  <si>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</si>
  <si>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</si>
  <si>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</si>
  <si>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</si>
  <si>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</si>
  <si>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</si>
  <si>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</si>
  <si>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</si>
  <si>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</si>
  <si>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</si>
  <si>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</si>
  <si>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</si>
  <si>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</si>
  <si>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</si>
  <si>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</si>
  <si>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</si>
  <si>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</si>
  <si>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</si>
  <si>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</si>
  <si>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</si>
  <si>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</si>
  <si>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</si>
  <si>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</si>
  <si>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</si>
  <si>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</si>
  <si>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</si>
  <si>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</si>
  <si>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</si>
  <si>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</si>
  <si>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</si>
  <si>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</si>
  <si>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</si>
  <si>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</si>
  <si>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</si>
  <si>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</si>
  <si>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</si>
  <si>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</si>
  <si>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</si>
  <si>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</si>
  <si>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</si>
  <si>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</si>
  <si>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</si>
  <si>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</si>
  <si>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</si>
  <si>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</si>
  <si>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</si>
  <si>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</si>
  <si>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</si>
  <si>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</si>
  <si>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</si>
  <si>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</si>
  <si>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</si>
  <si>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</si>
  <si>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</si>
  <si>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</si>
  <si>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</si>
  <si>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</si>
  <si>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</si>
  <si>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</si>
  <si>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</si>
  <si>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</si>
  <si>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</si>
  <si>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</si>
  <si>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</si>
  <si>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</si>
  <si>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</si>
  <si>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</si>
  <si>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</si>
  <si>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</si>
  <si>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</si>
  <si>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</si>
  <si>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</si>
  <si>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</si>
  <si>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</si>
  <si>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</si>
  <si>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</si>
  <si>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</si>
  <si>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</si>
  <si>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Fund Weight</t>
  </si>
  <si>
    <t>Benchmark Weight</t>
  </si>
  <si>
    <t>Active Weight</t>
  </si>
  <si>
    <t>Asset 1</t>
  </si>
  <si>
    <t>Asset 2</t>
  </si>
  <si>
    <t>Asset 3</t>
  </si>
  <si>
    <t>Asset 4</t>
  </si>
  <si>
    <t>Asset 5</t>
  </si>
  <si>
    <t>benchmark return</t>
  </si>
  <si>
    <t>active return</t>
  </si>
  <si>
    <t>portfolio return (direct )</t>
  </si>
  <si>
    <t>portfolio return (indirect )</t>
  </si>
  <si>
    <t>Small/Value</t>
  </si>
  <si>
    <t>Small/Growth</t>
  </si>
  <si>
    <t>Large/Growth</t>
  </si>
  <si>
    <t>Active 1</t>
  </si>
  <si>
    <t>Active 2</t>
  </si>
  <si>
    <t>Total Active</t>
  </si>
  <si>
    <t>Direct Approach</t>
  </si>
  <si>
    <t>Indirect Approach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</si>
  <si>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</si>
  <si>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</si>
  <si>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</si>
  <si>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</si>
  <si>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</si>
  <si>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</si>
  <si>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</si>
  <si>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</si>
  <si>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</si>
  <si>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</si>
  <si>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</si>
  <si>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</si>
  <si>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</si>
  <si>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</si>
  <si>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</si>
  <si>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</si>
  <si>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</si>
  <si>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</si>
  <si>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</si>
  <si>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</si>
  <si>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</si>
  <si>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</si>
  <si>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</si>
  <si>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</si>
  <si>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</si>
  <si>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</si>
  <si>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</si>
  <si>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</si>
  <si>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</si>
  <si>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</si>
  <si>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</si>
  <si>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</si>
  <si>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</si>
  <si>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</si>
  <si>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</si>
  <si>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</si>
  <si>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</si>
  <si>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</si>
  <si>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</si>
  <si>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</si>
  <si>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</si>
  <si>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</si>
  <si>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</si>
  <si>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</si>
  <si>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</si>
  <si>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</si>
  <si>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</si>
  <si>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</si>
  <si>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</si>
  <si>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</si>
  <si>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</si>
  <si>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</si>
  <si>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</si>
  <si>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</si>
  <si>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</si>
  <si>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</si>
  <si>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</si>
  <si>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</si>
  <si>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</si>
  <si>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</si>
  <si>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</si>
  <si>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</si>
  <si>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</si>
  <si>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</si>
  <si>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</si>
  <si>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</si>
  <si>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</si>
  <si>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</si>
  <si>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</si>
  <si>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</si>
  <si>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</si>
  <si>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</si>
  <si>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</si>
  <si>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</si>
  <si>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</si>
  <si>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</si>
  <si>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</si>
  <si>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</si>
  <si>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</si>
  <si>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</si>
  <si>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</si>
  <si>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</si>
  <si>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</si>
  <si>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</si>
  <si>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</si>
  <si>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</si>
  <si>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</si>
  <si>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</si>
  <si>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</si>
  <si>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</si>
  <si>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</si>
  <si>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</si>
  <si>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</si>
  <si>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</si>
  <si>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</si>
  <si>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</si>
  <si>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</si>
  <si>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</si>
  <si>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</si>
  <si>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</si>
  <si>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</si>
  <si>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</si>
  <si>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</si>
  <si>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</si>
  <si>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</si>
  <si>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</si>
  <si>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</si>
  <si>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</si>
  <si>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</si>
  <si>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</si>
  <si>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</si>
  <si>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</si>
  <si>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</si>
  <si>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</si>
  <si>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</si>
  <si>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</si>
  <si>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</si>
  <si>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</si>
  <si>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</si>
  <si>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</si>
  <si>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</si>
  <si>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</si>
  <si>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</si>
  <si>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</si>
  <si>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</si>
  <si>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</si>
  <si>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</si>
  <si>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</si>
  <si>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</si>
  <si>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</si>
  <si>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</si>
  <si>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</si>
  <si>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</si>
  <si>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</si>
  <si>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</si>
  <si>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</si>
  <si>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</si>
  <si>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</si>
  <si>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</si>
  <si>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</si>
  <si>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</si>
  <si>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</si>
  <si>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</si>
  <si>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</si>
  <si>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</si>
  <si>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</si>
  <si>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</si>
  <si>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</si>
  <si>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</si>
  <si>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</si>
  <si>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</si>
  <si>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</si>
  <si>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</si>
  <si>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</si>
  <si>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</si>
  <si>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</si>
  <si>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</si>
  <si>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</si>
  <si>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</si>
  <si>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</si>
  <si>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</si>
  <si>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</si>
  <si>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</si>
  <si>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</si>
  <si>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</si>
  <si>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</si>
  <si>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</si>
  <si>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</si>
  <si>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</si>
  <si>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</si>
  <si>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</si>
  <si>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</si>
  <si>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</si>
  <si>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</si>
  <si>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</si>
  <si>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</si>
  <si>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</si>
  <si>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</si>
  <si>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</si>
  <si>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</si>
  <si>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</si>
  <si>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</si>
  <si>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</si>
  <si>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</si>
  <si>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</si>
  <si>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</si>
  <si>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</si>
  <si>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</si>
  <si>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</si>
  <si>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</si>
  <si>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</si>
  <si>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</si>
  <si>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</si>
  <si>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</si>
  <si>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</si>
  <si>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</si>
  <si>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</si>
  <si>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</si>
  <si>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</si>
  <si>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</si>
  <si>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</si>
  <si>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</si>
  <si>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Portfolio_Return</t>
  </si>
  <si>
    <t>Benchmark_Return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</si>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</sst>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36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80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/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64" fontId="33" fillId="0" borderId="0" xfId="0" applyNumberFormat="1" applyFont="1"/>
    <xf numFmtId="164" fontId="2" fillId="0" borderId="0" xfId="0" applyNumberFormat="1" applyFont="1" applyAlignme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0" fontId="35" fillId="6" borderId="0" xfId="0" applyFont="1" applyFill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'9-Lakers'!$C$5:$C$55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'9-Lakers'!$D$5:$D$55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5703125" bestFit="1" customWidth="1"/>
    <col min="12" max="12" width="11.5703125" bestFit="1" customWidth="1"/>
  </cols>
  <sheetData>
    <row r="1" spans="1:6">
      <c r="B1" s="44"/>
      <c r="C1" s="44"/>
      <c r="D1" s="44"/>
      <c r="E1" s="44"/>
      <c r="F1" s="44"/>
    </row>
    <row r="2" spans="1:6">
      <c r="C2" s="247" t="s">
        <v>13</v>
      </c>
      <c r="D2" s="248"/>
      <c r="E2" s="247" t="s">
        <v>14</v>
      </c>
      <c r="F2" s="248"/>
    </row>
    <row r="3" spans="1:6">
      <c r="B3" s="44"/>
      <c r="C3" s="45" t="s">
        <v>15</v>
      </c>
      <c r="D3" s="45" t="s">
        <v>16</v>
      </c>
      <c r="E3" s="45" t="s">
        <v>15</v>
      </c>
      <c r="F3" s="45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5" t="s">
        <v>10</v>
      </c>
      <c r="C6" s="45">
        <v>33</v>
      </c>
      <c r="D6" s="45">
        <v>200</v>
      </c>
      <c r="E6" s="45">
        <v>35</v>
      </c>
      <c r="F6" s="45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6"/>
    </row>
    <row r="26" spans="2:12">
      <c r="L26" s="46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0">
        <f>C29/SUM($C$29:$C$31)</f>
        <v>0.65948275862068961</v>
      </c>
      <c r="E36">
        <f>F4*E4</f>
        <v>30600</v>
      </c>
      <c r="F36" s="40">
        <f>E36/SUM($E$36:$E$38)</f>
        <v>0.65948275862068961</v>
      </c>
    </row>
    <row r="37" spans="2:6">
      <c r="B37" t="s">
        <v>9</v>
      </c>
      <c r="C37" s="40">
        <f>C30/SUM($C$29:$C$31)</f>
        <v>0.18965517241379307</v>
      </c>
      <c r="E37">
        <f>F5*E5</f>
        <v>8800</v>
      </c>
      <c r="F37" s="40">
        <f>E37/SUM($E$36:$E$38)</f>
        <v>0.18965517241379309</v>
      </c>
    </row>
    <row r="38" spans="2:6">
      <c r="B38" t="s">
        <v>10</v>
      </c>
      <c r="C38" s="40">
        <f>C31/SUM($C$29:$C$31)</f>
        <v>0.15086206896551724</v>
      </c>
      <c r="E38">
        <f>F6*E6</f>
        <v>7000</v>
      </c>
      <c r="F38" s="40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59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59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59">
        <f>H8*(1+F8)</f>
        <v>353.53535353535352</v>
      </c>
      <c r="J8" s="6">
        <f>I8/$I$10</f>
        <v>0.36238232529986142</v>
      </c>
    </row>
    <row r="10" spans="3:10">
      <c r="G10" s="61" t="s">
        <v>11</v>
      </c>
      <c r="H10" s="2">
        <v>1000</v>
      </c>
      <c r="I10" s="158">
        <f>SUM(I6:I8)</f>
        <v>975.58663558663557</v>
      </c>
    </row>
    <row r="11" spans="3:10">
      <c r="F11" t="s">
        <v>12</v>
      </c>
      <c r="I11" s="160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2:E12"/>
  <sheetViews>
    <sheetView workbookViewId="0">
      <selection activeCell="C12" sqref="C12"/>
    </sheetView>
  </sheetViews>
  <sheetFormatPr defaultRowHeight="15"/>
  <cols>
    <col min="2" max="2" width="14.5703125" customWidth="1"/>
    <col min="3" max="3" width="10.85546875" customWidth="1"/>
    <col min="4" max="4" width="13.5703125" bestFit="1" customWidth="1"/>
    <col min="7" max="7" width="13.42578125" bestFit="1" customWidth="1"/>
  </cols>
  <sheetData>
    <row r="2" spans="1:5">
      <c r="A2" t="s">
        <v>603</v>
      </c>
      <c r="B2" s="1" t="s">
        <v>604</v>
      </c>
      <c r="C2" s="1" t="s">
        <v>605</v>
      </c>
      <c r="D2" s="1" t="s">
        <v>606</v>
      </c>
      <c r="E2" s="1" t="s">
        <v>245</v>
      </c>
    </row>
    <row r="3" spans="1:5">
      <c r="A3" t="s">
        <v>607</v>
      </c>
      <c r="B3" s="190">
        <v>0</v>
      </c>
      <c r="C3" s="190">
        <v>0.2</v>
      </c>
      <c r="D3" s="190">
        <f>B3-C3</f>
        <v>-0.2</v>
      </c>
      <c r="E3" s="190">
        <v>0.05</v>
      </c>
    </row>
    <row r="4" spans="1:5">
      <c r="A4" t="s">
        <v>608</v>
      </c>
      <c r="B4" s="190">
        <v>0.45</v>
      </c>
      <c r="C4" s="190">
        <v>0.4</v>
      </c>
      <c r="D4" s="190">
        <f t="shared" ref="D4:D7" si="0">B4-C4</f>
        <v>4.9999999999999989E-2</v>
      </c>
      <c r="E4" s="190">
        <v>-0.08</v>
      </c>
    </row>
    <row r="5" spans="1:5">
      <c r="A5" t="s">
        <v>609</v>
      </c>
      <c r="B5" s="190">
        <v>0.4</v>
      </c>
      <c r="C5" s="190">
        <v>0.1</v>
      </c>
      <c r="D5" s="190">
        <f t="shared" si="0"/>
        <v>0.30000000000000004</v>
      </c>
      <c r="E5" s="190">
        <v>0.2</v>
      </c>
    </row>
    <row r="6" spans="1:5">
      <c r="A6" t="s">
        <v>610</v>
      </c>
      <c r="B6" s="190">
        <v>-0.1</v>
      </c>
      <c r="C6" s="190">
        <v>0.3</v>
      </c>
      <c r="D6" s="190">
        <f t="shared" si="0"/>
        <v>-0.4</v>
      </c>
      <c r="E6" s="190">
        <v>0.17</v>
      </c>
    </row>
    <row r="7" spans="1:5">
      <c r="A7" t="s">
        <v>611</v>
      </c>
      <c r="B7" s="190">
        <v>0.2</v>
      </c>
      <c r="C7" s="190">
        <v>0</v>
      </c>
      <c r="D7" s="190">
        <f t="shared" si="0"/>
        <v>0.2</v>
      </c>
      <c r="E7" s="190">
        <v>0.02</v>
      </c>
    </row>
    <row r="8" spans="1:5">
      <c r="B8" s="190"/>
      <c r="C8" s="190"/>
      <c r="D8" s="190"/>
    </row>
    <row r="9" spans="1:5">
      <c r="A9" s="1" t="s">
        <v>614</v>
      </c>
      <c r="C9">
        <f>SUMPRODUCT(B3:B7,E3:E7)</f>
        <v>3.100000000000001E-2</v>
      </c>
    </row>
    <row r="10" spans="1:5">
      <c r="A10" t="s">
        <v>612</v>
      </c>
      <c r="C10">
        <f>SUMPRODUCT(C3:C7,E3:E7)</f>
        <v>4.9000000000000009E-2</v>
      </c>
    </row>
    <row r="11" spans="1:5">
      <c r="A11" t="s">
        <v>613</v>
      </c>
      <c r="C11">
        <f>SUMPRODUCT(D3:D7,E3:E7)</f>
        <v>-1.7999999999999992E-2</v>
      </c>
    </row>
    <row r="12" spans="1:5">
      <c r="A12" s="1" t="s">
        <v>615</v>
      </c>
      <c r="C12">
        <f>C10+C11</f>
        <v>3.1000000000000017E-2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J11"/>
  <sheetViews>
    <sheetView workbookViewId="0">
      <selection activeCell="H18" sqref="H18"/>
    </sheetView>
  </sheetViews>
  <sheetFormatPr defaultRowHeight="15"/>
  <cols>
    <col min="1" max="1" width="7.85546875" bestFit="1" customWidth="1"/>
    <col min="2" max="2" width="13.42578125" customWidth="1"/>
    <col min="3" max="3" width="10.85546875" bestFit="1" customWidth="1"/>
    <col min="4" max="5" width="8" bestFit="1" customWidth="1"/>
    <col min="6" max="6" width="2.85546875" customWidth="1"/>
    <col min="7" max="7" width="11.42578125" bestFit="1" customWidth="1"/>
    <col min="9" max="9" width="4" customWidth="1"/>
  </cols>
  <sheetData>
    <row r="1" spans="1:10">
      <c r="C1" s="249" t="s">
        <v>478</v>
      </c>
      <c r="D1" s="249"/>
      <c r="E1" s="249"/>
      <c r="F1" s="249"/>
      <c r="G1" s="249"/>
      <c r="H1" s="249"/>
      <c r="J1" s="56" t="s">
        <v>246</v>
      </c>
    </row>
    <row r="2" spans="1:10">
      <c r="A2" s="1" t="s">
        <v>603</v>
      </c>
      <c r="B2" s="1" t="s">
        <v>625</v>
      </c>
      <c r="C2" s="1" t="s">
        <v>206</v>
      </c>
      <c r="D2" s="1" t="s">
        <v>619</v>
      </c>
      <c r="E2" s="1" t="s">
        <v>620</v>
      </c>
      <c r="F2" s="1"/>
      <c r="G2" s="1" t="s">
        <v>621</v>
      </c>
      <c r="H2" s="1" t="s">
        <v>527</v>
      </c>
    </row>
    <row r="3" spans="1:10">
      <c r="A3" s="4">
        <v>1</v>
      </c>
      <c r="B3" t="s">
        <v>616</v>
      </c>
      <c r="C3" s="190">
        <v>0.15</v>
      </c>
      <c r="D3" s="190">
        <v>0.1</v>
      </c>
      <c r="E3" s="191">
        <v>0.11</v>
      </c>
      <c r="F3" s="190"/>
      <c r="G3" s="190">
        <f>D3+E3</f>
        <v>0.21000000000000002</v>
      </c>
      <c r="H3" s="190">
        <f>C3+G3</f>
        <v>0.36</v>
      </c>
      <c r="J3">
        <v>0.25</v>
      </c>
    </row>
    <row r="4" spans="1:10">
      <c r="A4" s="4">
        <v>2</v>
      </c>
      <c r="B4" t="s">
        <v>617</v>
      </c>
      <c r="C4" s="190">
        <v>0.1</v>
      </c>
      <c r="D4" s="190">
        <v>7.0000000000000007E-2</v>
      </c>
      <c r="E4" s="190">
        <v>-0.06</v>
      </c>
      <c r="F4" s="190"/>
      <c r="G4" s="190">
        <f t="shared" ref="G4:G6" si="0">D4+E4</f>
        <v>1.0000000000000009E-2</v>
      </c>
      <c r="H4" s="190">
        <f t="shared" ref="H4:H6" si="1">C4+G4</f>
        <v>0.11000000000000001</v>
      </c>
      <c r="J4">
        <v>0.05</v>
      </c>
    </row>
    <row r="5" spans="1:10">
      <c r="A5" s="4">
        <v>3</v>
      </c>
      <c r="B5" t="s">
        <v>624</v>
      </c>
      <c r="C5" s="190">
        <v>0.45</v>
      </c>
      <c r="D5" s="190">
        <v>-0.11</v>
      </c>
      <c r="E5" s="191">
        <v>0.04</v>
      </c>
      <c r="F5" s="190"/>
      <c r="G5" s="190">
        <f t="shared" si="0"/>
        <v>-7.0000000000000007E-2</v>
      </c>
      <c r="H5" s="190">
        <f t="shared" si="1"/>
        <v>0.38</v>
      </c>
      <c r="J5">
        <v>0.3</v>
      </c>
    </row>
    <row r="6" spans="1:10">
      <c r="A6" s="4">
        <v>4</v>
      </c>
      <c r="B6" t="s">
        <v>618</v>
      </c>
      <c r="C6" s="190">
        <v>0.3</v>
      </c>
      <c r="D6" s="190">
        <v>-0.06</v>
      </c>
      <c r="E6" s="190">
        <v>-0.09</v>
      </c>
      <c r="F6" s="190"/>
      <c r="G6" s="190">
        <f t="shared" si="0"/>
        <v>-0.15</v>
      </c>
      <c r="H6" s="190">
        <f t="shared" si="1"/>
        <v>0.15</v>
      </c>
      <c r="J6">
        <v>-0.02</v>
      </c>
    </row>
    <row r="7" spans="1:10">
      <c r="C7" s="190"/>
      <c r="D7" s="190"/>
      <c r="F7" s="190"/>
    </row>
    <row r="8" spans="1:10">
      <c r="A8" t="s">
        <v>20</v>
      </c>
      <c r="C8" s="190">
        <f>SUM(C3:C6)</f>
        <v>1</v>
      </c>
      <c r="D8" s="190">
        <f>SUM(D3:D6)</f>
        <v>0</v>
      </c>
      <c r="E8" s="190">
        <f>SUM(E3:E6)</f>
        <v>0</v>
      </c>
      <c r="G8" s="190">
        <f>SUM(G3:G6)</f>
        <v>0</v>
      </c>
      <c r="H8" s="190">
        <f>SUM(H3:H6)</f>
        <v>1</v>
      </c>
    </row>
    <row r="10" spans="1:10">
      <c r="A10" s="1" t="s">
        <v>246</v>
      </c>
      <c r="B10" s="1"/>
      <c r="C10" s="199">
        <f>SUMPRODUCT(C3:C6,J3:J6)</f>
        <v>0.17149999999999999</v>
      </c>
      <c r="D10" s="199">
        <f>SUMPRODUCT(D3:D6,J3:J6)</f>
        <v>-3.3000000000000008E-3</v>
      </c>
      <c r="E10" s="199">
        <f>SUMPRODUCT(E3:E6,J3:J6)</f>
        <v>3.8300000000000008E-2</v>
      </c>
      <c r="G10" s="199">
        <f>SUMPRODUCT(G3:G6,J3:J6)</f>
        <v>3.5000000000000003E-2</v>
      </c>
      <c r="H10" s="199">
        <f>SUMPRODUCT(H3:H6,J3:J6)</f>
        <v>0.20649999999999999</v>
      </c>
      <c r="I10" t="s">
        <v>622</v>
      </c>
    </row>
    <row r="11" spans="1:10">
      <c r="H11" s="199">
        <f>SUM(C10:E10)</f>
        <v>0.20649999999999999</v>
      </c>
      <c r="I11" t="s">
        <v>623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61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65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65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65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65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65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65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65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65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65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65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65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65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65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65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65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65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65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65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65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65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65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65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65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65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65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65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65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65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65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65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65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65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65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65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65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65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65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65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65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65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65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65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65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65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65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65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65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65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65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65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65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65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65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65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65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65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65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65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65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425781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520</v>
      </c>
    </row>
    <row r="2" spans="1:5">
      <c r="B2" t="s">
        <v>517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518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519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472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42578125" customWidth="1"/>
    <col min="3" max="3" width="10.42578125" bestFit="1" customWidth="1"/>
    <col min="7" max="7" width="17.5703125" customWidth="1"/>
  </cols>
  <sheetData>
    <row r="2" spans="1:8">
      <c r="E2" s="247" t="s">
        <v>60</v>
      </c>
      <c r="F2" s="248"/>
      <c r="H2" t="s">
        <v>61</v>
      </c>
    </row>
    <row r="3" spans="1:8">
      <c r="A3" t="s">
        <v>244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3">
        <v>44225</v>
      </c>
      <c r="B4" s="29">
        <v>2.66491685871066E-2</v>
      </c>
      <c r="C4" s="29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3">
        <v>44253</v>
      </c>
      <c r="B5" s="29">
        <v>-7.9993111119980503E-2</v>
      </c>
      <c r="C5" s="29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3">
        <v>44286</v>
      </c>
      <c r="B6" s="29">
        <v>0.12781874616733399</v>
      </c>
      <c r="C6" s="29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3">
        <v>44316</v>
      </c>
      <c r="B7" s="29">
        <v>4.30954365242011E-2</v>
      </c>
      <c r="C7" s="29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3">
        <v>44344</v>
      </c>
      <c r="B8" s="29">
        <v>4.9127124826307102E-3</v>
      </c>
      <c r="C8" s="29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3">
        <v>44377</v>
      </c>
      <c r="B9" s="29">
        <v>-1.49670290589293E-2</v>
      </c>
      <c r="C9" s="29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3">
        <v>44407</v>
      </c>
      <c r="B10" s="29">
        <v>6.4728517382665898E-2</v>
      </c>
      <c r="C10" s="29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3">
        <v>44439</v>
      </c>
      <c r="B11" s="29">
        <v>4.9579659557048199E-3</v>
      </c>
      <c r="C11" s="29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3">
        <v>44469</v>
      </c>
      <c r="B12" s="29">
        <v>-6.7552166575601202E-2</v>
      </c>
      <c r="C12" s="29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3">
        <v>44498</v>
      </c>
      <c r="B13" s="29">
        <v>4.5291651401516399E-2</v>
      </c>
      <c r="C13" s="29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3">
        <v>44530</v>
      </c>
      <c r="B14" s="29">
        <v>-3.9738062631339097E-2</v>
      </c>
      <c r="C14" s="29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3">
        <v>44560</v>
      </c>
      <c r="B15" s="29">
        <v>8.0197903391152098E-2</v>
      </c>
      <c r="C15" s="29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29">
        <f>AVERAGE(B4:B15)</f>
        <v>1.6283477708871796E-2</v>
      </c>
      <c r="C17" s="29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5703125" bestFit="1" customWidth="1"/>
  </cols>
  <sheetData>
    <row r="1" spans="1:5">
      <c r="E1" t="s">
        <v>73</v>
      </c>
    </row>
    <row r="2" spans="1:5">
      <c r="B2" t="s">
        <v>527</v>
      </c>
      <c r="C2" t="s">
        <v>74</v>
      </c>
      <c r="E2" t="s">
        <v>45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529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5"/>
  <sheetData>
    <row r="4" spans="2:5">
      <c r="B4" s="1" t="s">
        <v>527</v>
      </c>
      <c r="C4" s="1" t="s">
        <v>247</v>
      </c>
    </row>
    <row r="5" spans="2:5">
      <c r="B5" s="1" t="s">
        <v>41</v>
      </c>
      <c r="C5" s="1" t="s">
        <v>41</v>
      </c>
      <c r="D5" s="1" t="s">
        <v>526</v>
      </c>
      <c r="E5" s="1" t="s">
        <v>528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50" t="s">
        <v>478</v>
      </c>
      <c r="C8" s="250"/>
      <c r="D8" s="1" t="s">
        <v>45</v>
      </c>
    </row>
    <row r="9" spans="2:5">
      <c r="B9" s="3" t="s">
        <v>8</v>
      </c>
      <c r="C9" s="3" t="s">
        <v>527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5"/>
  <cols>
    <col min="1" max="1" width="9.42578125" bestFit="1" customWidth="1"/>
    <col min="2" max="2" width="9" bestFit="1" customWidth="1"/>
    <col min="3" max="3" width="12.42578125" bestFit="1" customWidth="1"/>
    <col min="4" max="4" width="2.42578125" customWidth="1"/>
    <col min="5" max="5" width="13.42578125" bestFit="1" customWidth="1"/>
  </cols>
  <sheetData>
    <row r="1" spans="1:5">
      <c r="A1" s="1" t="s">
        <v>244</v>
      </c>
      <c r="B1" s="1" t="s">
        <v>45</v>
      </c>
      <c r="C1" s="1" t="s">
        <v>630</v>
      </c>
      <c r="E1" s="1" t="s">
        <v>626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41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627</v>
      </c>
      <c r="B64" s="40">
        <f>SLOPE(C2:C61,B2:B61)</f>
        <v>0.6172588196669182</v>
      </c>
      <c r="C64" s="40"/>
      <c r="D64" s="40"/>
      <c r="E64" s="40"/>
    </row>
    <row r="65" spans="1:2">
      <c r="A65" s="192" t="s">
        <v>628</v>
      </c>
      <c r="B65" s="193">
        <f>(B64-1)</f>
        <v>-0.3827411803330818</v>
      </c>
    </row>
    <row r="66" spans="1:2">
      <c r="A66" s="192" t="s">
        <v>629</v>
      </c>
      <c r="B66" s="193">
        <f>(E63/B63-1)*100</f>
        <v>-0.37571597481538266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F28" sqref="F28"/>
    </sheetView>
  </sheetViews>
  <sheetFormatPr defaultRowHeight="15"/>
  <cols>
    <col min="5" max="5" width="5.4257812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0.5703125" customWidth="1"/>
    <col min="12" max="12" width="12.85546875" bestFit="1" customWidth="1"/>
    <col min="18" max="18" width="12.85546875" bestFit="1" customWidth="1"/>
  </cols>
  <sheetData>
    <row r="1" spans="1:18">
      <c r="I1" s="250" t="s">
        <v>93</v>
      </c>
      <c r="J1" s="248"/>
      <c r="L1" s="250" t="s">
        <v>93</v>
      </c>
      <c r="M1" s="248"/>
      <c r="R1" s="1"/>
    </row>
    <row r="2" spans="1:18">
      <c r="I2" s="250" t="s">
        <v>94</v>
      </c>
      <c r="J2" s="248"/>
      <c r="L2" s="250" t="s">
        <v>95</v>
      </c>
      <c r="M2" s="248"/>
    </row>
    <row r="3" spans="1:18">
      <c r="B3" s="250" t="s">
        <v>95</v>
      </c>
      <c r="C3" s="248"/>
      <c r="F3" s="250" t="s">
        <v>94</v>
      </c>
      <c r="G3" s="248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100</v>
      </c>
      <c r="J5" s="40">
        <f>INTERCEPT(F5:F40,G5:G40)</f>
        <v>1.5992832356627025E-2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103</v>
      </c>
      <c r="J6" s="40">
        <f>SLOPE(F5:F40,G5:G40)</f>
        <v>1.9104011679319399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4257812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0.5703125" customWidth="1"/>
    <col min="12" max="12" width="12.85546875" bestFit="1" customWidth="1"/>
    <col min="18" max="18" width="12.85546875" bestFit="1" customWidth="1"/>
  </cols>
  <sheetData>
    <row r="1" spans="1:18">
      <c r="I1" s="250" t="s">
        <v>93</v>
      </c>
      <c r="J1" s="248"/>
      <c r="L1" s="250" t="s">
        <v>93</v>
      </c>
      <c r="M1" s="248"/>
      <c r="R1" s="1"/>
    </row>
    <row r="2" spans="1:18">
      <c r="I2" s="250" t="s">
        <v>94</v>
      </c>
      <c r="J2" s="248"/>
      <c r="L2" s="250" t="s">
        <v>95</v>
      </c>
      <c r="M2" s="248"/>
    </row>
    <row r="3" spans="1:18">
      <c r="B3" s="250" t="s">
        <v>95</v>
      </c>
      <c r="C3" s="248"/>
      <c r="F3" s="250" t="s">
        <v>94</v>
      </c>
      <c r="G3" s="248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100</v>
      </c>
      <c r="J5" s="40">
        <f>INTERCEPT(F5:F40,G5:G40)</f>
        <v>1.5920502618598321E-2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103</v>
      </c>
      <c r="J6" s="40">
        <f>SLOPE(F5:F40,G5:G40)</f>
        <v>1.9182902417238019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5703125" bestFit="1" customWidth="1"/>
    <col min="5" max="5" width="3.85546875" customWidth="1"/>
    <col min="6" max="6" width="12.5703125" bestFit="1" customWidth="1"/>
  </cols>
  <sheetData>
    <row r="1" spans="1:9">
      <c r="B1" t="s">
        <v>87</v>
      </c>
      <c r="C1" t="s">
        <v>88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89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90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91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92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1"/>
    </row>
    <row r="22" spans="1:10">
      <c r="A22" s="43">
        <v>43371</v>
      </c>
      <c r="B22">
        <v>-2.0068267408298101E-2</v>
      </c>
      <c r="C22">
        <v>2.04473980356001E-3</v>
      </c>
      <c r="I22" s="161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570312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5" width="9.5703125" customWidth="1"/>
    <col min="16" max="16" width="8.425781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250" t="s">
        <v>95</v>
      </c>
      <c r="C1" s="248"/>
      <c r="D1" s="248"/>
      <c r="I1" s="250"/>
      <c r="J1" s="248"/>
      <c r="K1" s="248"/>
    </row>
    <row r="2" spans="1:18">
      <c r="A2" t="s">
        <v>244</v>
      </c>
      <c r="B2" t="s">
        <v>87</v>
      </c>
      <c r="C2" t="s">
        <v>88</v>
      </c>
      <c r="D2" t="s">
        <v>162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topLeftCell="A19" workbookViewId="0">
      <selection sqref="A1:D55"/>
    </sheetView>
  </sheetViews>
  <sheetFormatPr defaultRowHeight="15"/>
  <cols>
    <col min="1" max="1" width="14.42578125" customWidth="1"/>
    <col min="2" max="2" width="24.5703125" customWidth="1"/>
    <col min="3" max="3" width="10.42578125" style="212" bestFit="1" customWidth="1"/>
    <col min="4" max="4" width="14.5703125" style="158" customWidth="1"/>
    <col min="11" max="11" width="17" bestFit="1" customWidth="1"/>
    <col min="12" max="12" width="12.5703125" bestFit="1" customWidth="1"/>
  </cols>
  <sheetData>
    <row r="1" spans="1:12">
      <c r="B1" s="1" t="s">
        <v>709</v>
      </c>
    </row>
    <row r="2" spans="1:12">
      <c r="B2" s="1"/>
      <c r="C2" s="3" t="s">
        <v>716</v>
      </c>
      <c r="D2" s="218" t="s">
        <v>715</v>
      </c>
    </row>
    <row r="3" spans="1:12">
      <c r="D3" s="217" t="s">
        <v>710</v>
      </c>
    </row>
    <row r="4" spans="1:12" ht="30">
      <c r="A4" s="210" t="s">
        <v>642</v>
      </c>
      <c r="B4" s="210" t="s">
        <v>694</v>
      </c>
      <c r="C4" s="213" t="s">
        <v>640</v>
      </c>
      <c r="D4" s="215" t="s">
        <v>641</v>
      </c>
      <c r="I4" s="1" t="s">
        <v>714</v>
      </c>
    </row>
    <row r="5" spans="1:12">
      <c r="A5" s="211" t="s">
        <v>643</v>
      </c>
      <c r="B5" s="211" t="s">
        <v>695</v>
      </c>
      <c r="C5" s="214">
        <v>30</v>
      </c>
      <c r="D5" s="216">
        <v>36.6</v>
      </c>
      <c r="F5" s="247" t="s">
        <v>711</v>
      </c>
      <c r="G5" s="247"/>
      <c r="I5">
        <f>D5-$G$6-$G$7*C5</f>
        <v>-28.823515647060841</v>
      </c>
      <c r="K5" t="s">
        <v>713</v>
      </c>
      <c r="L5">
        <f>AVERAGE(I5:I55)</f>
        <v>8.0806820929580018E-15</v>
      </c>
    </row>
    <row r="6" spans="1:12">
      <c r="A6" s="211" t="s">
        <v>644</v>
      </c>
      <c r="B6" s="211" t="s">
        <v>695</v>
      </c>
      <c r="C6" s="212">
        <v>27.7</v>
      </c>
      <c r="D6" s="216">
        <v>48.8</v>
      </c>
      <c r="F6" t="s">
        <v>101</v>
      </c>
      <c r="G6">
        <f>INTERCEPT(D5:D55,C5:C55)</f>
        <v>34.894176754316554</v>
      </c>
      <c r="I6">
        <f t="shared" ref="I6:I55" si="0">D6-$G$6-$G$7*C6</f>
        <v>-14.282932998617117</v>
      </c>
      <c r="K6" t="s">
        <v>717</v>
      </c>
      <c r="L6">
        <f>COVAR(I5:I55,C5:C55)</f>
        <v>-4.640623397538583E-15</v>
      </c>
    </row>
    <row r="7" spans="1:12">
      <c r="A7" s="211" t="s">
        <v>645</v>
      </c>
      <c r="B7" s="211" t="s">
        <v>695</v>
      </c>
      <c r="C7" s="212">
        <v>26.2</v>
      </c>
      <c r="D7" s="216">
        <v>64.600000000000009</v>
      </c>
      <c r="F7" t="s">
        <v>104</v>
      </c>
      <c r="G7">
        <f>SLOPE(D5:D55,C5:C55)</f>
        <v>1.017644629758143</v>
      </c>
      <c r="I7">
        <f t="shared" si="0"/>
        <v>3.0435339460201085</v>
      </c>
    </row>
    <row r="8" spans="1:12">
      <c r="A8" s="211" t="s">
        <v>646</v>
      </c>
      <c r="B8" s="211" t="s">
        <v>695</v>
      </c>
      <c r="C8" s="212">
        <v>25.8</v>
      </c>
      <c r="D8" s="216">
        <v>54.900000000000006</v>
      </c>
      <c r="I8">
        <f t="shared" si="0"/>
        <v>-6.2494082020766371</v>
      </c>
    </row>
    <row r="9" spans="1:12">
      <c r="A9" s="211" t="s">
        <v>647</v>
      </c>
      <c r="B9" s="211" t="s">
        <v>695</v>
      </c>
      <c r="C9" s="212">
        <v>23.8</v>
      </c>
      <c r="D9" s="216">
        <v>57.3</v>
      </c>
      <c r="F9" s="247" t="s">
        <v>712</v>
      </c>
      <c r="G9" s="247"/>
      <c r="I9">
        <f t="shared" si="0"/>
        <v>-1.8141189425603592</v>
      </c>
    </row>
    <row r="10" spans="1:12">
      <c r="A10" s="211" t="s">
        <v>648</v>
      </c>
      <c r="B10" s="211" t="s">
        <v>695</v>
      </c>
      <c r="C10" s="212">
        <v>24.8</v>
      </c>
      <c r="D10" s="216">
        <v>73.2</v>
      </c>
      <c r="F10" t="s">
        <v>101</v>
      </c>
      <c r="G10">
        <f>AVERAGE(D5:D55)-G11*AVERAGE(C5:C55)</f>
        <v>34.894176754316582</v>
      </c>
      <c r="I10">
        <f t="shared" si="0"/>
        <v>13.068236427681502</v>
      </c>
    </row>
    <row r="11" spans="1:12">
      <c r="A11" s="211" t="s">
        <v>649</v>
      </c>
      <c r="B11" s="211" t="s">
        <v>695</v>
      </c>
      <c r="C11" s="212">
        <v>26.2</v>
      </c>
      <c r="D11" s="216">
        <v>65.900000000000006</v>
      </c>
      <c r="F11" t="s">
        <v>104</v>
      </c>
      <c r="G11">
        <f>COVAR(C5:C55,D5:D55)/VARP(C5:C55)</f>
        <v>1.0176446297581418</v>
      </c>
      <c r="I11">
        <f t="shared" si="0"/>
        <v>4.3435339460201057</v>
      </c>
    </row>
    <row r="12" spans="1:12">
      <c r="A12" s="211" t="s">
        <v>650</v>
      </c>
      <c r="B12" s="211" t="s">
        <v>695</v>
      </c>
      <c r="C12" s="212">
        <v>23.9</v>
      </c>
      <c r="D12" s="216">
        <v>69.5</v>
      </c>
      <c r="I12">
        <f t="shared" si="0"/>
        <v>10.284116594463832</v>
      </c>
    </row>
    <row r="13" spans="1:12">
      <c r="A13" s="211" t="s">
        <v>651</v>
      </c>
      <c r="B13" s="211" t="s">
        <v>695</v>
      </c>
      <c r="C13" s="212">
        <v>21.8</v>
      </c>
      <c r="D13" s="216">
        <v>70.7</v>
      </c>
      <c r="I13">
        <f t="shared" si="0"/>
        <v>13.621170316955933</v>
      </c>
    </row>
    <row r="14" spans="1:12">
      <c r="A14" s="211" t="s">
        <v>652</v>
      </c>
      <c r="B14" s="211" t="s">
        <v>695</v>
      </c>
      <c r="C14" s="212">
        <v>21.5</v>
      </c>
      <c r="D14" s="216">
        <v>65.900000000000006</v>
      </c>
      <c r="I14">
        <f t="shared" si="0"/>
        <v>9.1264637058833777</v>
      </c>
    </row>
    <row r="15" spans="1:12">
      <c r="A15" s="211" t="s">
        <v>653</v>
      </c>
      <c r="B15" s="211" t="s">
        <v>695</v>
      </c>
      <c r="C15" s="214">
        <v>22</v>
      </c>
      <c r="D15" s="216">
        <v>75.599999999999994</v>
      </c>
      <c r="I15">
        <f t="shared" si="0"/>
        <v>18.317641391004294</v>
      </c>
    </row>
    <row r="16" spans="1:12">
      <c r="A16" s="211" t="s">
        <v>654</v>
      </c>
      <c r="B16" s="211" t="s">
        <v>695</v>
      </c>
      <c r="C16" s="212">
        <v>23.4</v>
      </c>
      <c r="D16" s="216">
        <v>75.599999999999994</v>
      </c>
      <c r="I16">
        <f t="shared" si="0"/>
        <v>16.892938909342895</v>
      </c>
    </row>
    <row r="17" spans="1:9">
      <c r="A17" s="211" t="s">
        <v>655</v>
      </c>
      <c r="B17" s="211" t="s">
        <v>696</v>
      </c>
      <c r="C17" s="212">
        <v>23.9</v>
      </c>
      <c r="D17" s="216">
        <v>79.3</v>
      </c>
      <c r="I17">
        <f t="shared" si="0"/>
        <v>20.084116594463829</v>
      </c>
    </row>
    <row r="18" spans="1:9">
      <c r="A18" s="211" t="s">
        <v>656</v>
      </c>
      <c r="B18" s="211" t="s">
        <v>696</v>
      </c>
      <c r="C18" s="212">
        <v>19.600000000000001</v>
      </c>
      <c r="D18" s="216">
        <v>75.599999999999994</v>
      </c>
      <c r="I18">
        <f t="shared" si="0"/>
        <v>20.759988502423838</v>
      </c>
    </row>
    <row r="19" spans="1:9">
      <c r="A19" s="211" t="s">
        <v>657</v>
      </c>
      <c r="B19" s="211" t="s">
        <v>696</v>
      </c>
      <c r="C19" s="212">
        <v>22.5</v>
      </c>
      <c r="D19" s="216">
        <v>69.5</v>
      </c>
      <c r="I19">
        <f t="shared" si="0"/>
        <v>11.708819076125231</v>
      </c>
    </row>
    <row r="20" spans="1:9">
      <c r="A20" s="211" t="s">
        <v>658</v>
      </c>
      <c r="B20" s="211" t="s">
        <v>696</v>
      </c>
      <c r="C20" s="212">
        <v>22.3</v>
      </c>
      <c r="D20" s="216">
        <v>76.8</v>
      </c>
      <c r="I20">
        <f t="shared" si="0"/>
        <v>19.212348002076855</v>
      </c>
    </row>
    <row r="21" spans="1:9">
      <c r="A21" s="211" t="s">
        <v>659</v>
      </c>
      <c r="B21" s="211" t="s">
        <v>696</v>
      </c>
      <c r="C21" s="212">
        <v>19.399999999999999</v>
      </c>
      <c r="D21" s="216">
        <v>70.7</v>
      </c>
      <c r="I21">
        <f t="shared" si="0"/>
        <v>16.063517428375476</v>
      </c>
    </row>
    <row r="22" spans="1:9">
      <c r="A22" s="211" t="s">
        <v>660</v>
      </c>
      <c r="B22" s="211" t="s">
        <v>697</v>
      </c>
      <c r="C22" s="212">
        <v>19.899999999999999</v>
      </c>
      <c r="D22" s="216">
        <v>52.400000000000006</v>
      </c>
      <c r="I22">
        <f t="shared" si="0"/>
        <v>-2.7453048865035932</v>
      </c>
    </row>
    <row r="23" spans="1:9">
      <c r="A23" s="211" t="s">
        <v>661</v>
      </c>
      <c r="B23" s="211" t="s">
        <v>698</v>
      </c>
      <c r="C23" s="212">
        <v>15.1</v>
      </c>
      <c r="D23" s="216">
        <v>47.599999999999994</v>
      </c>
      <c r="I23">
        <f t="shared" si="0"/>
        <v>-2.6606106636645173</v>
      </c>
    </row>
    <row r="24" spans="1:9">
      <c r="A24" s="211" t="s">
        <v>662</v>
      </c>
      <c r="B24" s="211" t="s">
        <v>699</v>
      </c>
      <c r="C24" s="212">
        <v>14.2</v>
      </c>
      <c r="D24" s="216">
        <v>40.200000000000003</v>
      </c>
      <c r="I24">
        <f t="shared" si="0"/>
        <v>-9.1447304968821808</v>
      </c>
    </row>
    <row r="25" spans="1:9">
      <c r="A25" s="211" t="s">
        <v>663</v>
      </c>
      <c r="B25" s="211" t="s">
        <v>700</v>
      </c>
      <c r="C25" s="212">
        <v>21.7</v>
      </c>
      <c r="D25" s="216">
        <v>58.5</v>
      </c>
      <c r="I25">
        <f t="shared" si="0"/>
        <v>1.5229347799317452</v>
      </c>
    </row>
    <row r="26" spans="1:9">
      <c r="A26" s="211" t="s">
        <v>664</v>
      </c>
      <c r="B26" s="211" t="s">
        <v>700</v>
      </c>
      <c r="C26" s="212">
        <v>21.2</v>
      </c>
      <c r="D26" s="216">
        <v>64.600000000000009</v>
      </c>
      <c r="I26">
        <f t="shared" si="0"/>
        <v>8.1317570948108262</v>
      </c>
    </row>
    <row r="27" spans="1:9">
      <c r="A27" s="211" t="s">
        <v>665</v>
      </c>
      <c r="B27" s="211" t="s">
        <v>701</v>
      </c>
      <c r="C27" s="212">
        <v>26.2</v>
      </c>
      <c r="D27" s="216">
        <v>68.300000000000011</v>
      </c>
      <c r="I27">
        <f t="shared" si="0"/>
        <v>6.7435339460201114</v>
      </c>
    </row>
    <row r="28" spans="1:9">
      <c r="A28" s="211" t="s">
        <v>666</v>
      </c>
      <c r="B28" s="211" t="s">
        <v>701</v>
      </c>
      <c r="C28" s="212">
        <v>28.3</v>
      </c>
      <c r="D28" s="216">
        <v>74.400000000000006</v>
      </c>
      <c r="I28">
        <f t="shared" si="0"/>
        <v>10.706480223528004</v>
      </c>
    </row>
    <row r="29" spans="1:9">
      <c r="A29" s="211" t="s">
        <v>667</v>
      </c>
      <c r="B29" s="211" t="s">
        <v>701</v>
      </c>
      <c r="C29" s="212">
        <v>26.3</v>
      </c>
      <c r="D29" s="216">
        <v>62</v>
      </c>
      <c r="I29">
        <f t="shared" si="0"/>
        <v>0.34176948304428478</v>
      </c>
    </row>
    <row r="30" spans="1:9">
      <c r="A30" s="211" t="s">
        <v>668</v>
      </c>
      <c r="B30" s="211" t="s">
        <v>701</v>
      </c>
      <c r="C30" s="212">
        <v>29.7</v>
      </c>
      <c r="D30" s="216">
        <v>81.699999999999989</v>
      </c>
      <c r="I30">
        <f t="shared" si="0"/>
        <v>16.581777741866588</v>
      </c>
    </row>
    <row r="31" spans="1:9">
      <c r="A31" s="211" t="s">
        <v>669</v>
      </c>
      <c r="B31" s="211" t="s">
        <v>701</v>
      </c>
      <c r="C31" s="212">
        <v>28.7</v>
      </c>
      <c r="D31" s="216">
        <v>68.300000000000011</v>
      </c>
      <c r="I31">
        <f t="shared" si="0"/>
        <v>4.1994223716247561</v>
      </c>
    </row>
    <row r="32" spans="1:9">
      <c r="A32" s="211" t="s">
        <v>670</v>
      </c>
      <c r="B32" s="211" t="s">
        <v>701</v>
      </c>
      <c r="C32" s="212">
        <v>27.2</v>
      </c>
      <c r="D32" s="216">
        <v>70.7</v>
      </c>
      <c r="I32">
        <f t="shared" si="0"/>
        <v>8.1258893162619614</v>
      </c>
    </row>
    <row r="33" spans="1:9">
      <c r="A33" s="211" t="s">
        <v>671</v>
      </c>
      <c r="B33" s="211" t="s">
        <v>702</v>
      </c>
      <c r="C33" s="214">
        <v>30</v>
      </c>
      <c r="D33" s="216">
        <v>61</v>
      </c>
      <c r="I33">
        <f t="shared" si="0"/>
        <v>-4.4235156470608423</v>
      </c>
    </row>
    <row r="34" spans="1:9">
      <c r="A34" s="211" t="s">
        <v>672</v>
      </c>
      <c r="B34" s="211" t="s">
        <v>702</v>
      </c>
      <c r="C34" s="214">
        <v>24</v>
      </c>
      <c r="D34" s="216">
        <v>68.300000000000011</v>
      </c>
      <c r="I34">
        <f t="shared" si="0"/>
        <v>8.9823521314880281</v>
      </c>
    </row>
    <row r="35" spans="1:9">
      <c r="A35" s="211" t="s">
        <v>673</v>
      </c>
      <c r="B35" s="211" t="s">
        <v>702</v>
      </c>
      <c r="C35" s="212">
        <v>27.6</v>
      </c>
      <c r="D35" s="216">
        <v>41.5</v>
      </c>
      <c r="I35">
        <f t="shared" si="0"/>
        <v>-21.481168535641302</v>
      </c>
    </row>
    <row r="36" spans="1:9">
      <c r="A36" s="211" t="s">
        <v>674</v>
      </c>
      <c r="B36" s="211" t="s">
        <v>702</v>
      </c>
      <c r="C36" s="212">
        <v>35.4</v>
      </c>
      <c r="D36" s="216">
        <v>54.900000000000006</v>
      </c>
      <c r="I36">
        <f t="shared" si="0"/>
        <v>-16.018796647754804</v>
      </c>
    </row>
    <row r="37" spans="1:9">
      <c r="A37" s="211" t="s">
        <v>675</v>
      </c>
      <c r="B37" s="211" t="s">
        <v>702</v>
      </c>
      <c r="C37" s="212">
        <v>31.6</v>
      </c>
      <c r="D37" s="216">
        <v>51.2</v>
      </c>
      <c r="I37">
        <f t="shared" si="0"/>
        <v>-15.851747054673872</v>
      </c>
    </row>
    <row r="38" spans="1:9">
      <c r="A38" s="211" t="s">
        <v>676</v>
      </c>
      <c r="B38" s="211" t="s">
        <v>702</v>
      </c>
      <c r="C38" s="212">
        <v>28.3</v>
      </c>
      <c r="D38" s="216">
        <v>69.5</v>
      </c>
      <c r="I38">
        <f t="shared" si="0"/>
        <v>5.8064802235279984</v>
      </c>
    </row>
    <row r="39" spans="1:9">
      <c r="A39" s="211" t="s">
        <v>677</v>
      </c>
      <c r="B39" s="211" t="s">
        <v>702</v>
      </c>
      <c r="C39" s="212">
        <v>26.8</v>
      </c>
      <c r="D39" s="216">
        <v>79.3</v>
      </c>
      <c r="I39">
        <f t="shared" si="0"/>
        <v>17.132947168165209</v>
      </c>
    </row>
    <row r="40" spans="1:9">
      <c r="A40" s="211" t="s">
        <v>678</v>
      </c>
      <c r="B40" s="211" t="s">
        <v>702</v>
      </c>
      <c r="C40" s="214">
        <v>27</v>
      </c>
      <c r="D40" s="216">
        <v>69.5</v>
      </c>
      <c r="I40">
        <f t="shared" si="0"/>
        <v>7.1294182422135854</v>
      </c>
    </row>
    <row r="41" spans="1:9">
      <c r="A41" s="211" t="s">
        <v>679</v>
      </c>
      <c r="B41" s="211" t="s">
        <v>702</v>
      </c>
      <c r="C41" s="212">
        <v>25.3</v>
      </c>
      <c r="D41" s="216">
        <v>69.5</v>
      </c>
      <c r="I41">
        <f t="shared" si="0"/>
        <v>8.8594141128024297</v>
      </c>
    </row>
    <row r="42" spans="1:9">
      <c r="A42" s="211" t="s">
        <v>680</v>
      </c>
      <c r="B42" s="211" t="s">
        <v>702</v>
      </c>
      <c r="C42" s="212">
        <v>27.9</v>
      </c>
      <c r="D42" s="216">
        <v>62.1</v>
      </c>
      <c r="I42">
        <f t="shared" si="0"/>
        <v>-1.1864619245687393</v>
      </c>
    </row>
    <row r="43" spans="1:9">
      <c r="A43" s="211" t="s">
        <v>681</v>
      </c>
      <c r="B43" s="211" t="s">
        <v>702</v>
      </c>
      <c r="C43" s="212">
        <v>27.3</v>
      </c>
      <c r="D43" s="216">
        <v>54.900000000000006</v>
      </c>
      <c r="I43">
        <f t="shared" si="0"/>
        <v>-7.7758751467138509</v>
      </c>
    </row>
    <row r="44" spans="1:9">
      <c r="A44" s="211" t="s">
        <v>682</v>
      </c>
      <c r="B44" s="211" t="s">
        <v>703</v>
      </c>
      <c r="C44" s="212">
        <v>17.399999999999999</v>
      </c>
      <c r="D44" s="216">
        <v>32.9</v>
      </c>
      <c r="I44">
        <f t="shared" si="0"/>
        <v>-19.701193312108241</v>
      </c>
    </row>
    <row r="45" spans="1:9">
      <c r="A45" s="211" t="s">
        <v>683</v>
      </c>
      <c r="B45" s="211" t="s">
        <v>704</v>
      </c>
      <c r="C45" s="214">
        <v>12</v>
      </c>
      <c r="D45" s="216">
        <v>25.6</v>
      </c>
      <c r="I45">
        <f t="shared" si="0"/>
        <v>-21.505912311414267</v>
      </c>
    </row>
    <row r="46" spans="1:9">
      <c r="A46" s="211" t="s">
        <v>684</v>
      </c>
      <c r="B46" s="211" t="s">
        <v>702</v>
      </c>
      <c r="C46" s="212">
        <v>17.600000000000001</v>
      </c>
      <c r="D46" s="216">
        <v>20.7</v>
      </c>
      <c r="I46">
        <f t="shared" si="0"/>
        <v>-32.104722238059871</v>
      </c>
    </row>
    <row r="47" spans="1:9">
      <c r="A47" s="211" t="s">
        <v>685</v>
      </c>
      <c r="B47" s="211" t="s">
        <v>705</v>
      </c>
      <c r="C47" s="212">
        <v>15.6</v>
      </c>
      <c r="D47" s="216">
        <v>31.7</v>
      </c>
      <c r="I47">
        <f t="shared" si="0"/>
        <v>-19.069432978543585</v>
      </c>
    </row>
    <row r="48" spans="1:9">
      <c r="A48" s="211" t="s">
        <v>686</v>
      </c>
      <c r="B48" s="211" t="s">
        <v>706</v>
      </c>
      <c r="C48" s="212">
        <v>16.100000000000001</v>
      </c>
      <c r="D48" s="216">
        <v>42.699999999999996</v>
      </c>
      <c r="I48">
        <f t="shared" si="0"/>
        <v>-8.5782552934226608</v>
      </c>
    </row>
    <row r="49" spans="1:9">
      <c r="A49" s="211" t="s">
        <v>687</v>
      </c>
      <c r="B49" s="211" t="s">
        <v>707</v>
      </c>
      <c r="C49" s="212">
        <v>27.4</v>
      </c>
      <c r="D49" s="216">
        <v>45.1</v>
      </c>
      <c r="I49">
        <f t="shared" si="0"/>
        <v>-17.677639609689667</v>
      </c>
    </row>
    <row r="50" spans="1:9">
      <c r="A50" s="211" t="s">
        <v>688</v>
      </c>
      <c r="B50" s="211" t="s">
        <v>708</v>
      </c>
      <c r="C50" s="212">
        <v>26.1</v>
      </c>
      <c r="D50" s="216">
        <v>73.2</v>
      </c>
      <c r="I50">
        <f t="shared" si="0"/>
        <v>11.745298408995914</v>
      </c>
    </row>
    <row r="51" spans="1:9">
      <c r="A51" s="211" t="s">
        <v>689</v>
      </c>
      <c r="B51" s="211" t="s">
        <v>707</v>
      </c>
      <c r="C51" s="214">
        <v>25</v>
      </c>
      <c r="D51" s="216">
        <v>58.3</v>
      </c>
      <c r="I51">
        <f t="shared" si="0"/>
        <v>-2.035292498270131</v>
      </c>
    </row>
    <row r="52" spans="1:9">
      <c r="A52" s="211" t="s">
        <v>690</v>
      </c>
      <c r="B52" s="211" t="s">
        <v>707</v>
      </c>
      <c r="C52" s="212">
        <v>30.3</v>
      </c>
      <c r="D52" s="216">
        <v>40.200000000000003</v>
      </c>
      <c r="I52">
        <f t="shared" si="0"/>
        <v>-25.528809035988285</v>
      </c>
    </row>
    <row r="53" spans="1:9">
      <c r="A53" s="211" t="s">
        <v>691</v>
      </c>
      <c r="B53" s="211" t="s">
        <v>707</v>
      </c>
      <c r="C53" s="212">
        <v>28.9</v>
      </c>
      <c r="D53" s="216">
        <v>52.400000000000006</v>
      </c>
      <c r="I53">
        <f t="shared" si="0"/>
        <v>-11.90410655432688</v>
      </c>
    </row>
    <row r="54" spans="1:9">
      <c r="A54" s="211" t="s">
        <v>692</v>
      </c>
      <c r="B54" s="211" t="s">
        <v>707</v>
      </c>
      <c r="C54" s="212">
        <v>25.7</v>
      </c>
      <c r="D54" s="216">
        <v>57.3</v>
      </c>
      <c r="I54">
        <f t="shared" si="0"/>
        <v>-3.7476437391008304</v>
      </c>
    </row>
    <row r="55" spans="1:9">
      <c r="A55" s="211" t="s">
        <v>693</v>
      </c>
      <c r="B55" s="211" t="s">
        <v>707</v>
      </c>
      <c r="C55" s="212">
        <v>24.4</v>
      </c>
      <c r="D55" s="216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1" sqref="J11"/>
    </sheetView>
  </sheetViews>
  <sheetFormatPr defaultColWidth="9.140625" defaultRowHeight="15"/>
  <cols>
    <col min="1" max="1" width="13.42578125" customWidth="1"/>
    <col min="2" max="2" width="18.140625" style="4" bestFit="1" customWidth="1"/>
    <col min="3" max="3" width="13.42578125" style="4" customWidth="1"/>
    <col min="4" max="4" width="3.425781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250" t="s">
        <v>95</v>
      </c>
      <c r="C1" s="250"/>
      <c r="E1" s="250" t="s">
        <v>94</v>
      </c>
      <c r="F1" s="250"/>
      <c r="G1" s="3"/>
      <c r="H1" s="3"/>
      <c r="I1" s="166" t="s">
        <v>193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525</v>
      </c>
      <c r="F2" s="4" t="s">
        <v>264</v>
      </c>
      <c r="G2" s="4"/>
      <c r="H2" s="3" t="s">
        <v>523</v>
      </c>
    </row>
    <row r="3" spans="1:12">
      <c r="A3" s="43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100</v>
      </c>
      <c r="K3" s="3" t="s">
        <v>103</v>
      </c>
    </row>
    <row r="4" spans="1:12">
      <c r="A4" s="43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84</v>
      </c>
    </row>
    <row r="5" spans="1:12">
      <c r="A5" s="43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718</v>
      </c>
    </row>
    <row r="6" spans="1:12">
      <c r="A6" s="43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3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3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3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3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1" t="s">
        <v>524</v>
      </c>
      <c r="K10" s="3"/>
    </row>
    <row r="11" spans="1:12">
      <c r="A11" s="43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9">
        <f>COVAR(F3:F62,H3:H62)</f>
        <v>7.9508159315603655E-19</v>
      </c>
      <c r="K11" s="16"/>
    </row>
    <row r="12" spans="1:12">
      <c r="A12" s="43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/>
      <c r="K12" s="16"/>
    </row>
    <row r="13" spans="1:12">
      <c r="A13" s="43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3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</row>
    <row r="15" spans="1:12">
      <c r="A15" s="43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K15" s="4"/>
    </row>
    <row r="16" spans="1:12">
      <c r="A16" s="43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3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3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3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3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3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3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3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3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3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3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3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3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3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3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3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3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3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3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3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3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3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3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3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3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3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3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3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3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3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3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3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3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3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3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3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3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3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3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3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3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3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3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3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3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3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3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workbookViewId="0">
      <selection activeCell="B8" sqref="B8"/>
    </sheetView>
  </sheetViews>
  <sheetFormatPr defaultRowHeight="15"/>
  <cols>
    <col min="2" max="2" width="45.42578125" customWidth="1"/>
    <col min="5" max="5" width="34.42578125" customWidth="1"/>
  </cols>
  <sheetData>
    <row r="1" spans="1:5">
      <c r="B1" s="1" t="s">
        <v>709</v>
      </c>
      <c r="C1" s="212"/>
      <c r="D1" s="212"/>
      <c r="E1" s="158"/>
    </row>
    <row r="2" spans="1:5">
      <c r="B2" s="1"/>
      <c r="E2" s="218" t="s">
        <v>715</v>
      </c>
    </row>
    <row r="3" spans="1:5">
      <c r="C3" s="3" t="s">
        <v>720</v>
      </c>
      <c r="D3" s="3" t="s">
        <v>721</v>
      </c>
      <c r="E3" s="218" t="s">
        <v>710</v>
      </c>
    </row>
    <row r="4" spans="1:5">
      <c r="A4" s="210" t="s">
        <v>642</v>
      </c>
      <c r="B4" s="210" t="s">
        <v>694</v>
      </c>
      <c r="C4" s="213" t="s">
        <v>640</v>
      </c>
      <c r="D4" s="210" t="s">
        <v>719</v>
      </c>
      <c r="E4" s="215" t="s">
        <v>641</v>
      </c>
    </row>
    <row r="5" spans="1:5">
      <c r="A5" s="211" t="s">
        <v>643</v>
      </c>
      <c r="B5" s="211" t="s">
        <v>695</v>
      </c>
      <c r="C5" s="214">
        <v>30</v>
      </c>
      <c r="D5">
        <v>106.4</v>
      </c>
      <c r="E5" s="216">
        <v>36.6</v>
      </c>
    </row>
    <row r="6" spans="1:5">
      <c r="A6" s="211" t="s">
        <v>644</v>
      </c>
      <c r="B6" s="211" t="s">
        <v>695</v>
      </c>
      <c r="C6" s="212">
        <v>27.7</v>
      </c>
      <c r="D6">
        <v>108</v>
      </c>
      <c r="E6" s="216">
        <v>48.8</v>
      </c>
    </row>
    <row r="7" spans="1:5">
      <c r="A7" s="211" t="s">
        <v>645</v>
      </c>
      <c r="B7" s="211" t="s">
        <v>695</v>
      </c>
      <c r="C7" s="212">
        <v>26.2</v>
      </c>
      <c r="D7">
        <v>104.7</v>
      </c>
      <c r="E7" s="216">
        <v>64.600000000000009</v>
      </c>
    </row>
    <row r="8" spans="1:5">
      <c r="A8" s="211" t="s">
        <v>646</v>
      </c>
      <c r="B8" s="211" t="s">
        <v>695</v>
      </c>
      <c r="C8" s="212">
        <v>25.8</v>
      </c>
      <c r="D8">
        <v>106.1</v>
      </c>
      <c r="E8" s="216">
        <v>54.900000000000006</v>
      </c>
    </row>
    <row r="9" spans="1:5">
      <c r="A9" s="211" t="s">
        <v>647</v>
      </c>
      <c r="B9" s="211" t="s">
        <v>695</v>
      </c>
      <c r="C9" s="212">
        <v>23.8</v>
      </c>
      <c r="D9">
        <v>105.9</v>
      </c>
      <c r="E9" s="216">
        <v>57.3</v>
      </c>
    </row>
    <row r="10" spans="1:5">
      <c r="A10" s="211" t="s">
        <v>648</v>
      </c>
      <c r="B10" s="211" t="s">
        <v>695</v>
      </c>
      <c r="C10" s="212">
        <v>24.8</v>
      </c>
      <c r="D10">
        <v>104.1</v>
      </c>
      <c r="E10" s="216">
        <v>73.2</v>
      </c>
    </row>
    <row r="11" spans="1:5">
      <c r="A11" s="211" t="s">
        <v>649</v>
      </c>
      <c r="B11" s="211" t="s">
        <v>695</v>
      </c>
      <c r="C11" s="212">
        <v>26.2</v>
      </c>
      <c r="D11">
        <v>102.7</v>
      </c>
      <c r="E11" s="216">
        <v>65.900000000000006</v>
      </c>
    </row>
    <row r="12" spans="1:5">
      <c r="A12" s="211" t="s">
        <v>650</v>
      </c>
      <c r="B12" s="211" t="s">
        <v>695</v>
      </c>
      <c r="C12" s="212">
        <v>23.9</v>
      </c>
      <c r="D12">
        <v>103.1</v>
      </c>
      <c r="E12" s="216">
        <v>69.5</v>
      </c>
    </row>
    <row r="13" spans="1:5">
      <c r="A13" s="211" t="s">
        <v>651</v>
      </c>
      <c r="B13" s="211" t="s">
        <v>695</v>
      </c>
      <c r="C13" s="212">
        <v>21.8</v>
      </c>
      <c r="D13">
        <v>103.8</v>
      </c>
      <c r="E13" s="216">
        <v>70.7</v>
      </c>
    </row>
    <row r="14" spans="1:5">
      <c r="A14" s="211" t="s">
        <v>652</v>
      </c>
      <c r="B14" s="211" t="s">
        <v>695</v>
      </c>
      <c r="C14" s="212">
        <v>21.5</v>
      </c>
      <c r="D14">
        <v>103.7</v>
      </c>
      <c r="E14" s="216">
        <v>65.900000000000006</v>
      </c>
    </row>
    <row r="15" spans="1:5">
      <c r="A15" s="211" t="s">
        <v>653</v>
      </c>
      <c r="B15" s="211" t="s">
        <v>695</v>
      </c>
      <c r="C15" s="214">
        <v>22</v>
      </c>
      <c r="D15">
        <v>103.2</v>
      </c>
      <c r="E15" s="216">
        <v>75.599999999999994</v>
      </c>
    </row>
    <row r="16" spans="1:5">
      <c r="A16" s="211" t="s">
        <v>654</v>
      </c>
      <c r="B16" s="211" t="s">
        <v>695</v>
      </c>
      <c r="C16" s="212">
        <v>23.4</v>
      </c>
      <c r="D16">
        <v>102.7</v>
      </c>
      <c r="E16" s="216">
        <v>75.599999999999994</v>
      </c>
    </row>
    <row r="17" spans="1:5">
      <c r="A17" s="211" t="s">
        <v>655</v>
      </c>
      <c r="B17" s="211" t="s">
        <v>696</v>
      </c>
      <c r="C17" s="212">
        <v>23.9</v>
      </c>
      <c r="D17">
        <v>101.6</v>
      </c>
      <c r="E17" s="216">
        <v>79.3</v>
      </c>
    </row>
    <row r="18" spans="1:5">
      <c r="A18" s="211" t="s">
        <v>656</v>
      </c>
      <c r="B18" s="211" t="s">
        <v>696</v>
      </c>
      <c r="C18" s="212">
        <v>19.600000000000001</v>
      </c>
      <c r="D18">
        <v>99.1</v>
      </c>
      <c r="E18" s="216">
        <v>75.599999999999994</v>
      </c>
    </row>
    <row r="19" spans="1:5">
      <c r="A19" s="211" t="s">
        <v>657</v>
      </c>
      <c r="B19" s="211" t="s">
        <v>696</v>
      </c>
      <c r="C19" s="212">
        <v>22.5</v>
      </c>
      <c r="D19">
        <v>100.1</v>
      </c>
      <c r="E19" s="216">
        <v>69.5</v>
      </c>
    </row>
    <row r="20" spans="1:5">
      <c r="A20" s="211" t="s">
        <v>658</v>
      </c>
      <c r="B20" s="211" t="s">
        <v>696</v>
      </c>
      <c r="C20" s="212">
        <v>22.3</v>
      </c>
      <c r="D20">
        <v>96.3</v>
      </c>
      <c r="E20" s="216">
        <v>76.8</v>
      </c>
    </row>
    <row r="21" spans="1:5">
      <c r="A21" s="211" t="s">
        <v>659</v>
      </c>
      <c r="B21" s="211" t="s">
        <v>696</v>
      </c>
      <c r="C21" s="212">
        <v>19.399999999999999</v>
      </c>
      <c r="D21">
        <v>94.1</v>
      </c>
      <c r="E21" s="216">
        <v>70.7</v>
      </c>
    </row>
    <row r="22" spans="1:5">
      <c r="A22" s="211" t="s">
        <v>660</v>
      </c>
      <c r="B22" s="211" t="s">
        <v>697</v>
      </c>
      <c r="C22" s="212">
        <v>19.899999999999999</v>
      </c>
      <c r="D22">
        <v>92.5</v>
      </c>
      <c r="E22" s="216">
        <v>52.400000000000006</v>
      </c>
    </row>
    <row r="23" spans="1:5">
      <c r="A23" s="211" t="s">
        <v>661</v>
      </c>
      <c r="B23" s="211" t="s">
        <v>698</v>
      </c>
      <c r="C23" s="212">
        <v>15.1</v>
      </c>
      <c r="D23">
        <v>96.2</v>
      </c>
      <c r="E23" s="216">
        <v>47.599999999999994</v>
      </c>
    </row>
    <row r="24" spans="1:5">
      <c r="A24" s="211" t="s">
        <v>662</v>
      </c>
      <c r="B24" s="211" t="s">
        <v>699</v>
      </c>
      <c r="C24" s="212">
        <v>14.2</v>
      </c>
      <c r="D24">
        <v>95.5</v>
      </c>
      <c r="E24" s="216">
        <v>40.200000000000003</v>
      </c>
    </row>
    <row r="25" spans="1:5">
      <c r="A25" s="211" t="s">
        <v>663</v>
      </c>
      <c r="B25" s="211" t="s">
        <v>700</v>
      </c>
      <c r="C25" s="212">
        <v>21.7</v>
      </c>
      <c r="D25">
        <v>95.2</v>
      </c>
      <c r="E25" s="216">
        <v>58.5</v>
      </c>
    </row>
    <row r="26" spans="1:5">
      <c r="A26" s="211" t="s">
        <v>664</v>
      </c>
      <c r="B26" s="211" t="s">
        <v>700</v>
      </c>
      <c r="C26" s="212">
        <v>21.2</v>
      </c>
      <c r="D26">
        <v>92.4</v>
      </c>
      <c r="E26" s="216">
        <v>64.600000000000009</v>
      </c>
    </row>
    <row r="27" spans="1:5">
      <c r="A27" s="211" t="s">
        <v>665</v>
      </c>
      <c r="B27" s="211" t="s">
        <v>701</v>
      </c>
      <c r="C27" s="212">
        <v>26.2</v>
      </c>
      <c r="D27">
        <v>91.1</v>
      </c>
      <c r="E27" s="216">
        <v>68.300000000000011</v>
      </c>
    </row>
    <row r="28" spans="1:5">
      <c r="A28" s="211" t="s">
        <v>666</v>
      </c>
      <c r="B28" s="211" t="s">
        <v>701</v>
      </c>
      <c r="C28" s="212">
        <v>28.3</v>
      </c>
      <c r="D28">
        <v>93.6</v>
      </c>
      <c r="E28" s="216">
        <v>74.400000000000006</v>
      </c>
    </row>
    <row r="29" spans="1:5">
      <c r="A29" s="211" t="s">
        <v>667</v>
      </c>
      <c r="B29" s="211" t="s">
        <v>701</v>
      </c>
      <c r="C29" s="212">
        <v>26.3</v>
      </c>
      <c r="D29">
        <v>91.6</v>
      </c>
      <c r="E29" s="216">
        <v>62</v>
      </c>
    </row>
    <row r="30" spans="1:5">
      <c r="A30" s="211" t="s">
        <v>668</v>
      </c>
      <c r="B30" s="211" t="s">
        <v>701</v>
      </c>
      <c r="C30" s="212">
        <v>29.7</v>
      </c>
      <c r="D30">
        <v>93.3</v>
      </c>
      <c r="E30" s="216">
        <v>81.699999999999989</v>
      </c>
    </row>
    <row r="31" spans="1:5">
      <c r="A31" s="211" t="s">
        <v>669</v>
      </c>
      <c r="B31" s="211" t="s">
        <v>701</v>
      </c>
      <c r="C31" s="212">
        <v>28.7</v>
      </c>
      <c r="D31">
        <v>91.7</v>
      </c>
      <c r="E31" s="216">
        <v>68.300000000000011</v>
      </c>
    </row>
    <row r="32" spans="1:5">
      <c r="A32" s="211" t="s">
        <v>670</v>
      </c>
      <c r="B32" s="211" t="s">
        <v>701</v>
      </c>
      <c r="C32" s="212">
        <v>27.2</v>
      </c>
      <c r="D32">
        <v>92.1</v>
      </c>
      <c r="E32" s="216">
        <v>70.7</v>
      </c>
    </row>
    <row r="33" spans="1:5">
      <c r="A33" s="211" t="s">
        <v>671</v>
      </c>
      <c r="B33" s="211" t="s">
        <v>702</v>
      </c>
      <c r="C33" s="214">
        <v>30</v>
      </c>
      <c r="D33">
        <v>92.5</v>
      </c>
      <c r="E33" s="216">
        <v>61</v>
      </c>
    </row>
    <row r="34" spans="1:5">
      <c r="A34" s="211" t="s">
        <v>672</v>
      </c>
      <c r="B34" s="211" t="s">
        <v>702</v>
      </c>
      <c r="C34" s="214">
        <v>24</v>
      </c>
      <c r="D34">
        <v>92.3</v>
      </c>
      <c r="E34" s="216">
        <v>68.300000000000011</v>
      </c>
    </row>
    <row r="35" spans="1:5">
      <c r="A35" s="211" t="s">
        <v>673</v>
      </c>
      <c r="B35" s="211" t="s">
        <v>702</v>
      </c>
      <c r="C35" s="212">
        <v>27.6</v>
      </c>
      <c r="D35">
        <v>90.8</v>
      </c>
      <c r="E35" s="216">
        <v>41.5</v>
      </c>
    </row>
    <row r="36" spans="1:5">
      <c r="A36" s="211" t="s">
        <v>674</v>
      </c>
      <c r="B36" s="211" t="s">
        <v>702</v>
      </c>
      <c r="C36" s="212">
        <v>35.4</v>
      </c>
      <c r="D36">
        <v>90.9</v>
      </c>
      <c r="E36" s="216">
        <v>54.900000000000006</v>
      </c>
    </row>
    <row r="37" spans="1:5">
      <c r="A37" s="211" t="s">
        <v>675</v>
      </c>
      <c r="B37" s="211" t="s">
        <v>702</v>
      </c>
      <c r="C37" s="212">
        <v>31.6</v>
      </c>
      <c r="D37">
        <v>93.5</v>
      </c>
      <c r="E37" s="216">
        <v>51.2</v>
      </c>
    </row>
    <row r="38" spans="1:5">
      <c r="A38" s="211" t="s">
        <v>676</v>
      </c>
      <c r="B38" s="211" t="s">
        <v>702</v>
      </c>
      <c r="C38" s="212">
        <v>28.3</v>
      </c>
      <c r="D38">
        <v>95.6</v>
      </c>
      <c r="E38" s="216">
        <v>69.5</v>
      </c>
    </row>
    <row r="39" spans="1:5">
      <c r="A39" s="211" t="s">
        <v>677</v>
      </c>
      <c r="B39" s="211" t="s">
        <v>702</v>
      </c>
      <c r="C39" s="212">
        <v>26.8</v>
      </c>
      <c r="D39">
        <v>94.3</v>
      </c>
      <c r="E39" s="216">
        <v>79.3</v>
      </c>
    </row>
    <row r="40" spans="1:5">
      <c r="A40" s="211" t="s">
        <v>678</v>
      </c>
      <c r="B40" s="211" t="s">
        <v>702</v>
      </c>
      <c r="C40" s="214">
        <v>27</v>
      </c>
      <c r="D40">
        <v>92.8</v>
      </c>
      <c r="E40" s="216">
        <v>69.5</v>
      </c>
    </row>
    <row r="41" spans="1:5">
      <c r="A41" s="211" t="s">
        <v>679</v>
      </c>
      <c r="B41" s="211" t="s">
        <v>702</v>
      </c>
      <c r="C41" s="212">
        <v>25.3</v>
      </c>
      <c r="D41">
        <v>90.7</v>
      </c>
      <c r="E41" s="216">
        <v>69.5</v>
      </c>
    </row>
    <row r="42" spans="1:5">
      <c r="A42" s="211" t="s">
        <v>680</v>
      </c>
      <c r="B42" s="211" t="s">
        <v>702</v>
      </c>
      <c r="C42" s="212">
        <v>27.9</v>
      </c>
      <c r="D42">
        <v>90.5</v>
      </c>
      <c r="E42" s="216">
        <v>62.1</v>
      </c>
    </row>
    <row r="43" spans="1:5">
      <c r="A43" s="211" t="s">
        <v>681</v>
      </c>
      <c r="B43" s="211" t="s">
        <v>702</v>
      </c>
      <c r="C43" s="212">
        <v>27.3</v>
      </c>
      <c r="D43">
        <v>94.4</v>
      </c>
      <c r="E43" s="216">
        <v>54.900000000000006</v>
      </c>
    </row>
    <row r="44" spans="1:5">
      <c r="A44" s="211" t="s">
        <v>682</v>
      </c>
      <c r="B44" s="211" t="s">
        <v>703</v>
      </c>
      <c r="C44" s="212">
        <v>17.399999999999999</v>
      </c>
      <c r="D44">
        <v>98.7</v>
      </c>
      <c r="E44" s="216">
        <v>32.9</v>
      </c>
    </row>
    <row r="45" spans="1:5">
      <c r="A45" s="211" t="s">
        <v>683</v>
      </c>
      <c r="B45" s="211" t="s">
        <v>704</v>
      </c>
      <c r="C45" s="214">
        <v>12</v>
      </c>
      <c r="D45">
        <v>94</v>
      </c>
      <c r="E45" s="216">
        <v>25.6</v>
      </c>
    </row>
    <row r="46" spans="1:5">
      <c r="A46" s="211" t="s">
        <v>684</v>
      </c>
      <c r="B46" s="211" t="s">
        <v>702</v>
      </c>
      <c r="C46" s="212">
        <v>17.600000000000001</v>
      </c>
      <c r="D46">
        <v>95.6</v>
      </c>
      <c r="E46" s="216">
        <v>20.7</v>
      </c>
    </row>
    <row r="47" spans="1:5">
      <c r="A47" s="211" t="s">
        <v>685</v>
      </c>
      <c r="B47" s="211" t="s">
        <v>705</v>
      </c>
      <c r="C47" s="212">
        <v>15.6</v>
      </c>
      <c r="D47">
        <v>98.5</v>
      </c>
      <c r="E47" s="216">
        <v>31.7</v>
      </c>
    </row>
    <row r="48" spans="1:5">
      <c r="A48" s="211" t="s">
        <v>686</v>
      </c>
      <c r="B48" s="211" t="s">
        <v>706</v>
      </c>
      <c r="C48" s="212">
        <v>16.100000000000001</v>
      </c>
      <c r="D48">
        <v>100.3</v>
      </c>
      <c r="E48" s="216">
        <v>42.699999999999996</v>
      </c>
    </row>
    <row r="49" spans="1:5">
      <c r="A49" s="211" t="s">
        <v>687</v>
      </c>
      <c r="B49" s="211" t="s">
        <v>707</v>
      </c>
      <c r="C49" s="212">
        <v>27.4</v>
      </c>
      <c r="D49">
        <v>103.2</v>
      </c>
      <c r="E49" s="216">
        <v>45.1</v>
      </c>
    </row>
    <row r="50" spans="1:5">
      <c r="A50" s="211" t="s">
        <v>688</v>
      </c>
      <c r="B50" s="211" t="s">
        <v>708</v>
      </c>
      <c r="C50" s="212">
        <v>26.1</v>
      </c>
      <c r="D50">
        <v>100.9</v>
      </c>
      <c r="E50" s="216">
        <v>73.2</v>
      </c>
    </row>
    <row r="51" spans="1:5">
      <c r="A51" s="211" t="s">
        <v>689</v>
      </c>
      <c r="B51" s="211" t="s">
        <v>707</v>
      </c>
      <c r="C51" s="214">
        <v>25</v>
      </c>
      <c r="D51">
        <v>98.7</v>
      </c>
      <c r="E51" s="216">
        <v>58.3</v>
      </c>
    </row>
    <row r="52" spans="1:5">
      <c r="A52" s="211" t="s">
        <v>690</v>
      </c>
      <c r="B52" s="211" t="s">
        <v>707</v>
      </c>
      <c r="C52" s="212">
        <v>30.3</v>
      </c>
      <c r="D52">
        <v>100.1</v>
      </c>
      <c r="E52" s="216">
        <v>40.200000000000003</v>
      </c>
    </row>
    <row r="53" spans="1:5">
      <c r="A53" s="211" t="s">
        <v>691</v>
      </c>
      <c r="B53" s="211" t="s">
        <v>707</v>
      </c>
      <c r="C53" s="212">
        <v>28.9</v>
      </c>
      <c r="D53">
        <v>101.3</v>
      </c>
      <c r="E53" s="216">
        <v>52.400000000000006</v>
      </c>
    </row>
    <row r="54" spans="1:5">
      <c r="A54" s="211" t="s">
        <v>692</v>
      </c>
      <c r="B54" s="211" t="s">
        <v>707</v>
      </c>
      <c r="C54" s="212">
        <v>25.7</v>
      </c>
      <c r="D54">
        <v>100.9</v>
      </c>
      <c r="E54" s="216">
        <v>57.3</v>
      </c>
    </row>
    <row r="55" spans="1:5">
      <c r="A55" s="211" t="s">
        <v>693</v>
      </c>
      <c r="B55" s="211" t="s">
        <v>707</v>
      </c>
      <c r="C55" s="212">
        <v>24.4</v>
      </c>
      <c r="D55">
        <v>97.6</v>
      </c>
      <c r="E55" s="216">
        <v>61.5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185</v>
      </c>
      <c r="D1" t="s">
        <v>186</v>
      </c>
      <c r="E1" t="s">
        <v>187</v>
      </c>
      <c r="F1" t="s">
        <v>188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189</v>
      </c>
      <c r="J3" t="s">
        <v>190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191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192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40625" defaultRowHeight="15"/>
  <cols>
    <col min="1" max="1" width="9.140625" style="20" customWidth="1"/>
    <col min="2" max="5" width="9.5703125" style="20" bestFit="1" customWidth="1"/>
    <col min="6" max="8" width="9.140625" style="20" customWidth="1"/>
    <col min="9" max="9" width="11.5703125" style="20" customWidth="1"/>
    <col min="10" max="15" width="9.140625" style="20" customWidth="1"/>
    <col min="16" max="16384" width="9.140625" style="20"/>
  </cols>
  <sheetData>
    <row r="1" spans="1:12">
      <c r="A1" s="31" t="s">
        <v>191</v>
      </c>
      <c r="B1" s="32"/>
      <c r="J1" s="31"/>
      <c r="K1" s="31"/>
      <c r="L1" s="31"/>
    </row>
    <row r="2" spans="1:12">
      <c r="B2" s="168" t="s">
        <v>530</v>
      </c>
      <c r="C2" s="168" t="s">
        <v>531</v>
      </c>
      <c r="D2" s="168" t="s">
        <v>532</v>
      </c>
    </row>
    <row r="3" spans="1:12">
      <c r="A3" s="168" t="s">
        <v>530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8" t="s">
        <v>531</v>
      </c>
      <c r="B4" s="51">
        <v>-0.02</v>
      </c>
      <c r="C4" s="51">
        <v>0.09</v>
      </c>
      <c r="D4" s="51">
        <v>0.04</v>
      </c>
      <c r="I4" s="33"/>
    </row>
    <row r="5" spans="1:12">
      <c r="A5" s="168" t="s">
        <v>532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8" t="s">
        <v>530</v>
      </c>
      <c r="C7" s="168" t="s">
        <v>531</v>
      </c>
      <c r="D7" s="168" t="s">
        <v>532</v>
      </c>
      <c r="E7" s="31" t="s">
        <v>193</v>
      </c>
      <c r="I7" s="33"/>
    </row>
    <row r="8" spans="1:12">
      <c r="A8" s="20" t="s">
        <v>37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194</v>
      </c>
      <c r="B11" s="37"/>
      <c r="I11" s="33"/>
    </row>
    <row r="12" spans="1:12" ht="15.75" customHeight="1">
      <c r="A12" s="38" t="s">
        <v>45</v>
      </c>
      <c r="B12" s="38" t="s">
        <v>195</v>
      </c>
      <c r="C12" s="38" t="s">
        <v>196</v>
      </c>
      <c r="D12" s="38" t="s">
        <v>197</v>
      </c>
      <c r="E12" s="38" t="s">
        <v>37</v>
      </c>
      <c r="F12" s="38" t="s">
        <v>198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199</v>
      </c>
    </row>
    <row r="26" spans="1:7" ht="15.75" customHeight="1">
      <c r="A26" s="38" t="s">
        <v>45</v>
      </c>
      <c r="B26" s="168" t="s">
        <v>530</v>
      </c>
      <c r="C26" s="168" t="s">
        <v>531</v>
      </c>
      <c r="D26" s="168" t="s">
        <v>532</v>
      </c>
      <c r="E26" s="38" t="s">
        <v>37</v>
      </c>
      <c r="F26" s="38" t="s">
        <v>198</v>
      </c>
      <c r="G26" s="38" t="s">
        <v>200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9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9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9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9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9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9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9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9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9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9">
        <v>0.27</v>
      </c>
    </row>
    <row r="38" spans="1:7">
      <c r="F38" s="20">
        <f>SUM(F27:F37)</f>
        <v>3.8686075399748545</v>
      </c>
    </row>
    <row r="40" spans="1:7" ht="21" customHeight="1">
      <c r="A40" s="36" t="s">
        <v>201</v>
      </c>
    </row>
    <row r="41" spans="1:7" ht="15.75" customHeight="1">
      <c r="A41" s="38" t="s">
        <v>45</v>
      </c>
      <c r="B41" s="168" t="s">
        <v>530</v>
      </c>
      <c r="C41" s="168" t="s">
        <v>531</v>
      </c>
      <c r="D41" s="168" t="s">
        <v>532</v>
      </c>
      <c r="E41" s="38" t="s">
        <v>37</v>
      </c>
      <c r="F41" s="38" t="s">
        <v>202</v>
      </c>
      <c r="G41" s="38" t="s">
        <v>203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85</v>
      </c>
      <c r="F44" s="20" t="s">
        <v>86</v>
      </c>
    </row>
    <row r="45" spans="1:7">
      <c r="D45" s="20" t="s">
        <v>204</v>
      </c>
      <c r="E45" s="20">
        <f>0</f>
        <v>0</v>
      </c>
      <c r="F45" s="39">
        <f>E8</f>
        <v>0.05</v>
      </c>
    </row>
    <row r="46" spans="1:7">
      <c r="D46" s="20" t="s">
        <v>205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206</v>
      </c>
      <c r="C3" t="s">
        <v>207</v>
      </c>
      <c r="D3" t="s">
        <v>208</v>
      </c>
      <c r="E3" t="s">
        <v>209</v>
      </c>
      <c r="F3" t="s">
        <v>193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210</v>
      </c>
    </row>
    <row r="7" spans="1:6">
      <c r="B7" t="s">
        <v>206</v>
      </c>
      <c r="C7" t="s">
        <v>207</v>
      </c>
      <c r="D7" t="s">
        <v>208</v>
      </c>
      <c r="E7" t="s">
        <v>209</v>
      </c>
    </row>
    <row r="8" spans="1:6">
      <c r="A8" t="s">
        <v>206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207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208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209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211</v>
      </c>
      <c r="B16">
        <f>SQRT(B15)</f>
        <v>0.28887580275679142</v>
      </c>
    </row>
    <row r="17" spans="1:3">
      <c r="A17" t="s">
        <v>203</v>
      </c>
      <c r="B17">
        <f>(B14-0.01)/B16</f>
        <v>0.66810867105858551</v>
      </c>
    </row>
    <row r="19" spans="1:3">
      <c r="B19" t="s">
        <v>212</v>
      </c>
    </row>
    <row r="20" spans="1:3">
      <c r="A20" t="s">
        <v>206</v>
      </c>
      <c r="B20">
        <f>B13</f>
        <v>1</v>
      </c>
      <c r="C20">
        <f>B20/(1+$C$13)</f>
        <v>0.49501147778198873</v>
      </c>
    </row>
    <row r="21" spans="1:3">
      <c r="A21" t="s">
        <v>213</v>
      </c>
      <c r="B21">
        <f>C13</f>
        <v>1.0201551779783511</v>
      </c>
      <c r="C21">
        <f>B21/(1+$C$13)</f>
        <v>0.50498852221801127</v>
      </c>
    </row>
    <row r="22" spans="1:3">
      <c r="A22" t="s">
        <v>214</v>
      </c>
      <c r="B22">
        <f>D13</f>
        <v>0.1386915190257931</v>
      </c>
      <c r="C22">
        <f>B22/(1+$C$13)</f>
        <v>6.8653893788786655E-2</v>
      </c>
    </row>
    <row r="23" spans="1:3">
      <c r="A23" t="s">
        <v>215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40625" defaultRowHeight="15"/>
  <cols>
    <col min="1" max="1" width="10.5703125" bestFit="1" customWidth="1"/>
    <col min="5" max="5" width="12" bestFit="1" customWidth="1"/>
    <col min="6" max="6" width="12.5703125" bestFit="1" customWidth="1"/>
    <col min="7" max="7" width="27.5703125" customWidth="1"/>
    <col min="8" max="8" width="12.5703125" bestFit="1" customWidth="1"/>
    <col min="9" max="9" width="21.42578125" customWidth="1"/>
    <col min="10" max="10" width="8" customWidth="1"/>
    <col min="12" max="12" width="8.42578125" customWidth="1"/>
    <col min="13" max="13" width="12.5703125" bestFit="1" customWidth="1"/>
    <col min="14" max="14" width="16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98</v>
      </c>
      <c r="B1" s="199">
        <v>2E-3</v>
      </c>
      <c r="F1" s="253" t="s">
        <v>94</v>
      </c>
      <c r="G1" s="252"/>
      <c r="H1" s="252"/>
      <c r="I1" s="252"/>
      <c r="J1" s="1"/>
      <c r="N1" s="54" t="s">
        <v>638</v>
      </c>
      <c r="P1" s="1"/>
      <c r="Q1" s="1"/>
    </row>
    <row r="2" spans="1:17">
      <c r="A2" s="1"/>
      <c r="B2" s="251"/>
      <c r="C2" s="252"/>
      <c r="D2" s="252"/>
      <c r="E2" s="3"/>
      <c r="F2" s="55"/>
      <c r="G2" s="54" t="s">
        <v>633</v>
      </c>
      <c r="H2" s="53"/>
      <c r="I2" s="54" t="s">
        <v>633</v>
      </c>
      <c r="J2" s="1"/>
      <c r="N2" s="54" t="s">
        <v>635</v>
      </c>
      <c r="P2" s="1"/>
      <c r="Q2" s="1"/>
    </row>
    <row r="3" spans="1:17">
      <c r="B3" s="251" t="s">
        <v>95</v>
      </c>
      <c r="C3" s="252"/>
      <c r="D3" s="252"/>
      <c r="E3" s="3"/>
      <c r="F3" s="55"/>
      <c r="G3" s="54" t="s">
        <v>216</v>
      </c>
      <c r="H3" s="54"/>
      <c r="I3" s="54" t="s">
        <v>217</v>
      </c>
      <c r="J3" s="3"/>
      <c r="N3" s="54" t="s">
        <v>637</v>
      </c>
      <c r="P3" s="3"/>
      <c r="Q3" s="3"/>
    </row>
    <row r="4" spans="1:17" ht="23.25">
      <c r="B4" s="1" t="s">
        <v>45</v>
      </c>
      <c r="C4" s="1" t="s">
        <v>216</v>
      </c>
      <c r="D4" s="1" t="s">
        <v>217</v>
      </c>
      <c r="E4" s="1"/>
      <c r="F4" s="56" t="s">
        <v>218</v>
      </c>
      <c r="G4" s="203" t="s">
        <v>219</v>
      </c>
      <c r="H4" s="56" t="s">
        <v>217</v>
      </c>
      <c r="I4" s="203" t="s">
        <v>220</v>
      </c>
      <c r="J4" s="28"/>
      <c r="N4" s="202" t="s">
        <v>636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9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54" t="s">
        <v>634</v>
      </c>
      <c r="L40" s="254"/>
      <c r="M40" s="254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45</v>
      </c>
      <c r="L41" s="205" t="s">
        <v>216</v>
      </c>
      <c r="M41" s="44" t="s">
        <v>217</v>
      </c>
    </row>
    <row r="42" spans="1:16">
      <c r="A42" s="44"/>
      <c r="B42" s="42" t="s">
        <v>45</v>
      </c>
      <c r="C42" s="42" t="s">
        <v>216</v>
      </c>
      <c r="D42" s="42" t="s">
        <v>217</v>
      </c>
      <c r="E42" s="1"/>
      <c r="F42" s="41" t="s">
        <v>221</v>
      </c>
      <c r="G42" s="45">
        <v>0</v>
      </c>
      <c r="H42" s="41" t="s">
        <v>221</v>
      </c>
      <c r="I42" s="45">
        <v>0</v>
      </c>
      <c r="J42" s="4"/>
      <c r="K42" s="206">
        <v>0.86031090364370344</v>
      </c>
      <c r="L42" s="206">
        <v>0</v>
      </c>
      <c r="M42" s="206">
        <v>0</v>
      </c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37</v>
      </c>
      <c r="G43" s="18">
        <f>AVERAGE(G5:G40)+B1</f>
        <v>1.5475000000000001E-2</v>
      </c>
      <c r="H43" s="3" t="s">
        <v>37</v>
      </c>
      <c r="I43" s="18">
        <f>AVERAGE(I5:I40)+B1</f>
        <v>1.5475000000000001E-2</v>
      </c>
      <c r="J43" s="6"/>
      <c r="L43" s="198"/>
      <c r="M43" s="3" t="s">
        <v>37</v>
      </c>
      <c r="N43" s="18">
        <f>AVERAGE(N5:N40)+B1</f>
        <v>1.3313311233886311E-2</v>
      </c>
      <c r="O43" s="1"/>
      <c r="P43" s="6"/>
    </row>
    <row r="44" spans="1:16">
      <c r="A44" s="47" t="s">
        <v>223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222</v>
      </c>
      <c r="G44" s="18">
        <f>AVERAGE(G5:G40)</f>
        <v>1.3475000000000001E-2</v>
      </c>
      <c r="H44" s="3" t="s">
        <v>222</v>
      </c>
      <c r="I44" s="18">
        <f>AVERAGE(I5:I40)</f>
        <v>1.3475000000000001E-2</v>
      </c>
      <c r="J44" s="6"/>
      <c r="K44" s="1"/>
      <c r="L44" s="200"/>
      <c r="M44" s="3" t="s">
        <v>222</v>
      </c>
      <c r="N44" s="18">
        <f>AVERAGE(N5:N40)</f>
        <v>1.1313311233886311E-2</v>
      </c>
      <c r="O44" s="1"/>
      <c r="P44" s="6"/>
    </row>
    <row r="45" spans="1:16">
      <c r="A45" s="44" t="s">
        <v>203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223</v>
      </c>
      <c r="G45" s="18">
        <f>STDEVP(G5:G40)</f>
        <v>4.731299078712127E-2</v>
      </c>
      <c r="H45" s="3" t="s">
        <v>76</v>
      </c>
      <c r="I45" s="18">
        <f>STDEVP(I5:I40)</f>
        <v>4.731299078712127E-2</v>
      </c>
      <c r="K45" s="1"/>
      <c r="L45" s="201"/>
      <c r="M45" s="3" t="s">
        <v>76</v>
      </c>
      <c r="N45" s="18">
        <f>STDEVP(N5:N40)</f>
        <v>4.0703881858154524E-2</v>
      </c>
      <c r="O45" s="1"/>
      <c r="P45" s="6"/>
    </row>
    <row r="46" spans="1:16">
      <c r="E46" s="6"/>
      <c r="F46" s="41" t="s">
        <v>203</v>
      </c>
      <c r="G46" s="153">
        <f>(G44)/G45</f>
        <v>0.28480550005027233</v>
      </c>
      <c r="H46" s="41" t="s">
        <v>203</v>
      </c>
      <c r="I46" s="153">
        <f>(I44)/I45</f>
        <v>0.28480550005027233</v>
      </c>
      <c r="J46" s="26"/>
      <c r="M46" s="41" t="s">
        <v>203</v>
      </c>
      <c r="N46" s="153">
        <f>(N44)/N45</f>
        <v>0.27794182563007386</v>
      </c>
      <c r="O46" s="1"/>
      <c r="P46" s="29"/>
    </row>
    <row r="47" spans="1:16">
      <c r="F47" s="58" t="s">
        <v>224</v>
      </c>
      <c r="G47" s="167">
        <f>INTERCEPT(F5:F40,G5:G40)</f>
        <v>9.1796413233198194E-3</v>
      </c>
      <c r="H47" s="57" t="s">
        <v>224</v>
      </c>
      <c r="I47" s="167">
        <f>INTERCEPT(H5:H40,I5:I40)</f>
        <v>-2.4008774237008947E-3</v>
      </c>
      <c r="J47" s="48"/>
      <c r="N47" s="194" t="s">
        <v>216</v>
      </c>
      <c r="O47" s="194" t="s">
        <v>217</v>
      </c>
      <c r="P47" s="59"/>
    </row>
    <row r="48" spans="1:16">
      <c r="F48" s="58" t="s">
        <v>225</v>
      </c>
      <c r="G48" s="196">
        <f>SLOPE(F5:F40,G5:G40)</f>
        <v>-0.68622455683264005</v>
      </c>
      <c r="H48" s="194" t="s">
        <v>225</v>
      </c>
      <c r="I48" s="197">
        <f>SLOPE(H5:H40,I5:I40)</f>
        <v>1.3174391088576127</v>
      </c>
      <c r="J48" s="26"/>
      <c r="M48" s="57" t="s">
        <v>224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5" t="s">
        <v>631</v>
      </c>
      <c r="G49" s="26">
        <f>(C43-G43)/(G44)</f>
        <v>-1.0049895792207795</v>
      </c>
      <c r="H49" s="195" t="s">
        <v>631</v>
      </c>
      <c r="I49" s="26">
        <f>($D$43-I43)/I44</f>
        <v>0.13926638724715693</v>
      </c>
      <c r="M49" s="194" t="s">
        <v>225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5" t="s">
        <v>632</v>
      </c>
      <c r="G50" s="26">
        <f>G48-1</f>
        <v>-1.6862245568326402</v>
      </c>
      <c r="H50" s="195" t="s">
        <v>632</v>
      </c>
      <c r="I50" s="26">
        <f>I48-1</f>
        <v>0.31743910885761273</v>
      </c>
      <c r="M50" s="195" t="s">
        <v>631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4"/>
      <c r="H51" s="204"/>
      <c r="I51" s="44"/>
      <c r="K51" s="44"/>
      <c r="L51" s="44"/>
      <c r="M51" s="207" t="s">
        <v>632</v>
      </c>
      <c r="N51" s="153">
        <f>N49-1</f>
        <v>-1.7976471690946267</v>
      </c>
      <c r="O51" s="208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570312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237</v>
      </c>
      <c r="G2" s="250" t="s">
        <v>41</v>
      </c>
      <c r="H2" s="248"/>
      <c r="I2" s="248"/>
    </row>
    <row r="3" spans="1:16">
      <c r="E3" s="4">
        <v>1.0000000000000001E-5</v>
      </c>
      <c r="H3" s="1" t="s">
        <v>72</v>
      </c>
      <c r="I3" s="1" t="s">
        <v>238</v>
      </c>
      <c r="L3" t="s">
        <v>239</v>
      </c>
    </row>
    <row r="4" spans="1:16">
      <c r="B4" s="250" t="s">
        <v>95</v>
      </c>
      <c r="C4" s="248"/>
      <c r="E4" s="1" t="s">
        <v>240</v>
      </c>
      <c r="G4" s="1" t="s">
        <v>241</v>
      </c>
      <c r="H4" s="1" t="s">
        <v>45</v>
      </c>
      <c r="I4" s="1" t="s">
        <v>45</v>
      </c>
      <c r="K4" s="1" t="s">
        <v>242</v>
      </c>
      <c r="L4" s="1" t="s">
        <v>242</v>
      </c>
      <c r="N4" s="1" t="s">
        <v>243</v>
      </c>
    </row>
    <row r="5" spans="1:16">
      <c r="A5" s="1" t="s">
        <v>244</v>
      </c>
      <c r="B5" s="1" t="s">
        <v>241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103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5"/>
  <cols>
    <col min="1" max="1" width="9.570312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244</v>
      </c>
      <c r="B1" s="7" t="s">
        <v>247</v>
      </c>
      <c r="C1" s="7" t="s">
        <v>248</v>
      </c>
    </row>
    <row r="2" spans="1:9">
      <c r="A2" s="164">
        <v>43860</v>
      </c>
      <c r="B2">
        <v>5.0843903694797889E-2</v>
      </c>
      <c r="C2">
        <v>1.9800000000000002E-2</v>
      </c>
      <c r="E2" t="s">
        <v>249</v>
      </c>
      <c r="F2" t="s">
        <v>250</v>
      </c>
      <c r="G2" s="4" t="s">
        <v>81</v>
      </c>
      <c r="H2" t="s">
        <v>251</v>
      </c>
      <c r="I2" t="s">
        <v>252</v>
      </c>
    </row>
    <row r="3" spans="1:9">
      <c r="A3" s="164">
        <v>43890</v>
      </c>
      <c r="B3">
        <v>3.7895950238514511E-2</v>
      </c>
      <c r="C3">
        <v>3.6099999999999903E-2</v>
      </c>
      <c r="D3" s="163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60">
        <f>(G3^2*F3)/E3</f>
        <v>0.48954056310066146</v>
      </c>
      <c r="I3" s="160">
        <f>1-H3</f>
        <v>0.51045943689933848</v>
      </c>
    </row>
    <row r="4" spans="1:9">
      <c r="A4" s="164">
        <v>43919</v>
      </c>
      <c r="B4">
        <v>-3.2152122497598683E-2</v>
      </c>
      <c r="C4">
        <v>2E-3</v>
      </c>
      <c r="D4" s="163"/>
    </row>
    <row r="5" spans="1:9">
      <c r="A5" s="164">
        <v>43950</v>
      </c>
      <c r="B5">
        <v>-7.9307355781586278E-2</v>
      </c>
      <c r="C5">
        <v>1.14E-2</v>
      </c>
      <c r="D5" s="163"/>
    </row>
    <row r="6" spans="1:9">
      <c r="A6" s="164">
        <v>43980</v>
      </c>
      <c r="B6">
        <v>-3.7663882554005039E-2</v>
      </c>
      <c r="C6">
        <v>1.12E-2</v>
      </c>
      <c r="D6" s="163"/>
    </row>
    <row r="7" spans="1:9">
      <c r="A7" s="164">
        <v>44011</v>
      </c>
      <c r="B7">
        <v>8.4383313704003895E-3</v>
      </c>
      <c r="C7">
        <v>8.3999999999999995E-3</v>
      </c>
      <c r="D7" s="163"/>
    </row>
    <row r="8" spans="1:9">
      <c r="A8" s="164">
        <v>44041</v>
      </c>
      <c r="B8">
        <v>-5.7677310033791798E-2</v>
      </c>
      <c r="C8">
        <v>1.9400000000000001E-2</v>
      </c>
      <c r="D8" s="163"/>
    </row>
    <row r="9" spans="1:9">
      <c r="A9" s="164">
        <v>44072</v>
      </c>
      <c r="B9">
        <v>-1.250289387472992E-3</v>
      </c>
      <c r="C9">
        <v>2.5000000000000001E-3</v>
      </c>
      <c r="D9" s="163"/>
    </row>
    <row r="10" spans="1:9">
      <c r="A10" s="164">
        <v>44103</v>
      </c>
      <c r="B10">
        <v>1.5634894260993029E-2</v>
      </c>
      <c r="C10">
        <v>2.5999999999999999E-2</v>
      </c>
      <c r="D10" s="163"/>
    </row>
    <row r="11" spans="1:9">
      <c r="A11" s="164">
        <v>44133</v>
      </c>
      <c r="B11">
        <v>6.2851017703577816E-2</v>
      </c>
      <c r="C11">
        <v>2.3400000000000001E-2</v>
      </c>
      <c r="D11" s="163"/>
    </row>
    <row r="12" spans="1:9">
      <c r="A12" s="164">
        <v>44164</v>
      </c>
      <c r="B12">
        <v>8.1864131934943022E-3</v>
      </c>
      <c r="C12">
        <v>3.2000000000000001E-2</v>
      </c>
      <c r="D12" s="163"/>
    </row>
    <row r="13" spans="1:9">
      <c r="A13" s="164">
        <v>44194</v>
      </c>
      <c r="B13">
        <v>-2.1634586666526758E-3</v>
      </c>
      <c r="C13">
        <v>1.15E-2</v>
      </c>
      <c r="D13" s="163"/>
    </row>
    <row r="14" spans="1:9">
      <c r="A14" s="164">
        <v>44225</v>
      </c>
      <c r="B14">
        <v>6.7950355972360377E-2</v>
      </c>
      <c r="C14">
        <v>5.6899999999999999E-2</v>
      </c>
      <c r="D14" s="163"/>
    </row>
    <row r="15" spans="1:9">
      <c r="A15" s="164">
        <v>44255</v>
      </c>
      <c r="B15">
        <v>-4.0626472410250108E-2</v>
      </c>
      <c r="C15">
        <v>-3.5400000000000001E-2</v>
      </c>
      <c r="D15" s="163"/>
    </row>
    <row r="16" spans="1:9">
      <c r="A16" s="164">
        <v>44283</v>
      </c>
      <c r="B16">
        <v>-1.511755089332196E-2</v>
      </c>
      <c r="C16">
        <v>-2.23E-2</v>
      </c>
      <c r="D16" s="163"/>
    </row>
    <row r="17" spans="1:4">
      <c r="A17" s="164">
        <v>44314</v>
      </c>
      <c r="B17">
        <v>-5.6176209421377958E-2</v>
      </c>
      <c r="C17">
        <v>4.3E-3</v>
      </c>
      <c r="D17" s="163"/>
    </row>
    <row r="18" spans="1:4">
      <c r="A18" s="164">
        <v>44344</v>
      </c>
      <c r="B18">
        <v>-1.5911531162417541E-2</v>
      </c>
      <c r="C18">
        <v>2.7900000000000001E-2</v>
      </c>
      <c r="D18" s="163"/>
    </row>
    <row r="19" spans="1:4">
      <c r="A19" s="164">
        <v>44375</v>
      </c>
      <c r="B19">
        <v>-1.0600635052978501E-2</v>
      </c>
      <c r="C19">
        <v>6.1999999999999998E-3</v>
      </c>
      <c r="D19" s="163"/>
    </row>
    <row r="20" spans="1:4">
      <c r="A20" s="164">
        <v>44405</v>
      </c>
      <c r="B20">
        <v>3.8913394252502682E-2</v>
      </c>
      <c r="C20">
        <v>3.3499999999999898E-2</v>
      </c>
      <c r="D20" s="163"/>
    </row>
    <row r="21" spans="1:4">
      <c r="A21" s="164">
        <v>44436</v>
      </c>
      <c r="B21">
        <v>2.3196412840078791E-2</v>
      </c>
      <c r="C21">
        <v>3.5999999999999997E-2</v>
      </c>
      <c r="D21" s="163"/>
    </row>
    <row r="22" spans="1:4">
      <c r="A22" s="164">
        <v>44467</v>
      </c>
      <c r="B22">
        <v>3.1710989315308302E-2</v>
      </c>
      <c r="C22">
        <v>2.0999999999999999E-3</v>
      </c>
      <c r="D22" s="163"/>
    </row>
    <row r="23" spans="1:4">
      <c r="A23" s="164">
        <v>44497</v>
      </c>
      <c r="B23">
        <v>-0.2357214774062989</v>
      </c>
      <c r="C23">
        <v>-7.4899999999999994E-2</v>
      </c>
      <c r="D23" s="163"/>
    </row>
    <row r="24" spans="1:4">
      <c r="A24" s="164">
        <v>44528</v>
      </c>
      <c r="B24">
        <v>8.989623584892964E-2</v>
      </c>
      <c r="C24">
        <v>1.8699999999999901E-2</v>
      </c>
      <c r="D24" s="163"/>
    </row>
    <row r="25" spans="1:4">
      <c r="A25" s="164">
        <v>44558</v>
      </c>
      <c r="B25">
        <v>-8.6153304283064516E-2</v>
      </c>
      <c r="C25">
        <v>-9.3600000000000003E-2</v>
      </c>
      <c r="D25" s="163"/>
    </row>
    <row r="26" spans="1:4">
      <c r="A26" s="164">
        <v>44589</v>
      </c>
      <c r="B26">
        <v>0.18369298535781869</v>
      </c>
      <c r="C26">
        <v>8.6199999999999999E-2</v>
      </c>
      <c r="D26" s="163"/>
    </row>
    <row r="27" spans="1:4">
      <c r="A27" s="164">
        <v>44620</v>
      </c>
      <c r="B27">
        <v>4.0922642823122482E-2</v>
      </c>
      <c r="C27">
        <v>3.5799999999999998E-2</v>
      </c>
      <c r="D27" s="163"/>
    </row>
    <row r="28" spans="1:4">
      <c r="A28" s="164">
        <v>44648</v>
      </c>
      <c r="B28">
        <v>2.2579257390105401E-2</v>
      </c>
      <c r="C28">
        <v>1.29E-2</v>
      </c>
      <c r="D28" s="163"/>
    </row>
    <row r="29" spans="1:4">
      <c r="A29" s="164">
        <v>44679</v>
      </c>
      <c r="B29">
        <v>-6.2542798365952694E-3</v>
      </c>
      <c r="C29">
        <v>4.1699999999999897E-2</v>
      </c>
      <c r="D29" s="163"/>
    </row>
    <row r="30" spans="1:4">
      <c r="A30" s="164">
        <v>44709</v>
      </c>
      <c r="B30">
        <v>-8.5101151780856879E-2</v>
      </c>
      <c r="C30">
        <v>-6.7299999999999999E-2</v>
      </c>
      <c r="D30" s="163"/>
    </row>
    <row r="31" spans="1:4">
      <c r="A31" s="164">
        <v>44740</v>
      </c>
      <c r="B31">
        <v>8.7034053125332092E-2</v>
      </c>
      <c r="C31">
        <v>7.1099999999999997E-2</v>
      </c>
      <c r="D31" s="163"/>
    </row>
    <row r="32" spans="1:4">
      <c r="A32" s="164">
        <v>44770</v>
      </c>
      <c r="B32">
        <v>7.6017440324677707E-2</v>
      </c>
      <c r="C32">
        <v>1.38E-2</v>
      </c>
      <c r="D32" s="163"/>
    </row>
    <row r="33" spans="1:4">
      <c r="A33" s="164">
        <v>44801</v>
      </c>
      <c r="B33">
        <v>-7.6065421717074755E-2</v>
      </c>
      <c r="C33">
        <v>-2.4199999999999999E-2</v>
      </c>
      <c r="D33" s="163"/>
    </row>
    <row r="34" spans="1:4">
      <c r="A34" s="164">
        <v>44832</v>
      </c>
      <c r="B34">
        <v>7.2895892696218753E-2</v>
      </c>
      <c r="C34">
        <v>1.61E-2</v>
      </c>
      <c r="D34" s="163"/>
    </row>
    <row r="35" spans="1:4">
      <c r="A35" s="164">
        <v>44862</v>
      </c>
      <c r="B35">
        <v>-8.0268660519472818E-2</v>
      </c>
      <c r="C35">
        <v>2.2100000000000002E-2</v>
      </c>
      <c r="D35" s="163"/>
    </row>
    <row r="36" spans="1:4">
      <c r="A36" s="164">
        <v>44893</v>
      </c>
      <c r="B36">
        <v>1.8246479147417342E-2</v>
      </c>
      <c r="C36">
        <v>3.9899999999999998E-2</v>
      </c>
      <c r="D36" s="163"/>
    </row>
    <row r="37" spans="1:4">
      <c r="A37" s="164">
        <v>44923</v>
      </c>
      <c r="B37">
        <v>-1.7876956249486861E-3</v>
      </c>
      <c r="C37">
        <v>2.9100000000000001E-2</v>
      </c>
      <c r="D37" s="163"/>
    </row>
    <row r="38" spans="1:4">
      <c r="A38" s="164">
        <v>44954</v>
      </c>
      <c r="B38">
        <v>7.353837027289048E-2</v>
      </c>
      <c r="C38">
        <v>1.9999999999999901E-4</v>
      </c>
      <c r="D38" s="163"/>
    </row>
    <row r="39" spans="1:4">
      <c r="A39" s="164">
        <v>44985</v>
      </c>
      <c r="B39">
        <v>-8.4428787635322008E-2</v>
      </c>
      <c r="C39">
        <v>-8.0100000000000005E-2</v>
      </c>
      <c r="D39" s="163"/>
    </row>
    <row r="40" spans="1:4">
      <c r="A40" s="164">
        <v>45013</v>
      </c>
      <c r="B40">
        <v>-0.14778281211724181</v>
      </c>
      <c r="C40">
        <v>-0.1326</v>
      </c>
      <c r="D40" s="163"/>
    </row>
    <row r="41" spans="1:4">
      <c r="A41" s="164">
        <v>45044</v>
      </c>
      <c r="B41">
        <v>0.13155101120000551</v>
      </c>
      <c r="C41">
        <v>0.13650000000000001</v>
      </c>
      <c r="D41" s="163"/>
    </row>
    <row r="42" spans="1:4">
      <c r="A42" s="164">
        <v>45074</v>
      </c>
      <c r="B42">
        <v>6.8144793969852737E-3</v>
      </c>
      <c r="C42">
        <v>5.5899999999999998E-2</v>
      </c>
      <c r="D42" s="163"/>
    </row>
    <row r="43" spans="1:4">
      <c r="A43" s="164">
        <v>45105</v>
      </c>
      <c r="B43">
        <v>-3.1714980993078012E-2</v>
      </c>
      <c r="C43">
        <v>2.47E-2</v>
      </c>
      <c r="D43" s="163"/>
    </row>
    <row r="44" spans="1:4">
      <c r="A44" s="164">
        <v>45135</v>
      </c>
      <c r="B44">
        <v>1.7035732531146749E-2</v>
      </c>
      <c r="C44">
        <v>5.7799999999999997E-2</v>
      </c>
      <c r="D44" s="163"/>
    </row>
    <row r="45" spans="1:4">
      <c r="A45" s="164">
        <v>45166</v>
      </c>
      <c r="B45">
        <v>1.7656448853695831E-2</v>
      </c>
      <c r="C45">
        <v>7.6399999999999996E-2</v>
      </c>
      <c r="D45" s="163"/>
    </row>
    <row r="46" spans="1:4">
      <c r="A46" s="164">
        <v>45197</v>
      </c>
      <c r="B46">
        <v>-1.2869741154377159E-2</v>
      </c>
      <c r="C46">
        <v>-3.6199999999999899E-2</v>
      </c>
      <c r="D46" s="163"/>
    </row>
    <row r="47" spans="1:4">
      <c r="A47" s="164">
        <v>45227</v>
      </c>
      <c r="B47">
        <v>-8.1299130349501675E-2</v>
      </c>
      <c r="C47">
        <v>-2.0899999999999998E-2</v>
      </c>
      <c r="D47" s="163"/>
    </row>
    <row r="48" spans="1:4">
      <c r="A48" s="164">
        <v>45258</v>
      </c>
      <c r="B48">
        <v>0.1223153204810587</v>
      </c>
      <c r="C48">
        <v>0.12479999999999999</v>
      </c>
      <c r="D48" s="163"/>
    </row>
    <row r="49" spans="1:4">
      <c r="A49" s="164">
        <v>45288</v>
      </c>
      <c r="B49">
        <v>1.7501782408830529E-2</v>
      </c>
      <c r="C49">
        <v>4.6399999999999997E-2</v>
      </c>
      <c r="D49" s="163"/>
    </row>
    <row r="50" spans="1:4">
      <c r="A50" s="164">
        <v>45319</v>
      </c>
      <c r="B50">
        <v>-5.4897313557708612E-2</v>
      </c>
      <c r="C50">
        <v>-2.9999999999999997E-4</v>
      </c>
      <c r="D50" s="163"/>
    </row>
    <row r="51" spans="1:4">
      <c r="A51" s="164">
        <v>45350</v>
      </c>
      <c r="B51">
        <v>1.1996391966177539E-2</v>
      </c>
      <c r="C51">
        <v>2.7799999999999998E-2</v>
      </c>
      <c r="D51" s="163"/>
    </row>
    <row r="52" spans="1:4">
      <c r="A52" s="164">
        <v>45379</v>
      </c>
      <c r="B52">
        <v>0.1203781510755961</v>
      </c>
      <c r="C52">
        <v>3.0800000000000001E-2</v>
      </c>
      <c r="D52" s="163"/>
    </row>
    <row r="53" spans="1:4">
      <c r="A53" s="164">
        <v>45410</v>
      </c>
      <c r="B53">
        <v>6.4112003736934015E-2</v>
      </c>
      <c r="C53">
        <v>4.9299999999999997E-2</v>
      </c>
      <c r="D53" s="163"/>
    </row>
    <row r="54" spans="1:4">
      <c r="A54" s="164">
        <v>45440</v>
      </c>
      <c r="B54">
        <v>2.406050237626231E-2</v>
      </c>
      <c r="C54">
        <v>2.8999999999999998E-3</v>
      </c>
      <c r="D54" s="163"/>
    </row>
    <row r="55" spans="1:4">
      <c r="A55" s="164">
        <v>45471</v>
      </c>
      <c r="B55">
        <v>1.974072745087279E-2</v>
      </c>
      <c r="C55">
        <v>2.75E-2</v>
      </c>
      <c r="D55" s="163"/>
    </row>
    <row r="56" spans="1:4">
      <c r="A56" s="164">
        <v>45501</v>
      </c>
      <c r="B56">
        <v>-3.9441009904520902E-2</v>
      </c>
      <c r="C56">
        <v>1.2699999999999999E-2</v>
      </c>
      <c r="D56" s="163"/>
    </row>
    <row r="57" spans="1:4">
      <c r="A57" s="164">
        <v>45532</v>
      </c>
      <c r="B57">
        <v>7.7179265708166639E-3</v>
      </c>
      <c r="C57">
        <v>2.8999999999999901E-2</v>
      </c>
      <c r="D57" s="163"/>
    </row>
    <row r="58" spans="1:4">
      <c r="A58" s="164">
        <v>45563</v>
      </c>
      <c r="B58">
        <v>-9.9484856940726708E-3</v>
      </c>
      <c r="C58">
        <v>-4.3700000000000003E-2</v>
      </c>
      <c r="D58" s="163"/>
    </row>
    <row r="59" spans="1:4">
      <c r="A59" s="164">
        <v>45593</v>
      </c>
      <c r="B59">
        <v>-9.7863096962537852E-2</v>
      </c>
      <c r="C59">
        <v>6.6500000000000004E-2</v>
      </c>
      <c r="D59" s="163"/>
    </row>
    <row r="60" spans="1:4">
      <c r="A60" s="164">
        <v>45624</v>
      </c>
      <c r="B60">
        <v>-8.7905842258344281E-3</v>
      </c>
      <c r="C60">
        <v>-1.55E-2</v>
      </c>
      <c r="D60" s="163"/>
    </row>
    <row r="61" spans="1:4">
      <c r="A61" s="164">
        <v>45654</v>
      </c>
      <c r="B61">
        <v>4.2824211999999999E-3</v>
      </c>
      <c r="C61" s="40">
        <v>2.3157238530000001E-3</v>
      </c>
      <c r="D61" s="16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5703125" bestFit="1" customWidth="1"/>
  </cols>
  <sheetData>
    <row r="1" spans="1:10">
      <c r="B1" s="250" t="s">
        <v>226</v>
      </c>
      <c r="C1" s="248"/>
      <c r="D1" s="248"/>
    </row>
    <row r="2" spans="1:10">
      <c r="B2" s="1" t="s">
        <v>216</v>
      </c>
      <c r="C2" s="1" t="s">
        <v>217</v>
      </c>
      <c r="D2" s="1" t="s">
        <v>639</v>
      </c>
    </row>
    <row r="3" spans="1:10">
      <c r="B3">
        <v>0.15</v>
      </c>
      <c r="C3">
        <v>0.26</v>
      </c>
      <c r="D3">
        <v>0.04</v>
      </c>
    </row>
    <row r="5" spans="1:10">
      <c r="B5" s="250" t="s">
        <v>191</v>
      </c>
      <c r="C5" s="248"/>
      <c r="D5" s="248"/>
    </row>
    <row r="6" spans="1:10">
      <c r="F6" s="250"/>
      <c r="G6" s="248"/>
      <c r="H6" s="248"/>
    </row>
    <row r="7" spans="1:10">
      <c r="B7" s="1" t="s">
        <v>216</v>
      </c>
      <c r="C7" s="1" t="s">
        <v>217</v>
      </c>
      <c r="D7" s="1" t="s">
        <v>639</v>
      </c>
      <c r="F7" s="1"/>
      <c r="G7" s="1"/>
      <c r="H7" s="1"/>
    </row>
    <row r="8" spans="1:10">
      <c r="A8" s="1" t="s">
        <v>216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217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639</v>
      </c>
      <c r="B10">
        <v>-1.1039999999999999E-2</v>
      </c>
      <c r="C10">
        <v>-8.9999999999999993E-3</v>
      </c>
      <c r="D10">
        <v>0.09</v>
      </c>
    </row>
    <row r="13" spans="1:10">
      <c r="B13" s="250" t="s">
        <v>230</v>
      </c>
      <c r="C13" s="248"/>
      <c r="D13" s="248"/>
      <c r="H13" s="250" t="s">
        <v>231</v>
      </c>
      <c r="I13" s="248"/>
      <c r="J13" s="248"/>
    </row>
    <row r="14" spans="1:10">
      <c r="B14" s="247" t="s">
        <v>232</v>
      </c>
      <c r="C14" s="248"/>
      <c r="D14" s="248"/>
      <c r="H14" s="247" t="s">
        <v>232</v>
      </c>
      <c r="I14" s="248"/>
      <c r="J14" s="248"/>
    </row>
    <row r="15" spans="1:10">
      <c r="B15" s="1" t="s">
        <v>216</v>
      </c>
      <c r="C15" s="1" t="s">
        <v>217</v>
      </c>
      <c r="D15" s="1" t="s">
        <v>639</v>
      </c>
      <c r="F15" s="1"/>
      <c r="H15" s="1" t="s">
        <v>216</v>
      </c>
      <c r="I15" s="1" t="s">
        <v>217</v>
      </c>
      <c r="J15" s="1" t="s">
        <v>639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233</v>
      </c>
      <c r="C18" t="s">
        <v>234</v>
      </c>
      <c r="D18" t="s">
        <v>37</v>
      </c>
      <c r="E18" t="s">
        <v>235</v>
      </c>
      <c r="H18" t="s">
        <v>233</v>
      </c>
      <c r="I18" t="s">
        <v>234</v>
      </c>
      <c r="J18" t="s">
        <v>37</v>
      </c>
      <c r="K18" t="s">
        <v>235</v>
      </c>
    </row>
    <row r="19" spans="1:13">
      <c r="A19" s="1" t="s">
        <v>216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216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223</v>
      </c>
    </row>
    <row r="20" spans="1:13">
      <c r="A20" s="1" t="s">
        <v>217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217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639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639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236</v>
      </c>
      <c r="B23">
        <f>SUMPRODUCT(MMULT(B16:D16,B8:D10),B16:D16)</f>
        <v>1.4152000000000001E-2</v>
      </c>
      <c r="G23" t="s">
        <v>236</v>
      </c>
      <c r="H23">
        <f>SUMPRODUCT(MMULT(H16:J16,B8:D10),H16:J16)</f>
        <v>1.8505869967445267E-2</v>
      </c>
    </row>
    <row r="24" spans="1:13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3">
      <c r="A25" t="s">
        <v>203</v>
      </c>
      <c r="B25">
        <f>(B24-0.01)/SQRT(B23)</f>
        <v>1.2693109813750256</v>
      </c>
      <c r="G25" t="s">
        <v>203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5.85546875" customWidth="1"/>
    <col min="12" max="12" width="12.85546875" bestFit="1" customWidth="1"/>
    <col min="15" max="15" width="13.42578125" bestFit="1" customWidth="1"/>
    <col min="16" max="16" width="12.570312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50" t="s">
        <v>95</v>
      </c>
      <c r="C3" s="248"/>
      <c r="F3" s="250" t="s">
        <v>94</v>
      </c>
      <c r="G3" s="248"/>
    </row>
    <row r="4" spans="1:18">
      <c r="A4" t="s">
        <v>77</v>
      </c>
      <c r="B4" s="49" t="s">
        <v>96</v>
      </c>
      <c r="C4" s="49" t="s">
        <v>97</v>
      </c>
      <c r="D4" s="1" t="s">
        <v>98</v>
      </c>
      <c r="F4" s="49" t="s">
        <v>96</v>
      </c>
      <c r="G4" s="49" t="s">
        <v>97</v>
      </c>
    </row>
    <row r="5" spans="1:18">
      <c r="A5" t="s">
        <v>99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163</v>
      </c>
    </row>
    <row r="6" spans="1:18" ht="15.75" customHeight="1" thickBot="1">
      <c r="A6" t="s">
        <v>102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105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164</v>
      </c>
      <c r="K7" s="23"/>
    </row>
    <row r="8" spans="1:18">
      <c r="A8" t="s">
        <v>106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165</v>
      </c>
      <c r="K8">
        <v>0.699141442456367</v>
      </c>
    </row>
    <row r="9" spans="1:18">
      <c r="A9" t="s">
        <v>107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166</v>
      </c>
      <c r="K9">
        <v>0.48879875655996952</v>
      </c>
    </row>
    <row r="10" spans="1:18">
      <c r="A10" t="s">
        <v>108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167</v>
      </c>
      <c r="K10">
        <v>0.47983031369260049</v>
      </c>
    </row>
    <row r="11" spans="1:18">
      <c r="A11" t="s">
        <v>109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168</v>
      </c>
      <c r="K11">
        <v>5.082403213542204E-2</v>
      </c>
    </row>
    <row r="12" spans="1:18" ht="15.75" customHeight="1" thickBot="1">
      <c r="A12" t="s">
        <v>110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169</v>
      </c>
      <c r="K12" s="21">
        <v>59</v>
      </c>
    </row>
    <row r="13" spans="1:18">
      <c r="A13" t="s">
        <v>111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112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170</v>
      </c>
    </row>
    <row r="15" spans="1:18">
      <c r="A15" t="s">
        <v>113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171</v>
      </c>
      <c r="L15" s="22" t="s">
        <v>172</v>
      </c>
      <c r="M15" s="22" t="s">
        <v>173</v>
      </c>
      <c r="N15" s="22" t="s">
        <v>174</v>
      </c>
      <c r="O15" s="22" t="s">
        <v>175</v>
      </c>
    </row>
    <row r="16" spans="1:18">
      <c r="A16" t="s">
        <v>114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176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115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177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116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20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117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118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178</v>
      </c>
      <c r="L20" s="22" t="s">
        <v>168</v>
      </c>
      <c r="M20" s="22" t="s">
        <v>179</v>
      </c>
      <c r="N20" s="22" t="s">
        <v>180</v>
      </c>
      <c r="O20" s="22" t="s">
        <v>181</v>
      </c>
      <c r="P20" s="22" t="s">
        <v>182</v>
      </c>
      <c r="Q20" s="24"/>
      <c r="R20" s="24"/>
    </row>
    <row r="21" spans="1:18">
      <c r="A21" t="s">
        <v>119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183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120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184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121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122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123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124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125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126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127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128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129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130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131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132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133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134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135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136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137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138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139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140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141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142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143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144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145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146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147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148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149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150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151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152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153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154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155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156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157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158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159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160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161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42578125" bestFit="1" customWidth="1"/>
    <col min="3" max="3" width="11.5703125" bestFit="1" customWidth="1"/>
    <col min="5" max="5" width="12.5703125" bestFit="1" customWidth="1"/>
    <col min="6" max="6" width="9.5703125" bestFit="1" customWidth="1"/>
  </cols>
  <sheetData>
    <row r="3" spans="1:5">
      <c r="B3" s="250" t="s">
        <v>537</v>
      </c>
      <c r="C3" s="250"/>
    </row>
    <row r="4" spans="1:5">
      <c r="B4" s="3" t="s">
        <v>533</v>
      </c>
      <c r="C4" s="3" t="s">
        <v>534</v>
      </c>
      <c r="D4" s="1" t="s">
        <v>543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50" t="s">
        <v>538</v>
      </c>
      <c r="C8" s="250"/>
      <c r="D8" s="250"/>
      <c r="E8" s="250"/>
    </row>
    <row r="9" spans="1:5">
      <c r="B9" s="3" t="s">
        <v>544</v>
      </c>
      <c r="C9" s="3" t="s">
        <v>491</v>
      </c>
      <c r="D9" s="3" t="s">
        <v>222</v>
      </c>
      <c r="E9" s="1" t="s">
        <v>541</v>
      </c>
    </row>
    <row r="10" spans="1:5">
      <c r="A10" s="1" t="s">
        <v>535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536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193</v>
      </c>
      <c r="B13">
        <v>0.02</v>
      </c>
    </row>
    <row r="15" spans="1:5">
      <c r="B15" s="250" t="s">
        <v>191</v>
      </c>
      <c r="C15" s="25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50" t="s">
        <v>37</v>
      </c>
      <c r="C19" s="25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254</v>
      </c>
    </row>
    <row r="25" spans="2:6">
      <c r="B25" s="250" t="s">
        <v>19</v>
      </c>
      <c r="C25" s="250"/>
    </row>
    <row r="26" spans="2:6">
      <c r="B26" s="3" t="s">
        <v>8</v>
      </c>
      <c r="C26" s="3" t="s">
        <v>9</v>
      </c>
      <c r="D26" s="1" t="s">
        <v>37</v>
      </c>
      <c r="E26" s="1" t="s">
        <v>261</v>
      </c>
      <c r="F26" s="1" t="s">
        <v>203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539</v>
      </c>
    </row>
    <row r="30" spans="2:6">
      <c r="B30" s="250" t="s">
        <v>19</v>
      </c>
      <c r="C30" s="250"/>
    </row>
    <row r="31" spans="2:6">
      <c r="B31" s="3" t="s">
        <v>8</v>
      </c>
      <c r="C31" s="3" t="s">
        <v>9</v>
      </c>
      <c r="D31" s="1" t="s">
        <v>540</v>
      </c>
      <c r="E31" s="1" t="s">
        <v>261</v>
      </c>
      <c r="F31" s="1" t="s">
        <v>542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5"/>
  <cols>
    <col min="1" max="1" width="10.42578125" customWidth="1"/>
    <col min="4" max="4" width="3.5703125" customWidth="1"/>
    <col min="5" max="5" width="8.42578125" customWidth="1"/>
    <col min="6" max="6" width="9.5703125" bestFit="1" customWidth="1"/>
    <col min="11" max="11" width="2" customWidth="1"/>
    <col min="12" max="12" width="21.42578125" bestFit="1" customWidth="1"/>
    <col min="13" max="13" width="4.42578125" customWidth="1"/>
    <col min="14" max="14" width="19.85546875" bestFit="1" customWidth="1"/>
    <col min="15" max="15" width="3.42578125" customWidth="1"/>
    <col min="17" max="17" width="12" bestFit="1" customWidth="1"/>
    <col min="19" max="19" width="11.42578125" bestFit="1" customWidth="1"/>
    <col min="20" max="20" width="12.85546875" bestFit="1" customWidth="1"/>
    <col min="21" max="21" width="14.5703125" bestFit="1" customWidth="1"/>
    <col min="22" max="22" width="11.425781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255" t="s">
        <v>94</v>
      </c>
      <c r="O1" s="248"/>
      <c r="P1" s="248"/>
      <c r="Q1" s="248"/>
    </row>
    <row r="2" spans="1:27" ht="15" customHeight="1">
      <c r="B2" s="4" t="s">
        <v>8</v>
      </c>
      <c r="C2" s="4" t="s">
        <v>9</v>
      </c>
      <c r="D2" s="4"/>
      <c r="L2" s="3" t="s">
        <v>255</v>
      </c>
      <c r="N2" s="4" t="s">
        <v>255</v>
      </c>
      <c r="O2" s="4"/>
      <c r="P2" s="4" t="s">
        <v>8</v>
      </c>
      <c r="Q2" s="4" t="s">
        <v>9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191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9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47" t="s">
        <v>256</v>
      </c>
      <c r="U6" s="248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98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257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571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258</v>
      </c>
      <c r="F11" s="1" t="s">
        <v>545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259</v>
      </c>
      <c r="F12" t="s">
        <v>260</v>
      </c>
      <c r="G12" t="s">
        <v>37</v>
      </c>
      <c r="H12" t="s">
        <v>54</v>
      </c>
      <c r="I12" t="s">
        <v>261</v>
      </c>
      <c r="J12" t="s">
        <v>203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5"/>
  <cols>
    <col min="1" max="1" width="12" customWidth="1"/>
    <col min="2" max="2" width="11.140625" style="3" bestFit="1" customWidth="1"/>
    <col min="3" max="3" width="17.5703125" customWidth="1"/>
    <col min="4" max="5" width="13.5703125" bestFit="1" customWidth="1"/>
    <col min="6" max="6" width="10.42578125" customWidth="1"/>
    <col min="8" max="8" width="12.42578125" bestFit="1" customWidth="1"/>
  </cols>
  <sheetData>
    <row r="2" spans="1:8">
      <c r="D2" s="250" t="s">
        <v>478</v>
      </c>
      <c r="E2" s="250"/>
      <c r="F2" s="250"/>
    </row>
    <row r="3" spans="1:8">
      <c r="D3" s="3">
        <v>1</v>
      </c>
      <c r="E3" s="3">
        <v>2</v>
      </c>
      <c r="H3" s="1" t="s">
        <v>246</v>
      </c>
    </row>
    <row r="4" spans="1:8">
      <c r="A4" s="1" t="s">
        <v>551</v>
      </c>
      <c r="B4" s="3" t="s">
        <v>548</v>
      </c>
      <c r="C4" s="1" t="s">
        <v>549</v>
      </c>
      <c r="D4" s="1" t="s">
        <v>547</v>
      </c>
      <c r="E4" s="1" t="s">
        <v>215</v>
      </c>
      <c r="F4" s="1" t="s">
        <v>550</v>
      </c>
      <c r="H4" s="1"/>
    </row>
    <row r="5" spans="1:8">
      <c r="A5" s="171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71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71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71" t="s">
        <v>467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70"/>
      <c r="D12" s="1" t="s">
        <v>478</v>
      </c>
      <c r="E12" s="1" t="s">
        <v>546</v>
      </c>
      <c r="F12" s="1" t="s">
        <v>555</v>
      </c>
    </row>
    <row r="13" spans="1:8">
      <c r="D13" s="1" t="s">
        <v>248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467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552</v>
      </c>
      <c r="G21" s="1" t="s">
        <v>553</v>
      </c>
      <c r="H21" s="1" t="s">
        <v>550</v>
      </c>
      <c r="I21" s="1" t="s">
        <v>262</v>
      </c>
    </row>
    <row r="22" spans="3:9">
      <c r="C22" s="3" t="s">
        <v>554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556</v>
      </c>
      <c r="D23">
        <f>H22+I22</f>
        <v>4.9313333333333341E-2</v>
      </c>
    </row>
    <row r="24" spans="3:9">
      <c r="C24" s="1" t="s">
        <v>557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568</v>
      </c>
      <c r="B1" t="s">
        <v>569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244</v>
      </c>
      <c r="B2" s="1" t="s">
        <v>570</v>
      </c>
      <c r="C2" s="1" t="s">
        <v>558</v>
      </c>
      <c r="D2" s="1" t="s">
        <v>559</v>
      </c>
      <c r="E2" s="1" t="s">
        <v>560</v>
      </c>
      <c r="F2" s="1"/>
      <c r="O2" s="1" t="s">
        <v>566</v>
      </c>
    </row>
    <row r="3" spans="1:15">
      <c r="A3" s="164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191</v>
      </c>
      <c r="O3">
        <f>SUMPRODUCT(B3:D3,$H$15:$J$15)+0.003</f>
        <v>2.6149486668811433E-2</v>
      </c>
    </row>
    <row r="4" spans="1:15">
      <c r="A4" s="164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4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4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4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4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64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570</v>
      </c>
      <c r="I9" t="s">
        <v>564</v>
      </c>
      <c r="J9" t="s">
        <v>565</v>
      </c>
      <c r="K9" t="s">
        <v>193</v>
      </c>
      <c r="O9">
        <f t="shared" si="0"/>
        <v>7.6995936473643972E-2</v>
      </c>
    </row>
    <row r="10" spans="1:15">
      <c r="A10" s="164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4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4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254</v>
      </c>
      <c r="O12">
        <f t="shared" si="0"/>
        <v>-5.6471421243713307E-2</v>
      </c>
    </row>
    <row r="13" spans="1:15">
      <c r="A13" s="164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4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561</v>
      </c>
      <c r="I14" t="s">
        <v>562</v>
      </c>
      <c r="J14" t="s">
        <v>563</v>
      </c>
      <c r="K14" t="s">
        <v>222</v>
      </c>
      <c r="L14" t="s">
        <v>261</v>
      </c>
      <c r="M14" t="s">
        <v>203</v>
      </c>
      <c r="O14">
        <f t="shared" si="0"/>
        <v>6.2467289793668758E-3</v>
      </c>
    </row>
    <row r="15" spans="1:15">
      <c r="A15" s="164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4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4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4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4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4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4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4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4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4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4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4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4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4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4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4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4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4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4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4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4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4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4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4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4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4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4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4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4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4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4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4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4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4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4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4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4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4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4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4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4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4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4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4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4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4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4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4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5"/>
  <cols>
    <col min="2" max="2" width="10.85546875" bestFit="1" customWidth="1"/>
  </cols>
  <sheetData>
    <row r="1" spans="1:14">
      <c r="I1" t="s">
        <v>191</v>
      </c>
    </row>
    <row r="2" spans="1:14">
      <c r="B2" t="s">
        <v>581</v>
      </c>
      <c r="C2" t="s">
        <v>572</v>
      </c>
      <c r="D2" t="s">
        <v>573</v>
      </c>
      <c r="E2" t="s">
        <v>574</v>
      </c>
      <c r="F2" t="s">
        <v>575</v>
      </c>
      <c r="G2" t="s">
        <v>582</v>
      </c>
      <c r="J2" t="s">
        <v>576</v>
      </c>
      <c r="K2" t="s">
        <v>572</v>
      </c>
      <c r="L2" t="s">
        <v>573</v>
      </c>
      <c r="M2" t="s">
        <v>574</v>
      </c>
      <c r="N2" t="s">
        <v>575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576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572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573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574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575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577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581</v>
      </c>
      <c r="K10" t="s">
        <v>572</v>
      </c>
      <c r="L10" t="s">
        <v>573</v>
      </c>
      <c r="M10" t="s">
        <v>574</v>
      </c>
      <c r="N10" t="s">
        <v>575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578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576</v>
      </c>
      <c r="K14" t="s">
        <v>572</v>
      </c>
      <c r="L14" t="s">
        <v>573</v>
      </c>
      <c r="M14" t="s">
        <v>574</v>
      </c>
      <c r="N14" t="s">
        <v>575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579</v>
      </c>
      <c r="K17" t="s">
        <v>263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222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54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580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203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576</v>
      </c>
      <c r="K23" t="s">
        <v>263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222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76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203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568</v>
      </c>
      <c r="B1" t="s">
        <v>567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5"/>
  <cols>
    <col min="1" max="1" width="17" bestFit="1" customWidth="1"/>
    <col min="2" max="2" width="6.5703125" customWidth="1"/>
    <col min="3" max="3" width="18.85546875" bestFit="1" customWidth="1"/>
    <col min="4" max="4" width="11.42578125" customWidth="1"/>
    <col min="5" max="5" width="12.140625" bestFit="1" customWidth="1"/>
    <col min="6" max="6" width="3.42578125" customWidth="1"/>
    <col min="8" max="8" width="9.140625" customWidth="1"/>
    <col min="9" max="9" width="12.42578125" bestFit="1" customWidth="1"/>
  </cols>
  <sheetData>
    <row r="2" spans="1:8" ht="15.75" thickBot="1">
      <c r="A2" s="21"/>
      <c r="B2" s="21"/>
      <c r="C2" s="21"/>
      <c r="D2" s="21"/>
      <c r="E2" s="21"/>
      <c r="F2" s="21"/>
      <c r="G2" s="21"/>
      <c r="H2" s="21"/>
    </row>
    <row r="3" spans="1:8" ht="15.75" thickBot="1">
      <c r="A3" s="181" t="s">
        <v>244</v>
      </c>
      <c r="B3" s="181" t="s">
        <v>593</v>
      </c>
      <c r="C3" s="181" t="s">
        <v>583</v>
      </c>
      <c r="D3" s="181" t="s">
        <v>584</v>
      </c>
      <c r="E3" s="181" t="s">
        <v>585</v>
      </c>
      <c r="F3" s="181"/>
      <c r="G3" s="182" t="s">
        <v>586</v>
      </c>
      <c r="H3" s="182" t="s">
        <v>587</v>
      </c>
    </row>
    <row r="4" spans="1:8">
      <c r="A4" s="173">
        <v>42825</v>
      </c>
      <c r="B4" s="186" t="s">
        <v>591</v>
      </c>
      <c r="C4" s="174">
        <v>-400</v>
      </c>
      <c r="D4" s="175">
        <f>-C4</f>
        <v>400</v>
      </c>
      <c r="E4" s="14">
        <v>1</v>
      </c>
      <c r="F4" s="173"/>
      <c r="G4">
        <f>C4/E4</f>
        <v>-400</v>
      </c>
    </row>
    <row r="5" spans="1:8">
      <c r="A5" s="173">
        <v>43465</v>
      </c>
      <c r="B5" s="186" t="s">
        <v>591</v>
      </c>
      <c r="C5" s="175">
        <v>-200</v>
      </c>
      <c r="D5" s="174">
        <f t="shared" ref="D5:D12" si="0">D4-C5</f>
        <v>600</v>
      </c>
      <c r="E5" s="14">
        <v>1.0995279490227576</v>
      </c>
      <c r="F5" s="173"/>
      <c r="G5">
        <f t="shared" ref="G5:G15" si="1">C5/E5</f>
        <v>-181.8962402708878</v>
      </c>
    </row>
    <row r="6" spans="1:8">
      <c r="A6" s="173">
        <v>43862</v>
      </c>
      <c r="B6" s="186" t="s">
        <v>591</v>
      </c>
      <c r="C6" s="175">
        <v>-300</v>
      </c>
      <c r="D6" s="174">
        <f t="shared" si="0"/>
        <v>900</v>
      </c>
      <c r="E6" s="14">
        <v>1.3276419532541912</v>
      </c>
      <c r="F6" s="173"/>
      <c r="G6">
        <f t="shared" si="1"/>
        <v>-225.9645375507065</v>
      </c>
    </row>
    <row r="7" spans="1:8">
      <c r="A7" s="173">
        <v>44012</v>
      </c>
      <c r="B7" s="186" t="s">
        <v>591</v>
      </c>
      <c r="C7" s="175">
        <v>-400</v>
      </c>
      <c r="D7" s="175">
        <f t="shared" si="0"/>
        <v>1300</v>
      </c>
      <c r="E7" s="14">
        <v>1.4068994625314917</v>
      </c>
      <c r="F7" s="173"/>
      <c r="G7">
        <f t="shared" si="1"/>
        <v>-284.31313725876595</v>
      </c>
    </row>
    <row r="8" spans="1:8">
      <c r="A8" s="173">
        <v>44165</v>
      </c>
      <c r="B8" s="186" t="s">
        <v>591</v>
      </c>
      <c r="C8" s="175">
        <v>-500</v>
      </c>
      <c r="D8" s="174">
        <f t="shared" si="0"/>
        <v>1800</v>
      </c>
      <c r="E8" s="14">
        <v>1.65613685062501</v>
      </c>
      <c r="F8" s="173"/>
      <c r="G8">
        <f t="shared" si="1"/>
        <v>-301.90741774226257</v>
      </c>
    </row>
    <row r="9" spans="1:8">
      <c r="A9" s="173">
        <v>44227</v>
      </c>
      <c r="B9" s="186" t="s">
        <v>591</v>
      </c>
      <c r="C9" s="175">
        <v>-100</v>
      </c>
      <c r="D9" s="174">
        <f t="shared" si="0"/>
        <v>1900</v>
      </c>
      <c r="E9" s="14">
        <v>1.707646204692111</v>
      </c>
      <c r="F9" s="173"/>
      <c r="G9">
        <f t="shared" si="1"/>
        <v>-58.560139521423892</v>
      </c>
    </row>
    <row r="10" spans="1:8">
      <c r="A10" s="173">
        <v>44651</v>
      </c>
      <c r="B10" s="186" t="s">
        <v>591</v>
      </c>
      <c r="C10" s="175">
        <v>-600</v>
      </c>
      <c r="D10" s="174">
        <f t="shared" si="0"/>
        <v>2500</v>
      </c>
      <c r="E10" s="14">
        <v>2.1161960835838807</v>
      </c>
      <c r="F10" s="173"/>
      <c r="G10">
        <f t="shared" si="1"/>
        <v>-283.52760155565119</v>
      </c>
      <c r="H10" s="172"/>
    </row>
    <row r="11" spans="1:8">
      <c r="A11" s="173">
        <v>44742</v>
      </c>
      <c r="B11" s="186" t="s">
        <v>591</v>
      </c>
      <c r="C11" s="175">
        <v>-100</v>
      </c>
      <c r="D11" s="174">
        <f t="shared" si="0"/>
        <v>2600</v>
      </c>
      <c r="E11" s="14">
        <v>1.7738107116633894</v>
      </c>
      <c r="F11" s="173"/>
      <c r="G11">
        <f t="shared" si="1"/>
        <v>-56.375801173409926</v>
      </c>
    </row>
    <row r="12" spans="1:8">
      <c r="A12" s="173">
        <v>45046</v>
      </c>
      <c r="B12" s="186" t="s">
        <v>591</v>
      </c>
      <c r="C12" s="175">
        <v>-200</v>
      </c>
      <c r="D12" s="174">
        <f t="shared" si="0"/>
        <v>2800</v>
      </c>
      <c r="E12" s="14">
        <v>1.9818286355377743</v>
      </c>
      <c r="F12" s="173"/>
      <c r="G12">
        <f t="shared" si="1"/>
        <v>-100.91689887492693</v>
      </c>
    </row>
    <row r="13" spans="1:8">
      <c r="A13" s="176">
        <v>45138</v>
      </c>
      <c r="B13" s="187" t="s">
        <v>592</v>
      </c>
      <c r="C13" s="177">
        <v>700</v>
      </c>
      <c r="D13" s="175"/>
      <c r="E13" s="14">
        <v>2.193122493527162</v>
      </c>
      <c r="F13" s="173"/>
      <c r="H13" s="2">
        <f>C13/E13</f>
        <v>319.1796181316812</v>
      </c>
    </row>
    <row r="14" spans="1:8">
      <c r="A14" s="173">
        <v>45230</v>
      </c>
      <c r="B14" s="186" t="s">
        <v>591</v>
      </c>
      <c r="C14" s="175">
        <v>-100</v>
      </c>
      <c r="D14" s="174">
        <f>D12-C14</f>
        <v>2900</v>
      </c>
      <c r="E14" s="14">
        <v>2.0133165968786741</v>
      </c>
      <c r="F14" s="173"/>
      <c r="G14">
        <f t="shared" si="1"/>
        <v>-49.669287063462363</v>
      </c>
      <c r="H14" s="2"/>
    </row>
    <row r="15" spans="1:8">
      <c r="A15" s="173">
        <v>45382</v>
      </c>
      <c r="B15" s="186" t="s">
        <v>591</v>
      </c>
      <c r="C15" s="175">
        <v>-100</v>
      </c>
      <c r="D15" s="174">
        <f>D14-C15</f>
        <v>3000</v>
      </c>
      <c r="E15" s="14">
        <v>2.5352256902236054</v>
      </c>
      <c r="F15" s="173"/>
      <c r="G15">
        <f t="shared" si="1"/>
        <v>-39.444220049371644</v>
      </c>
      <c r="H15" s="2"/>
    </row>
    <row r="16" spans="1:8">
      <c r="A16" s="176">
        <v>45565</v>
      </c>
      <c r="B16" s="187" t="s">
        <v>592</v>
      </c>
      <c r="C16" s="177">
        <v>900</v>
      </c>
      <c r="D16" s="175"/>
      <c r="E16" s="14">
        <v>2.8096869964660449</v>
      </c>
      <c r="F16" s="173"/>
      <c r="H16" s="2">
        <f>C16/E16</f>
        <v>320.32037772605912</v>
      </c>
    </row>
    <row r="17" spans="1:8" ht="15.75" thickBot="1">
      <c r="A17" s="185">
        <v>45657</v>
      </c>
      <c r="B17" s="184" t="s">
        <v>590</v>
      </c>
      <c r="C17" s="178">
        <v>3000</v>
      </c>
      <c r="D17" s="21"/>
      <c r="E17" s="179">
        <v>2.8843099546828985</v>
      </c>
      <c r="F17" s="21"/>
      <c r="G17" s="21"/>
      <c r="H17" s="180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589</v>
      </c>
      <c r="H21" s="183">
        <f>XIRR(C4:C17,A4:A17,0.1)</f>
        <v>0.11086307168006895</v>
      </c>
    </row>
    <row r="22" spans="1:8">
      <c r="G22" s="1" t="s">
        <v>595</v>
      </c>
      <c r="H22" s="183">
        <f>XNPV(H21,C4:C17,A4:A17)</f>
        <v>-2.1313886918505887E-5</v>
      </c>
    </row>
    <row r="23" spans="1:8">
      <c r="G23" s="1" t="s">
        <v>594</v>
      </c>
      <c r="H23" s="183">
        <f>SUM(C13,C16,C17)/-SUM(C4:C12,C14:C15)</f>
        <v>1.5333333333333334</v>
      </c>
    </row>
    <row r="24" spans="1:8">
      <c r="G24" s="1" t="s">
        <v>588</v>
      </c>
      <c r="H24" s="183">
        <f>H19/(-G19)</f>
        <v>0.84718605201785901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501</v>
      </c>
      <c r="B2" t="s">
        <v>502</v>
      </c>
      <c r="C2" t="s">
        <v>503</v>
      </c>
      <c r="D2" t="s">
        <v>504</v>
      </c>
      <c r="F2" t="s">
        <v>505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5"/>
  <cols>
    <col min="4" max="4" width="3.85546875" customWidth="1"/>
    <col min="5" max="5" width="12" bestFit="1" customWidth="1"/>
  </cols>
  <sheetData>
    <row r="2" spans="1:5">
      <c r="A2" s="4" t="s">
        <v>722</v>
      </c>
    </row>
    <row r="3" spans="1:5">
      <c r="A3" s="61">
        <v>0</v>
      </c>
      <c r="B3">
        <v>-1074.69</v>
      </c>
      <c r="C3" t="s">
        <v>725</v>
      </c>
      <c r="E3" t="s">
        <v>723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724</v>
      </c>
      <c r="B7" s="198">
        <f>IRR(B3:B5)</f>
        <v>5.930120788041604E-2</v>
      </c>
      <c r="C7" s="198"/>
      <c r="E7">
        <f>SUM(E4:E5)</f>
        <v>1074.6900000000537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5"/>
  <cols>
    <col min="1" max="1" width="17.7109375" bestFit="1" customWidth="1"/>
    <col min="3" max="3" width="10.28515625" bestFit="1" customWidth="1"/>
    <col min="4" max="4" width="14.140625" bestFit="1" customWidth="1"/>
    <col min="5" max="5" width="3.5703125" customWidth="1"/>
    <col min="6" max="6" width="12" bestFit="1" customWidth="1"/>
    <col min="7" max="7" width="3.140625" customWidth="1"/>
    <col min="8" max="8" width="10.5703125" bestFit="1" customWidth="1"/>
    <col min="9" max="9" width="11.5703125" bestFit="1" customWidth="1"/>
    <col min="10" max="10" width="24.85546875" bestFit="1" customWidth="1"/>
    <col min="11" max="11" width="25.42578125" bestFit="1" customWidth="1"/>
    <col min="12" max="12" width="24.85546875" bestFit="1" customWidth="1"/>
    <col min="13" max="13" width="2.28515625" customWidth="1"/>
  </cols>
  <sheetData>
    <row r="1" spans="1:14">
      <c r="C1" s="1" t="s">
        <v>263</v>
      </c>
      <c r="H1" s="1" t="s">
        <v>775</v>
      </c>
      <c r="N1" s="3" t="s">
        <v>772</v>
      </c>
    </row>
    <row r="2" spans="1:14">
      <c r="A2" s="1" t="s">
        <v>773</v>
      </c>
      <c r="B2" s="1" t="s">
        <v>765</v>
      </c>
      <c r="C2" s="1" t="s">
        <v>766</v>
      </c>
      <c r="D2" s="1" t="s">
        <v>767</v>
      </c>
      <c r="H2" s="1" t="s">
        <v>776</v>
      </c>
      <c r="I2" s="1" t="s">
        <v>768</v>
      </c>
      <c r="K2" s="1" t="s">
        <v>728</v>
      </c>
      <c r="N2" s="3" t="s">
        <v>245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9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8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777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5">
        <f>(1+N4)^(1/4)-1</f>
        <v>2.9405459884575214E-2</v>
      </c>
    </row>
    <row r="8" spans="1:14">
      <c r="G8" s="219"/>
      <c r="H8" s="219"/>
      <c r="I8" s="2"/>
    </row>
    <row r="9" spans="1:14">
      <c r="B9" s="198"/>
      <c r="C9" s="198"/>
      <c r="D9" s="198" t="s">
        <v>729</v>
      </c>
      <c r="F9" s="1" t="s">
        <v>774</v>
      </c>
      <c r="I9" s="183" t="s">
        <v>729</v>
      </c>
      <c r="K9" s="1" t="s">
        <v>728</v>
      </c>
    </row>
    <row r="10" spans="1:14">
      <c r="B10" s="198"/>
      <c r="C10" s="198"/>
      <c r="D10" s="2">
        <f>SUM(D4:D7)</f>
        <v>1076.6608936632026</v>
      </c>
      <c r="F10" s="224">
        <f>IRR(F3:F7)</f>
        <v>2.9405459884628282E-2</v>
      </c>
      <c r="I10" s="2">
        <f>SUM(I4:I7)</f>
        <v>1076.6608936629805</v>
      </c>
      <c r="J10" t="s">
        <v>769</v>
      </c>
      <c r="K10" s="2">
        <f>SUM(K4:K7)</f>
        <v>1208.9958454968212</v>
      </c>
      <c r="L10" t="s">
        <v>769</v>
      </c>
    </row>
    <row r="11" spans="1:14">
      <c r="B11" s="198"/>
      <c r="I11" s="2">
        <f>-PV(F10,4,50,1000)</f>
        <v>1076.6608936629802</v>
      </c>
      <c r="J11" t="s">
        <v>770</v>
      </c>
      <c r="K11" s="2">
        <f>FV(F10,4,-50)+1000</f>
        <v>1208.9958454968209</v>
      </c>
      <c r="L11" t="s">
        <v>771</v>
      </c>
    </row>
    <row r="12" spans="1:14">
      <c r="F12" s="1" t="s">
        <v>724</v>
      </c>
      <c r="I12" s="198"/>
    </row>
    <row r="13" spans="1:14">
      <c r="F13" s="226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5"/>
  <cols>
    <col min="1" max="1" width="17" bestFit="1" customWidth="1"/>
    <col min="2" max="2" width="21.140625" bestFit="1" customWidth="1"/>
    <col min="3" max="3" width="21.42578125" bestFit="1" customWidth="1"/>
    <col min="4" max="4" width="17.5703125" bestFit="1" customWidth="1"/>
    <col min="5" max="5" width="4.140625" customWidth="1"/>
    <col min="7" max="8" width="11.5703125" customWidth="1"/>
    <col min="9" max="9" width="4.5703125" customWidth="1"/>
  </cols>
  <sheetData>
    <row r="2" spans="1:11">
      <c r="B2" s="1" t="s">
        <v>735</v>
      </c>
      <c r="C2" s="1" t="s">
        <v>736</v>
      </c>
      <c r="D2" s="1" t="s">
        <v>737</v>
      </c>
      <c r="F2" s="1"/>
      <c r="G2" s="1"/>
      <c r="H2" s="3"/>
      <c r="J2" s="1"/>
      <c r="K2" s="1"/>
    </row>
    <row r="3" spans="1:11">
      <c r="B3" s="1" t="s">
        <v>732</v>
      </c>
      <c r="C3" s="3" t="s">
        <v>734</v>
      </c>
      <c r="D3" s="1" t="s">
        <v>731</v>
      </c>
      <c r="F3" s="3"/>
      <c r="J3" s="1"/>
      <c r="K3" s="1"/>
    </row>
    <row r="5" spans="1:11">
      <c r="A5" t="s">
        <v>733</v>
      </c>
      <c r="B5" s="220">
        <v>0.05</v>
      </c>
      <c r="C5" s="220">
        <v>0.08</v>
      </c>
      <c r="D5" s="220">
        <v>0.06</v>
      </c>
      <c r="F5" s="220"/>
      <c r="J5" s="220"/>
    </row>
    <row r="6" spans="1:11">
      <c r="A6" t="s">
        <v>730</v>
      </c>
      <c r="B6">
        <f>B5*1000/2</f>
        <v>25</v>
      </c>
      <c r="C6">
        <f>C5*1000/2</f>
        <v>40</v>
      </c>
      <c r="D6">
        <f>D5*1000/2</f>
        <v>30</v>
      </c>
      <c r="F6" s="220"/>
      <c r="J6" s="220"/>
    </row>
    <row r="7" spans="1:11">
      <c r="A7" t="s">
        <v>727</v>
      </c>
      <c r="B7" s="190">
        <v>0.06</v>
      </c>
      <c r="C7" s="190">
        <v>0.06</v>
      </c>
      <c r="D7" s="190">
        <v>0.06</v>
      </c>
      <c r="F7" s="220"/>
      <c r="J7" s="220"/>
    </row>
    <row r="8" spans="1:11">
      <c r="A8" t="s">
        <v>726</v>
      </c>
      <c r="B8" s="191">
        <f>B7/2</f>
        <v>0.03</v>
      </c>
      <c r="C8" s="191">
        <f>C7/2</f>
        <v>0.03</v>
      </c>
      <c r="D8" s="191">
        <f>D7/2</f>
        <v>0.03</v>
      </c>
    </row>
    <row r="9" spans="1:11">
      <c r="A9" t="s">
        <v>738</v>
      </c>
      <c r="B9">
        <v>4</v>
      </c>
      <c r="C9">
        <v>4</v>
      </c>
      <c r="D9">
        <v>4</v>
      </c>
    </row>
    <row r="10" spans="1:11">
      <c r="A10" s="198" t="s">
        <v>729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8"/>
      <c r="G11" s="183"/>
      <c r="J11" s="198"/>
      <c r="K11" s="183"/>
    </row>
    <row r="12" spans="1:11">
      <c r="B12" s="19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5"/>
  <cols>
    <col min="4" max="4" width="15.5703125" bestFit="1" customWidth="1"/>
  </cols>
  <sheetData>
    <row r="1" spans="1:4">
      <c r="A1" s="1" t="s">
        <v>739</v>
      </c>
      <c r="B1" s="1" t="s">
        <v>355</v>
      </c>
      <c r="C1" s="1" t="s">
        <v>740</v>
      </c>
      <c r="D1" s="1" t="s">
        <v>743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726</v>
      </c>
      <c r="C23" t="s">
        <v>729</v>
      </c>
      <c r="D23" t="s">
        <v>741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742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5"/>
  <cols>
    <col min="4" max="4" width="16.7109375" bestFit="1" customWidth="1"/>
    <col min="5" max="5" width="1.85546875" customWidth="1"/>
    <col min="6" max="6" width="15.140625" bestFit="1" customWidth="1"/>
    <col min="7" max="7" width="10.140625" bestFit="1" customWidth="1"/>
    <col min="9" max="9" width="16.7109375" bestFit="1" customWidth="1"/>
    <col min="11" max="11" width="10.85546875" bestFit="1" customWidth="1"/>
  </cols>
  <sheetData>
    <row r="1" spans="1:18">
      <c r="A1" s="1" t="s">
        <v>739</v>
      </c>
      <c r="B1" s="1" t="s">
        <v>355</v>
      </c>
      <c r="C1" s="1" t="s">
        <v>740</v>
      </c>
      <c r="D1" s="1" t="s">
        <v>478</v>
      </c>
      <c r="F1" s="1" t="s">
        <v>744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726</v>
      </c>
      <c r="C7" t="s">
        <v>729</v>
      </c>
      <c r="D7" t="s">
        <v>741</v>
      </c>
      <c r="F7" t="s">
        <v>745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742</v>
      </c>
    </row>
    <row r="11" spans="1:18">
      <c r="D11">
        <f>D8/(1+B8)</f>
        <v>3.71709840281037</v>
      </c>
    </row>
    <row r="13" spans="1:18">
      <c r="G13" s="46"/>
      <c r="J13" t="s">
        <v>746</v>
      </c>
      <c r="K13" t="s">
        <v>747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9"/>
      <c r="I14" t="s">
        <v>748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727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733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749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742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745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21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21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9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22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750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751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5"/>
  <cols>
    <col min="3" max="3" width="15.85546875" bestFit="1" customWidth="1"/>
    <col min="6" max="6" width="11" customWidth="1"/>
    <col min="7" max="7" width="18.5703125" bestFit="1" customWidth="1"/>
  </cols>
  <sheetData>
    <row r="1" spans="1:7">
      <c r="A1" s="4" t="s">
        <v>752</v>
      </c>
      <c r="B1" s="4" t="s">
        <v>754</v>
      </c>
      <c r="C1" s="4" t="s">
        <v>760</v>
      </c>
      <c r="D1" s="4" t="s">
        <v>757</v>
      </c>
      <c r="E1" s="4" t="s">
        <v>762</v>
      </c>
    </row>
    <row r="2" spans="1:7">
      <c r="A2" s="4" t="s">
        <v>753</v>
      </c>
      <c r="B2" s="4" t="s">
        <v>755</v>
      </c>
      <c r="C2" s="4" t="s">
        <v>756</v>
      </c>
      <c r="D2" s="4" t="s">
        <v>758</v>
      </c>
      <c r="E2" s="4" t="s">
        <v>757</v>
      </c>
    </row>
    <row r="3" spans="1:7">
      <c r="A3" t="s">
        <v>759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726</v>
      </c>
      <c r="D9" t="s">
        <v>761</v>
      </c>
      <c r="E9" t="s">
        <v>757</v>
      </c>
      <c r="F9" t="s">
        <v>763</v>
      </c>
      <c r="G9" t="s">
        <v>764</v>
      </c>
    </row>
    <row r="10" spans="1:7">
      <c r="B10" s="198">
        <f>IRR(B3:B7)</f>
        <v>2.8032880842573382E-2</v>
      </c>
      <c r="D10" s="219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3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5"/>
  <cols>
    <col min="2" max="3" width="12.42578125" bestFit="1" customWidth="1"/>
    <col min="4" max="4" width="10.42578125" bestFit="1" customWidth="1"/>
    <col min="5" max="5" width="2.85546875" customWidth="1"/>
    <col min="6" max="6" width="15.85546875" bestFit="1" customWidth="1"/>
  </cols>
  <sheetData>
    <row r="1" spans="1:7">
      <c r="B1" s="250" t="s">
        <v>94</v>
      </c>
      <c r="C1" s="250"/>
    </row>
    <row r="2" spans="1:7">
      <c r="B2" s="3" t="s">
        <v>527</v>
      </c>
      <c r="C2" s="3" t="s">
        <v>206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778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779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780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C32" sqref="C32"/>
    </sheetView>
  </sheetViews>
  <sheetFormatPr defaultRowHeight="15"/>
  <cols>
    <col min="2" max="2" width="11.140625" customWidth="1"/>
    <col min="8" max="8" width="1.5703125" customWidth="1"/>
  </cols>
  <sheetData>
    <row r="1" spans="2:9">
      <c r="C1" s="250" t="s">
        <v>191</v>
      </c>
      <c r="D1" s="250"/>
      <c r="E1" s="250"/>
      <c r="F1" s="250"/>
      <c r="G1" s="250"/>
    </row>
    <row r="2" spans="2:9">
      <c r="C2" s="3" t="s">
        <v>8</v>
      </c>
      <c r="D2" s="3" t="s">
        <v>9</v>
      </c>
      <c r="E2" s="3" t="s">
        <v>10</v>
      </c>
      <c r="F2" s="3" t="s">
        <v>467</v>
      </c>
      <c r="G2" s="3" t="s">
        <v>468</v>
      </c>
    </row>
    <row r="3" spans="2:9">
      <c r="B3" s="166" t="s">
        <v>8</v>
      </c>
      <c r="C3" s="231">
        <v>2.5000000000000001E-3</v>
      </c>
      <c r="D3" s="231">
        <v>1.1999999999999999E-3</v>
      </c>
      <c r="E3" s="231">
        <v>8.0000000000000004E-4</v>
      </c>
      <c r="F3" s="231">
        <v>1E-3</v>
      </c>
      <c r="G3" s="231">
        <v>6.9999999999999999E-4</v>
      </c>
    </row>
    <row r="4" spans="2:9">
      <c r="B4" s="229" t="s">
        <v>9</v>
      </c>
      <c r="C4" s="231">
        <v>1.1999999999999999E-3</v>
      </c>
      <c r="D4" s="231">
        <v>3.0000000000000001E-3</v>
      </c>
      <c r="E4" s="231">
        <v>1.1000000000000001E-3</v>
      </c>
      <c r="F4" s="231">
        <v>1.2999999999999999E-3</v>
      </c>
      <c r="G4" s="231">
        <v>1E-3</v>
      </c>
    </row>
    <row r="5" spans="2:9">
      <c r="B5" s="229" t="s">
        <v>10</v>
      </c>
      <c r="C5" s="231">
        <v>8.0000000000000004E-4</v>
      </c>
      <c r="D5" s="231">
        <v>1.1000000000000001E-3</v>
      </c>
      <c r="E5" s="231">
        <v>2.2000000000000001E-3</v>
      </c>
      <c r="F5" s="231">
        <v>8.9999999999999998E-4</v>
      </c>
      <c r="G5" s="231">
        <v>5.9999999999999995E-4</v>
      </c>
    </row>
    <row r="6" spans="2:9">
      <c r="B6" s="229" t="s">
        <v>467</v>
      </c>
      <c r="C6" s="231">
        <v>1E-3</v>
      </c>
      <c r="D6" s="231">
        <v>1.2999999999999999E-3</v>
      </c>
      <c r="E6" s="231">
        <v>8.9999999999999998E-4</v>
      </c>
      <c r="F6" s="231">
        <v>2.8E-3</v>
      </c>
      <c r="G6" s="231">
        <v>1.1000000000000001E-3</v>
      </c>
    </row>
    <row r="7" spans="2:9">
      <c r="B7" s="229" t="s">
        <v>468</v>
      </c>
      <c r="C7" s="231">
        <v>6.9999999999999999E-4</v>
      </c>
      <c r="D7" s="231">
        <v>1E-3</v>
      </c>
      <c r="E7" s="231">
        <v>5.9999999999999995E-4</v>
      </c>
      <c r="F7" s="231">
        <v>1.1000000000000001E-3</v>
      </c>
      <c r="G7" s="231">
        <v>2E-3</v>
      </c>
    </row>
    <row r="8" spans="2:9">
      <c r="B8" s="229"/>
      <c r="C8" s="211"/>
      <c r="D8" s="211"/>
      <c r="E8" s="211"/>
      <c r="F8" s="211"/>
      <c r="G8" s="211"/>
    </row>
    <row r="9" spans="2:9">
      <c r="C9" s="250" t="s">
        <v>226</v>
      </c>
      <c r="D9" s="250"/>
      <c r="E9" s="250"/>
      <c r="F9" s="250"/>
      <c r="G9" s="250"/>
    </row>
    <row r="10" spans="2:9">
      <c r="C10" s="3" t="s">
        <v>8</v>
      </c>
      <c r="D10" s="3" t="s">
        <v>9</v>
      </c>
      <c r="E10" s="3" t="s">
        <v>10</v>
      </c>
      <c r="F10" s="3" t="s">
        <v>467</v>
      </c>
      <c r="G10" s="3" t="s">
        <v>468</v>
      </c>
    </row>
    <row r="11" spans="2:9">
      <c r="B11" s="229" t="s">
        <v>37</v>
      </c>
      <c r="C11" s="231">
        <v>0.25</v>
      </c>
      <c r="D11" s="231">
        <v>0.24</v>
      </c>
      <c r="E11" s="231">
        <v>0.17</v>
      </c>
      <c r="F11" s="231">
        <v>0.2</v>
      </c>
      <c r="G11" s="231">
        <v>0.18</v>
      </c>
    </row>
    <row r="13" spans="2:9">
      <c r="C13" s="250" t="s">
        <v>478</v>
      </c>
      <c r="D13" s="250"/>
      <c r="E13" s="250"/>
      <c r="F13" s="250"/>
      <c r="G13" s="250"/>
      <c r="I13" s="4" t="s">
        <v>20</v>
      </c>
    </row>
    <row r="14" spans="2:9">
      <c r="C14" s="3"/>
      <c r="D14" s="3"/>
      <c r="E14" s="3"/>
      <c r="F14" s="3"/>
      <c r="G14" s="3"/>
      <c r="I14" s="4"/>
    </row>
    <row r="15" spans="2:9">
      <c r="B15" s="228" t="s">
        <v>527</v>
      </c>
      <c r="C15" s="232">
        <v>0.15</v>
      </c>
      <c r="D15" s="232">
        <v>0.2</v>
      </c>
      <c r="E15" s="232">
        <v>0.35</v>
      </c>
      <c r="F15" s="232">
        <v>0.3</v>
      </c>
      <c r="G15" s="232">
        <v>0</v>
      </c>
      <c r="I15" s="4">
        <f>SUM(C15:G15)</f>
        <v>1</v>
      </c>
    </row>
    <row r="16" spans="2:9">
      <c r="B16" s="228" t="s">
        <v>206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8" t="s">
        <v>262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8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782</v>
      </c>
      <c r="D20" s="1" t="s">
        <v>103</v>
      </c>
      <c r="E20" s="1" t="s">
        <v>37</v>
      </c>
      <c r="F20" s="1" t="s">
        <v>100</v>
      </c>
      <c r="G20" s="1"/>
      <c r="H20" s="1"/>
    </row>
    <row r="21" spans="2:9">
      <c r="B21" s="1" t="s">
        <v>8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9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10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467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468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783</v>
      </c>
      <c r="C27" s="4">
        <f>SUMPRODUCT(C16:G16,C11:G11)</f>
        <v>0.19620000000000001</v>
      </c>
    </row>
    <row r="28" spans="2:9">
      <c r="B28" s="1" t="s">
        <v>784</v>
      </c>
      <c r="C28" s="29">
        <f>SUMPRODUCT(MMULT(C16:G16,C3:G7),C16:G16)</f>
        <v>1.3486400000000001E-3</v>
      </c>
    </row>
    <row r="30" spans="2:9">
      <c r="C30" s="1" t="s">
        <v>785</v>
      </c>
      <c r="D30" s="1" t="s">
        <v>786</v>
      </c>
    </row>
    <row r="31" spans="2:9">
      <c r="B31" s="1" t="s">
        <v>801</v>
      </c>
      <c r="C31" s="233" cm="1">
        <f t="array" ref="C31">MMULT(C15:G15,D21:D25)</f>
        <v>0.97349922885277018</v>
      </c>
      <c r="D31" s="233" cm="1">
        <f t="array" ref="D31">MMULT(C17:G17,D21:D25)</f>
        <v>-2.6500771147229873E-2</v>
      </c>
    </row>
    <row r="32" spans="2:9">
      <c r="B32" s="1" t="s">
        <v>787</v>
      </c>
      <c r="C32" s="234" cm="1">
        <f t="array" ref="C32">MMULT(C15:G15,F21:F25)</f>
        <v>1.3469435876141893E-2</v>
      </c>
      <c r="D32" s="234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H16" sqref="H16"/>
    </sheetView>
  </sheetViews>
  <sheetFormatPr defaultRowHeight="15"/>
  <cols>
    <col min="1" max="1" width="18.85546875" bestFit="1" customWidth="1"/>
    <col min="2" max="2" width="10.85546875" customWidth="1"/>
    <col min="3" max="4" width="12" bestFit="1" customWidth="1"/>
    <col min="7" max="7" width="2.5703125" customWidth="1"/>
    <col min="8" max="9" width="11.42578125" bestFit="1" customWidth="1"/>
    <col min="10" max="10" width="11.5703125" bestFit="1" customWidth="1"/>
  </cols>
  <sheetData>
    <row r="1" spans="1:14">
      <c r="A1" s="31" t="s">
        <v>191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8" t="s">
        <v>530</v>
      </c>
      <c r="C2" s="168" t="s">
        <v>531</v>
      </c>
      <c r="D2" s="168" t="s">
        <v>532</v>
      </c>
      <c r="E2" s="20"/>
      <c r="J2" s="1"/>
      <c r="M2" s="1"/>
    </row>
    <row r="3" spans="1:14">
      <c r="A3" s="168" t="s">
        <v>530</v>
      </c>
      <c r="B3" s="169">
        <v>0.04</v>
      </c>
      <c r="C3" s="169">
        <v>-0.02</v>
      </c>
      <c r="D3" s="169">
        <v>2.5000000000000001E-2</v>
      </c>
      <c r="E3" s="20"/>
      <c r="H3" s="1"/>
      <c r="I3" s="1"/>
      <c r="J3" s="1"/>
      <c r="M3" s="1"/>
      <c r="N3" s="1"/>
    </row>
    <row r="4" spans="1:14">
      <c r="A4" s="168" t="s">
        <v>531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8" t="s">
        <v>532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8" t="s">
        <v>530</v>
      </c>
      <c r="C7" s="168" t="s">
        <v>531</v>
      </c>
      <c r="D7" s="168" t="s">
        <v>532</v>
      </c>
      <c r="E7" s="31"/>
      <c r="G7" s="168"/>
    </row>
    <row r="8" spans="1:14">
      <c r="A8" s="188" t="s">
        <v>37</v>
      </c>
      <c r="B8" s="169">
        <v>0.12</v>
      </c>
      <c r="C8" s="169">
        <v>0.06</v>
      </c>
      <c r="D8" s="169">
        <v>0.08</v>
      </c>
      <c r="E8" s="51"/>
      <c r="G8" s="168"/>
    </row>
    <row r="9" spans="1:14">
      <c r="A9" s="1" t="s">
        <v>789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50" t="s">
        <v>478</v>
      </c>
      <c r="C11" s="250"/>
      <c r="D11" s="250"/>
      <c r="G11" s="1"/>
    </row>
    <row r="12" spans="1:14">
      <c r="B12" s="168" t="s">
        <v>530</v>
      </c>
      <c r="C12" s="168" t="s">
        <v>531</v>
      </c>
      <c r="D12" s="168" t="s">
        <v>532</v>
      </c>
      <c r="F12" s="168" t="s">
        <v>20</v>
      </c>
    </row>
    <row r="13" spans="1:14">
      <c r="A13" s="1" t="s">
        <v>206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527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100</v>
      </c>
      <c r="I14" s="1" t="s">
        <v>788</v>
      </c>
      <c r="J14" s="1" t="s">
        <v>477</v>
      </c>
    </row>
    <row r="15" spans="1:14">
      <c r="A15" s="1" t="s">
        <v>262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596</v>
      </c>
      <c r="B17">
        <v>10</v>
      </c>
      <c r="H17" s="1" t="s">
        <v>100</v>
      </c>
      <c r="I17" s="1" t="s">
        <v>788</v>
      </c>
      <c r="J17" s="1" t="s">
        <v>477</v>
      </c>
    </row>
    <row r="18" spans="1:10">
      <c r="A18" s="1" t="s">
        <v>597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790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G7" sqref="G7"/>
    </sheetView>
  </sheetViews>
  <sheetFormatPr defaultRowHeight="15"/>
  <cols>
    <col min="1" max="1" width="11.28515625" customWidth="1"/>
    <col min="2" max="2" width="11.85546875" bestFit="1" customWidth="1"/>
    <col min="3" max="3" width="12.7109375" bestFit="1" customWidth="1"/>
    <col min="6" max="6" width="13.42578125" bestFit="1" customWidth="1"/>
    <col min="13" max="13" width="12" bestFit="1" customWidth="1"/>
    <col min="19" max="19" width="10.28515625" bestFit="1" customWidth="1"/>
  </cols>
  <sheetData>
    <row r="1" spans="1:11">
      <c r="B1" s="250" t="s">
        <v>191</v>
      </c>
      <c r="C1" s="250"/>
      <c r="D1" s="250"/>
      <c r="E1" s="250"/>
      <c r="F1" s="250"/>
      <c r="G1" s="250"/>
      <c r="H1" s="250"/>
      <c r="I1" s="250"/>
      <c r="J1" s="250"/>
      <c r="K1" s="250"/>
    </row>
    <row r="2" spans="1:11">
      <c r="B2" s="3" t="s">
        <v>8</v>
      </c>
      <c r="C2" s="3" t="s">
        <v>9</v>
      </c>
      <c r="D2" s="3" t="s">
        <v>10</v>
      </c>
      <c r="E2" s="3" t="s">
        <v>467</v>
      </c>
      <c r="F2" s="3" t="s">
        <v>468</v>
      </c>
      <c r="G2" s="3" t="s">
        <v>174</v>
      </c>
      <c r="H2" s="3" t="s">
        <v>791</v>
      </c>
      <c r="I2" s="3" t="s">
        <v>792</v>
      </c>
      <c r="J2" s="3" t="s">
        <v>793</v>
      </c>
      <c r="K2" s="3" t="s">
        <v>794</v>
      </c>
    </row>
    <row r="3" spans="1:11">
      <c r="A3" s="3" t="s">
        <v>8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9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10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467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468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174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791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792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793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794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50" t="s">
        <v>226</v>
      </c>
      <c r="C14" s="250"/>
      <c r="D14" s="250"/>
      <c r="E14" s="250"/>
      <c r="F14" s="250"/>
      <c r="G14" s="250"/>
      <c r="H14" s="250"/>
      <c r="I14" s="250"/>
      <c r="J14" s="250"/>
      <c r="K14" s="250"/>
    </row>
    <row r="15" spans="1:11">
      <c r="B15" s="3" t="s">
        <v>8</v>
      </c>
      <c r="C15" s="3" t="s">
        <v>9</v>
      </c>
      <c r="D15" s="3" t="s">
        <v>10</v>
      </c>
      <c r="E15" s="3" t="s">
        <v>467</v>
      </c>
      <c r="F15" s="3" t="s">
        <v>468</v>
      </c>
      <c r="G15" s="3" t="s">
        <v>174</v>
      </c>
      <c r="H15" s="3" t="s">
        <v>791</v>
      </c>
      <c r="I15" s="3" t="s">
        <v>792</v>
      </c>
      <c r="J15" s="3" t="s">
        <v>793</v>
      </c>
      <c r="K15" s="3" t="s">
        <v>794</v>
      </c>
    </row>
    <row r="16" spans="1:11">
      <c r="A16" s="3" t="s">
        <v>37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50" t="s">
        <v>478</v>
      </c>
      <c r="C18" s="250"/>
      <c r="D18" s="250"/>
      <c r="E18" s="250"/>
      <c r="F18" s="250"/>
      <c r="G18" s="250"/>
      <c r="H18" s="250"/>
      <c r="I18" s="250"/>
      <c r="J18" s="250"/>
      <c r="K18" s="250"/>
      <c r="M18" t="s">
        <v>20</v>
      </c>
    </row>
    <row r="19" spans="1:13">
      <c r="B19" s="3" t="s">
        <v>8</v>
      </c>
      <c r="C19" s="3" t="s">
        <v>9</v>
      </c>
      <c r="D19" s="3" t="s">
        <v>10</v>
      </c>
      <c r="E19" s="3" t="s">
        <v>467</v>
      </c>
      <c r="F19" s="3" t="s">
        <v>468</v>
      </c>
      <c r="G19" s="3" t="s">
        <v>174</v>
      </c>
      <c r="H19" s="3" t="s">
        <v>791</v>
      </c>
      <c r="I19" s="3" t="s">
        <v>792</v>
      </c>
      <c r="J19" s="3" t="s">
        <v>793</v>
      </c>
      <c r="K19" s="3" t="s">
        <v>794</v>
      </c>
    </row>
    <row r="20" spans="1:13">
      <c r="A20" s="1" t="s">
        <v>527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206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262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798</v>
      </c>
      <c r="C24" s="3" t="s">
        <v>795</v>
      </c>
      <c r="D24" s="3" t="s">
        <v>37</v>
      </c>
      <c r="E24" s="3" t="s">
        <v>100</v>
      </c>
      <c r="F24" s="3" t="s">
        <v>546</v>
      </c>
    </row>
    <row r="25" spans="1:13">
      <c r="A25" s="3" t="s">
        <v>8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30">
        <f>D25-0.02-C25*($B$37-0.02)</f>
        <v>-6.1959749607669715E-2</v>
      </c>
      <c r="F25" s="29">
        <f>B22</f>
        <v>-0.17682939085832869</v>
      </c>
      <c r="H25" s="250" t="s">
        <v>800</v>
      </c>
      <c r="I25" s="250"/>
      <c r="J25" s="250"/>
    </row>
    <row r="26" spans="1:13">
      <c r="A26" s="3" t="s">
        <v>9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30">
        <f t="shared" ref="E26:E34" si="3">D26-0.02-C26*($B$37-0.02)</f>
        <v>6.7089282061010613E-2</v>
      </c>
      <c r="F26" s="29">
        <f>C22</f>
        <v>0.19939575892928552</v>
      </c>
      <c r="H26" s="3" t="s">
        <v>100</v>
      </c>
      <c r="I26" s="3" t="s">
        <v>788</v>
      </c>
      <c r="J26" s="3" t="s">
        <v>477</v>
      </c>
    </row>
    <row r="27" spans="1:13">
      <c r="A27" s="3" t="s">
        <v>10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30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467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30">
        <f t="shared" si="3"/>
        <v>-2.7271787744540754E-2</v>
      </c>
      <c r="F28" s="29">
        <f>E22</f>
        <v>-2.9407715530956391E-2</v>
      </c>
    </row>
    <row r="29" spans="1:13">
      <c r="A29" s="3" t="s">
        <v>468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30">
        <f t="shared" si="3"/>
        <v>0.12284355393394225</v>
      </c>
      <c r="F29" s="29">
        <f>F22</f>
        <v>0.13980268313705244</v>
      </c>
    </row>
    <row r="30" spans="1:13">
      <c r="A30" s="3" t="s">
        <v>174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30">
        <f t="shared" si="3"/>
        <v>-1.672213147596649E-2</v>
      </c>
      <c r="F30" s="29">
        <f>G22</f>
        <v>-1.126816740355765E-2</v>
      </c>
    </row>
    <row r="31" spans="1:13">
      <c r="A31" s="3" t="s">
        <v>791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30">
        <f t="shared" si="3"/>
        <v>-0.12637325969574137</v>
      </c>
      <c r="F31" s="29">
        <f>H22</f>
        <v>-8.8395481647113486E-2</v>
      </c>
    </row>
    <row r="32" spans="1:13">
      <c r="A32" s="3" t="s">
        <v>792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30">
        <f t="shared" si="3"/>
        <v>-4.9524484109403064E-2</v>
      </c>
      <c r="F32" s="29">
        <f>I22</f>
        <v>-3.4374436916329146E-2</v>
      </c>
    </row>
    <row r="33" spans="1:19">
      <c r="A33" s="3" t="s">
        <v>793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30">
        <f t="shared" si="3"/>
        <v>0.15678489911731786</v>
      </c>
      <c r="F33" s="29">
        <f>J22</f>
        <v>7.0833019962257812E-2</v>
      </c>
    </row>
    <row r="34" spans="1:19">
      <c r="A34" s="3" t="s">
        <v>794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30">
        <f t="shared" si="3"/>
        <v>6.9621604763054068E-2</v>
      </c>
      <c r="F34" s="29">
        <f>K22</f>
        <v>2.1568289877785599E-2</v>
      </c>
      <c r="S34" s="163"/>
    </row>
    <row r="36" spans="1:19">
      <c r="A36" s="1" t="s">
        <v>796</v>
      </c>
      <c r="B36" s="29">
        <f>SUMPRODUCT(MMULT(B21:K21,B3:K12),B21:K21)</f>
        <v>2.3108292817734875E-2</v>
      </c>
      <c r="S36" s="163"/>
    </row>
    <row r="37" spans="1:19">
      <c r="A37" s="1" t="s">
        <v>797</v>
      </c>
      <c r="B37" s="29">
        <f>SUMPRODUCT(B21:K21,B16:K16)</f>
        <v>0.18743861637882939</v>
      </c>
    </row>
    <row r="39" spans="1:19">
      <c r="C39" s="3" t="s">
        <v>799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topLeftCell="A7" workbookViewId="0">
      <selection activeCell="A19" sqref="A19"/>
    </sheetView>
  </sheetViews>
  <sheetFormatPr defaultRowHeight="15"/>
  <cols>
    <col min="1" max="1" width="11.140625" bestFit="1" customWidth="1"/>
    <col min="2" max="2" width="10.7109375" bestFit="1" customWidth="1"/>
    <col min="3" max="3" width="11.7109375" bestFit="1" customWidth="1"/>
    <col min="4" max="4" width="5.85546875" bestFit="1" customWidth="1"/>
    <col min="12" max="12" width="11.140625" bestFit="1" customWidth="1"/>
    <col min="13" max="13" width="2.85546875" customWidth="1"/>
  </cols>
  <sheetData>
    <row r="1" spans="1:12">
      <c r="B1" s="250" t="s">
        <v>191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</row>
    <row r="2" spans="1:12">
      <c r="B2" s="3" t="s">
        <v>8</v>
      </c>
      <c r="C2" s="3" t="s">
        <v>9</v>
      </c>
      <c r="D2" s="3" t="s">
        <v>10</v>
      </c>
      <c r="E2" s="3" t="s">
        <v>467</v>
      </c>
      <c r="F2" s="3" t="s">
        <v>468</v>
      </c>
      <c r="G2" s="3" t="s">
        <v>174</v>
      </c>
      <c r="H2" s="3" t="s">
        <v>791</v>
      </c>
      <c r="I2" s="3" t="s">
        <v>792</v>
      </c>
      <c r="J2" s="3" t="s">
        <v>793</v>
      </c>
      <c r="K2" s="3" t="s">
        <v>794</v>
      </c>
      <c r="L2" s="3" t="s">
        <v>802</v>
      </c>
    </row>
    <row r="3" spans="1:12">
      <c r="A3" s="3" t="s">
        <v>8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9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10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467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468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174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791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792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793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794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802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50" t="s">
        <v>226</v>
      </c>
      <c r="C15" s="250"/>
      <c r="D15" s="250"/>
      <c r="E15" s="250"/>
      <c r="F15" s="250"/>
      <c r="G15" s="250"/>
      <c r="H15" s="250"/>
      <c r="I15" s="250"/>
      <c r="J15" s="250"/>
      <c r="K15" s="250"/>
      <c r="L15" s="250"/>
    </row>
    <row r="16" spans="1:12">
      <c r="B16" s="3" t="s">
        <v>8</v>
      </c>
      <c r="C16" s="3" t="s">
        <v>9</v>
      </c>
      <c r="D16" s="3" t="s">
        <v>10</v>
      </c>
      <c r="E16" s="3" t="s">
        <v>467</v>
      </c>
      <c r="F16" s="3" t="s">
        <v>468</v>
      </c>
      <c r="G16" s="3" t="s">
        <v>174</v>
      </c>
      <c r="H16" s="3" t="s">
        <v>791</v>
      </c>
      <c r="I16" s="3" t="s">
        <v>792</v>
      </c>
      <c r="J16" s="3" t="s">
        <v>793</v>
      </c>
      <c r="K16" s="3" t="s">
        <v>794</v>
      </c>
      <c r="L16" s="3" t="s">
        <v>802</v>
      </c>
    </row>
    <row r="17" spans="1:14">
      <c r="A17" s="1" t="s">
        <v>37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50" t="s">
        <v>478</v>
      </c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N19" t="s">
        <v>20</v>
      </c>
    </row>
    <row r="20" spans="1:14">
      <c r="A20" s="1" t="s">
        <v>527</v>
      </c>
      <c r="B20" s="5">
        <f>B21+B22</f>
        <v>-1.2708499946400646E-3</v>
      </c>
      <c r="C20" s="5">
        <f t="shared" ref="C20:L20" si="0">C21+C22</f>
        <v>-1.4471606584575303E-3</v>
      </c>
      <c r="D20" s="5">
        <f t="shared" si="0"/>
        <v>2.342174714314562E-2</v>
      </c>
      <c r="E20" s="5">
        <f t="shared" si="0"/>
        <v>4.2264381220370635E-2</v>
      </c>
      <c r="F20" s="5">
        <f t="shared" si="0"/>
        <v>-5.8426549862058738E-2</v>
      </c>
      <c r="G20" s="5">
        <f t="shared" si="0"/>
        <v>4.2680217234287242E-2</v>
      </c>
      <c r="H20" s="5">
        <f t="shared" si="0"/>
        <v>5.6371475200149256E-2</v>
      </c>
      <c r="I20" s="5">
        <f t="shared" si="0"/>
        <v>4.802776572416622E-2</v>
      </c>
      <c r="J20" s="5">
        <f t="shared" si="0"/>
        <v>6.8708578250298552E-2</v>
      </c>
      <c r="K20" s="5">
        <f t="shared" si="0"/>
        <v>5.3567897693241155E-2</v>
      </c>
      <c r="L20" s="5">
        <f t="shared" si="0"/>
        <v>0.72610249804949767</v>
      </c>
      <c r="N20" s="14">
        <f>SUM(B20:L20)</f>
        <v>1</v>
      </c>
    </row>
    <row r="21" spans="1:14">
      <c r="A21" s="1" t="s">
        <v>206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262</v>
      </c>
      <c r="B22" s="5">
        <v>-1.2708499946400646E-3</v>
      </c>
      <c r="C22" s="5">
        <v>-1.4471606584575303E-3</v>
      </c>
      <c r="D22" s="5">
        <v>2.342174714314562E-2</v>
      </c>
      <c r="E22" s="5">
        <v>4.2264381220370635E-2</v>
      </c>
      <c r="F22" s="5">
        <v>-5.8426549862058738E-2</v>
      </c>
      <c r="G22" s="5">
        <v>4.2680217234287242E-2</v>
      </c>
      <c r="H22" s="5">
        <v>5.6371475200149256E-2</v>
      </c>
      <c r="I22" s="5">
        <v>4.802776572416622E-2</v>
      </c>
      <c r="J22" s="5">
        <v>6.8708578250298552E-2</v>
      </c>
      <c r="K22" s="5">
        <v>5.3567897693241155E-2</v>
      </c>
      <c r="L22" s="5">
        <f>0-SUM(B22:K22)</f>
        <v>-0.27389750195050233</v>
      </c>
      <c r="N22" s="14">
        <f>SUM(B22:L22)</f>
        <v>0</v>
      </c>
    </row>
    <row r="24" spans="1:14">
      <c r="B24" s="3" t="s">
        <v>798</v>
      </c>
      <c r="C24" s="3" t="s">
        <v>795</v>
      </c>
      <c r="D24" s="3" t="s">
        <v>37</v>
      </c>
      <c r="E24" s="3" t="s">
        <v>100</v>
      </c>
    </row>
    <row r="25" spans="1:14">
      <c r="A25" s="3" t="s">
        <v>8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50" t="s">
        <v>800</v>
      </c>
      <c r="H25" s="250"/>
      <c r="I25" s="250"/>
    </row>
    <row r="26" spans="1:14">
      <c r="A26" s="3" t="s">
        <v>9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100</v>
      </c>
      <c r="H26" s="3" t="s">
        <v>788</v>
      </c>
      <c r="I26" s="3" t="s">
        <v>477</v>
      </c>
    </row>
    <row r="27" spans="1:14">
      <c r="A27" s="3" t="s">
        <v>10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3.5346620467231409E-2</v>
      </c>
      <c r="H27">
        <f>SQRT(SUMPRODUCT(MMULT(B22:L22,B3:L13),B22:L22))</f>
        <v>5.0000997357325383E-2</v>
      </c>
      <c r="I27">
        <f>G27/H27</f>
        <v>0.70691830834156277</v>
      </c>
    </row>
    <row r="28" spans="1:14">
      <c r="A28" s="3" t="s">
        <v>467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468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174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791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792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5">
      <c r="A33" s="3" t="s">
        <v>793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5">
      <c r="A34" s="3" t="s">
        <v>794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5">
      <c r="A35" s="3" t="s">
        <v>802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5">
      <c r="A37" s="1"/>
    </row>
    <row r="38" spans="1:5">
      <c r="C38" s="3" t="s">
        <v>799</v>
      </c>
    </row>
    <row r="39" spans="1:5">
      <c r="C39" cm="1">
        <f t="array" ref="C39">MMULT(B22:L22,C25:C35)</f>
        <v>1.8942514223851958E-11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B32" sqref="B32"/>
    </sheetView>
  </sheetViews>
  <sheetFormatPr defaultRowHeight="15"/>
  <cols>
    <col min="1" max="1" width="8.42578125" customWidth="1"/>
    <col min="2" max="2" width="10.28515625" customWidth="1"/>
    <col min="3" max="3" width="10.42578125" bestFit="1" customWidth="1"/>
    <col min="5" max="5" width="10" customWidth="1"/>
    <col min="6" max="6" width="7" customWidth="1"/>
    <col min="7" max="7" width="12.5703125" customWidth="1"/>
    <col min="8" max="8" width="11.85546875" customWidth="1"/>
    <col min="9" max="9" width="3.85546875" customWidth="1"/>
    <col min="10" max="10" width="13.42578125" bestFit="1" customWidth="1"/>
    <col min="11" max="11" width="9.42578125" customWidth="1"/>
    <col min="12" max="12" width="10.42578125" bestFit="1" customWidth="1"/>
    <col min="13" max="13" width="2.85546875" customWidth="1"/>
    <col min="14" max="14" width="11.7109375" customWidth="1"/>
    <col min="15" max="15" width="9" customWidth="1"/>
    <col min="16" max="16" width="2.85546875" customWidth="1"/>
    <col min="17" max="17" width="11.85546875" customWidth="1"/>
    <col min="18" max="18" width="12.85546875" customWidth="1"/>
    <col min="19" max="19" width="2.7109375" customWidth="1"/>
    <col min="20" max="20" width="11.85546875" customWidth="1"/>
    <col min="21" max="21" width="12.85546875" customWidth="1"/>
    <col min="24" max="24" width="8.28515625" customWidth="1"/>
    <col min="26" max="26" width="12" customWidth="1"/>
  </cols>
  <sheetData>
    <row r="1" spans="1:21">
      <c r="A1" s="236"/>
      <c r="B1" s="236"/>
      <c r="C1" s="238" t="s">
        <v>579</v>
      </c>
      <c r="D1" s="279" t="s">
        <v>803</v>
      </c>
      <c r="E1" s="279"/>
      <c r="F1" s="3"/>
      <c r="G1" s="250" t="s">
        <v>811</v>
      </c>
      <c r="H1" s="250"/>
      <c r="I1" s="3"/>
      <c r="J1" s="257" t="s">
        <v>811</v>
      </c>
      <c r="K1" s="257"/>
      <c r="M1" s="3"/>
      <c r="N1" s="3"/>
      <c r="O1" s="3"/>
    </row>
    <row r="2" spans="1:21">
      <c r="A2" s="239" t="s">
        <v>551</v>
      </c>
      <c r="B2" s="239" t="s">
        <v>816</v>
      </c>
      <c r="C2" s="238" t="s">
        <v>246</v>
      </c>
      <c r="D2" s="238" t="s">
        <v>45</v>
      </c>
      <c r="E2" s="240" t="s">
        <v>206</v>
      </c>
      <c r="F2" s="1"/>
      <c r="G2" s="1" t="s">
        <v>45</v>
      </c>
      <c r="H2" s="1" t="s">
        <v>206</v>
      </c>
      <c r="I2" s="1"/>
      <c r="J2" s="250" t="s">
        <v>804</v>
      </c>
      <c r="K2" s="250"/>
      <c r="M2" s="1"/>
      <c r="N2" s="1"/>
      <c r="O2" s="1"/>
    </row>
    <row r="3" spans="1:21">
      <c r="A3" s="241" t="s">
        <v>8</v>
      </c>
      <c r="B3" s="241">
        <v>1</v>
      </c>
      <c r="C3" s="245">
        <v>1.3631031661925469E-2</v>
      </c>
      <c r="D3" s="242">
        <v>0.23</v>
      </c>
      <c r="E3" s="242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41" t="s">
        <v>9</v>
      </c>
      <c r="B4" s="241">
        <v>1</v>
      </c>
      <c r="C4" s="245">
        <v>-1.30175915692063E-2</v>
      </c>
      <c r="D4" s="242">
        <v>0.21</v>
      </c>
      <c r="E4" s="242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41" t="s">
        <v>10</v>
      </c>
      <c r="B5" s="241">
        <v>1</v>
      </c>
      <c r="C5" s="245">
        <v>1.1811999923555E-3</v>
      </c>
      <c r="D5" s="242">
        <v>0.09</v>
      </c>
      <c r="E5" s="242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41" t="s">
        <v>467</v>
      </c>
      <c r="B6" s="241">
        <v>2</v>
      </c>
      <c r="C6" s="245">
        <v>4.6045465053296292E-2</v>
      </c>
      <c r="D6" s="242">
        <v>0.35</v>
      </c>
      <c r="E6" s="242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41" t="s">
        <v>468</v>
      </c>
      <c r="B7" s="241">
        <v>2</v>
      </c>
      <c r="C7" s="245">
        <v>9.7110800474578002E-3</v>
      </c>
      <c r="D7" s="242">
        <f>1-SUM(D3:D6)</f>
        <v>0.12</v>
      </c>
      <c r="E7" s="242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95</v>
      </c>
      <c r="G9" s="250" t="s">
        <v>813</v>
      </c>
      <c r="H9" s="250"/>
      <c r="I9" s="3"/>
      <c r="J9" s="250" t="s">
        <v>812</v>
      </c>
      <c r="K9" s="250"/>
    </row>
    <row r="10" spans="1:21">
      <c r="B10" s="3" t="s">
        <v>45</v>
      </c>
      <c r="C10" s="3" t="s">
        <v>206</v>
      </c>
      <c r="D10" s="1" t="s">
        <v>806</v>
      </c>
      <c r="G10" s="1" t="s">
        <v>45</v>
      </c>
      <c r="H10" s="1" t="s">
        <v>206</v>
      </c>
      <c r="I10" s="1"/>
      <c r="J10" s="3" t="s">
        <v>45</v>
      </c>
      <c r="K10" s="227" t="s">
        <v>206</v>
      </c>
    </row>
    <row r="11" spans="1:21">
      <c r="A11" s="1" t="s">
        <v>579</v>
      </c>
      <c r="B11" s="199">
        <f>SUMPRODUCT(C3:C7,D3:D7)</f>
        <v>1.7788993426370168E-2</v>
      </c>
      <c r="C11" s="199">
        <f>SUMPRODUCT(E3:E7,C3:C7)</f>
        <v>1.2053360601817102E-2</v>
      </c>
      <c r="D11" s="243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9">
        <f>SUMPRODUCT(G3:G5,C3:C5)</f>
        <v>9.580208528708117E-4</v>
      </c>
      <c r="K11" s="199">
        <f>SUMPRODUCT(H3:H5,C3:C5)</f>
        <v>2.1089923862077807E-3</v>
      </c>
    </row>
    <row r="12" spans="1:21">
      <c r="A12" s="235" t="s">
        <v>818</v>
      </c>
      <c r="B12" s="199">
        <f>B11*12</f>
        <v>0.21346792111644203</v>
      </c>
      <c r="C12" s="199">
        <f>C11*12</f>
        <v>0.14464032722180523</v>
      </c>
      <c r="D12" s="244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9">
        <f>SUMPRODUCT(G6:G7,C6:C7)</f>
        <v>3.6768600796486459E-2</v>
      </c>
      <c r="K12" s="199">
        <f>SUMPRODUCT(H6:H7,C6:C7)</f>
        <v>2.6969912925231085E-2</v>
      </c>
    </row>
    <row r="13" spans="1:21">
      <c r="A13" s="235"/>
      <c r="B13" s="150"/>
      <c r="T13" s="250"/>
      <c r="U13" s="250"/>
    </row>
    <row r="14" spans="1:21">
      <c r="A14" s="235" t="s">
        <v>805</v>
      </c>
      <c r="B14" s="150"/>
      <c r="I14" s="4"/>
      <c r="J14" s="250" t="s">
        <v>825</v>
      </c>
      <c r="K14" s="250"/>
      <c r="P14" s="4"/>
    </row>
    <row r="15" spans="1:21">
      <c r="B15" s="1">
        <v>1</v>
      </c>
      <c r="C15" s="1">
        <v>2</v>
      </c>
      <c r="D15" s="1" t="s">
        <v>20</v>
      </c>
      <c r="I15" s="166">
        <v>1</v>
      </c>
      <c r="J15" s="199">
        <f>J11*12</f>
        <v>1.149625023444974E-2</v>
      </c>
      <c r="K15" s="199">
        <f>K11*12</f>
        <v>2.5307908634493368E-2</v>
      </c>
      <c r="P15" s="4"/>
    </row>
    <row r="16" spans="1:21">
      <c r="A16" s="1" t="s">
        <v>579</v>
      </c>
      <c r="B16" s="199">
        <f>(G11-H11)*(K11-$C$11)</f>
        <v>6.9610577509265198E-4</v>
      </c>
      <c r="C16" s="199">
        <f>(G12-H12)*(K12-$C$11)</f>
        <v>1.044158662638979E-3</v>
      </c>
      <c r="D16" s="199">
        <f>SUM(B16:C16)</f>
        <v>1.7402644377316309E-3</v>
      </c>
      <c r="I16" s="166">
        <v>2</v>
      </c>
      <c r="J16" s="199">
        <f>J12*12</f>
        <v>0.4412232095578375</v>
      </c>
      <c r="K16" s="199">
        <f>K12*12</f>
        <v>0.32363895510277302</v>
      </c>
    </row>
    <row r="17" spans="1:24">
      <c r="A17" s="1" t="s">
        <v>818</v>
      </c>
      <c r="B17" s="199">
        <f>B16*12</f>
        <v>8.3532693011118229E-3</v>
      </c>
      <c r="C17" s="199">
        <f>C16*12</f>
        <v>1.2529903951667747E-2</v>
      </c>
      <c r="D17" s="199">
        <f>D16*12</f>
        <v>2.0883173252779573E-2</v>
      </c>
    </row>
    <row r="18" spans="1:24">
      <c r="A18" s="150"/>
      <c r="B18" s="150"/>
      <c r="U18" s="150"/>
      <c r="V18" s="199"/>
      <c r="W18" s="199"/>
      <c r="X18" s="199"/>
    </row>
    <row r="19" spans="1:24">
      <c r="A19" s="235" t="s">
        <v>807</v>
      </c>
      <c r="B19" s="150"/>
      <c r="V19" s="199"/>
      <c r="W19" s="199"/>
      <c r="X19" s="199"/>
    </row>
    <row r="20" spans="1:24">
      <c r="A20" s="235"/>
      <c r="B20" s="1">
        <v>1</v>
      </c>
      <c r="C20" s="1">
        <v>2</v>
      </c>
      <c r="D20" s="1" t="s">
        <v>20</v>
      </c>
      <c r="V20" s="199"/>
      <c r="W20" s="199"/>
      <c r="X20" s="199"/>
    </row>
    <row r="21" spans="1:24">
      <c r="A21" s="1" t="s">
        <v>579</v>
      </c>
      <c r="B21" s="199">
        <f>H11*(J11-K11)</f>
        <v>-6.9058292000218134E-4</v>
      </c>
      <c r="C21" s="199">
        <f>H12*(J12-K12)</f>
        <v>3.9194751485021493E-3</v>
      </c>
      <c r="D21" s="199">
        <f>SUM(B21:C21)</f>
        <v>3.2288922284999678E-3</v>
      </c>
    </row>
    <row r="22" spans="1:24">
      <c r="A22" s="1" t="s">
        <v>818</v>
      </c>
      <c r="B22" s="199">
        <f>B21*12</f>
        <v>-8.2869950400261752E-3</v>
      </c>
      <c r="C22" s="199">
        <f>C21*12</f>
        <v>4.7033701782025789E-2</v>
      </c>
      <c r="D22" s="199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5" t="s">
        <v>808</v>
      </c>
      <c r="B24" s="150"/>
      <c r="G24">
        <v>86.2</v>
      </c>
    </row>
    <row r="25" spans="1:24">
      <c r="A25" s="235"/>
      <c r="B25" s="1">
        <v>1</v>
      </c>
      <c r="C25" s="1">
        <v>2</v>
      </c>
      <c r="D25" s="1" t="s">
        <v>20</v>
      </c>
    </row>
    <row r="26" spans="1:24">
      <c r="A26" s="1" t="s">
        <v>579</v>
      </c>
      <c r="B26" s="199">
        <f>(G11-H11)*(J11-K11)</f>
        <v>8.0568007333587776E-5</v>
      </c>
      <c r="C26" s="199">
        <f>(G12-H12)*(J12-K12)</f>
        <v>6.8590815098787622E-4</v>
      </c>
      <c r="D26" s="198">
        <f>SUM(B26:C26)</f>
        <v>7.66476158321464E-4</v>
      </c>
    </row>
    <row r="27" spans="1:24">
      <c r="A27" s="1" t="s">
        <v>818</v>
      </c>
      <c r="B27" s="199">
        <f>B26*12</f>
        <v>9.6681608800305331E-4</v>
      </c>
      <c r="C27" s="199">
        <f>C26*12</f>
        <v>8.2308978118545151E-3</v>
      </c>
      <c r="D27" s="199">
        <f>D26*12</f>
        <v>9.1977138998575684E-3</v>
      </c>
    </row>
    <row r="28" spans="1:24">
      <c r="A28" s="150"/>
      <c r="B28" s="199"/>
    </row>
    <row r="29" spans="1:24">
      <c r="B29" s="150"/>
    </row>
    <row r="30" spans="1:24">
      <c r="A30" s="1" t="s">
        <v>809</v>
      </c>
      <c r="B30" s="150"/>
    </row>
    <row r="31" spans="1:24">
      <c r="A31" s="1"/>
      <c r="B31" s="150"/>
    </row>
    <row r="32" spans="1:24">
      <c r="A32" s="1" t="s">
        <v>579</v>
      </c>
      <c r="B32" s="244">
        <f>D16+D21+D26</f>
        <v>5.7356328245530622E-3</v>
      </c>
    </row>
    <row r="33" spans="1:7">
      <c r="A33" s="1" t="s">
        <v>818</v>
      </c>
      <c r="B33" s="244">
        <f>B32*12</f>
        <v>6.8827593894636746E-2</v>
      </c>
    </row>
    <row r="34" spans="1:7">
      <c r="B34" s="150"/>
    </row>
    <row r="35" spans="1:7">
      <c r="A35" s="1" t="s">
        <v>810</v>
      </c>
      <c r="B35" s="150"/>
    </row>
    <row r="36" spans="1:7">
      <c r="A36" s="1"/>
      <c r="B36" s="235" t="s">
        <v>8</v>
      </c>
      <c r="C36" s="1" t="s">
        <v>9</v>
      </c>
      <c r="D36" s="1" t="s">
        <v>10</v>
      </c>
      <c r="E36" s="1" t="s">
        <v>467</v>
      </c>
      <c r="F36" s="1" t="s">
        <v>468</v>
      </c>
      <c r="G36" s="1" t="s">
        <v>20</v>
      </c>
    </row>
    <row r="37" spans="1:7">
      <c r="A37" s="1" t="s">
        <v>579</v>
      </c>
      <c r="B37" s="199">
        <f>(D3-E3)*(C3-$C$11)</f>
        <v>-3.1553421202167329E-5</v>
      </c>
      <c r="C37" s="199">
        <f>(D4-E4)*(C4-$C$11)</f>
        <v>-7.5212856513070213E-4</v>
      </c>
      <c r="D37" s="199">
        <f>(D5-E5)*(C5-$C$11)</f>
        <v>8.6977284875692834E-4</v>
      </c>
      <c r="E37" s="199">
        <f>(D6-E6)*(C6-$C$11)</f>
        <v>5.4387367122366694E-3</v>
      </c>
      <c r="F37" s="199">
        <f>(D7-E7)*(C7-$C$11)</f>
        <v>2.108052498923371E-4</v>
      </c>
      <c r="G37" s="243">
        <f>SUM(B37:F37)</f>
        <v>5.7356328245530656E-3</v>
      </c>
    </row>
    <row r="38" spans="1:7">
      <c r="A38" s="1" t="s">
        <v>818</v>
      </c>
      <c r="B38" s="199">
        <f>B37*12</f>
        <v>-3.7864105442600795E-4</v>
      </c>
      <c r="C38" s="199">
        <f>C37*12</f>
        <v>-9.0255427815684255E-3</v>
      </c>
      <c r="D38" s="199">
        <f>D37*12</f>
        <v>1.043727418508314E-2</v>
      </c>
      <c r="E38" s="199">
        <f>E37*12</f>
        <v>6.5264840546840036E-2</v>
      </c>
      <c r="F38" s="199">
        <f>F37*12</f>
        <v>2.5296629987080453E-3</v>
      </c>
      <c r="G38" s="243">
        <f>SUM(B38:F38)</f>
        <v>6.8827593894636788E-2</v>
      </c>
    </row>
    <row r="40" spans="1:7">
      <c r="B40" s="244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E7" sqref="E7"/>
    </sheetView>
  </sheetViews>
  <sheetFormatPr defaultRowHeight="15"/>
  <cols>
    <col min="7" max="7" width="7.140625" customWidth="1"/>
    <col min="13" max="13" width="3.140625" customWidth="1"/>
    <col min="19" max="19" width="8.5703125" bestFit="1" customWidth="1"/>
    <col min="20" max="20" width="12.7109375" bestFit="1" customWidth="1"/>
    <col min="21" max="21" width="12.7109375" customWidth="1"/>
    <col min="22" max="22" width="12.7109375" bestFit="1" customWidth="1"/>
    <col min="23" max="23" width="2.140625" customWidth="1"/>
    <col min="24" max="24" width="11.85546875" customWidth="1"/>
    <col min="25" max="25" width="9.85546875" customWidth="1"/>
    <col min="26" max="26" width="8.42578125" bestFit="1" customWidth="1"/>
    <col min="27" max="31" width="9.5703125" bestFit="1" customWidth="1"/>
    <col min="32" max="32" width="1.42578125" customWidth="1"/>
    <col min="38" max="38" width="1.42578125" customWidth="1"/>
    <col min="41" max="41" width="1.42578125" customWidth="1"/>
    <col min="44" max="44" width="1.7109375" customWidth="1"/>
    <col min="47" max="47" width="1.5703125" customWidth="1"/>
    <col min="50" max="50" width="1.42578125" customWidth="1"/>
    <col min="51" max="51" width="13.140625" customWidth="1"/>
    <col min="52" max="52" width="12.7109375" bestFit="1" customWidth="1"/>
    <col min="53" max="53" width="1.7109375" customWidth="1"/>
    <col min="54" max="54" width="19.5703125" bestFit="1" customWidth="1"/>
    <col min="55" max="55" width="20.85546875" bestFit="1" customWidth="1"/>
  </cols>
  <sheetData>
    <row r="1" spans="1:55">
      <c r="A1" s="238"/>
      <c r="B1" s="256" t="s">
        <v>824</v>
      </c>
      <c r="C1" s="256"/>
      <c r="D1" s="256"/>
      <c r="E1" s="256"/>
      <c r="F1" s="256"/>
      <c r="G1" s="237"/>
      <c r="H1" s="256" t="s">
        <v>815</v>
      </c>
      <c r="I1" s="256"/>
      <c r="J1" s="256"/>
      <c r="K1" s="256"/>
      <c r="L1" s="256"/>
      <c r="M1" s="238"/>
      <c r="N1" s="256" t="s">
        <v>817</v>
      </c>
      <c r="O1" s="256"/>
      <c r="P1" s="256"/>
      <c r="Q1" s="256"/>
      <c r="R1" s="256"/>
      <c r="T1" s="250" t="s">
        <v>246</v>
      </c>
      <c r="U1" s="250"/>
      <c r="V1" s="250"/>
      <c r="X1" s="250" t="s">
        <v>94</v>
      </c>
      <c r="Y1" s="250"/>
      <c r="AA1" s="250" t="s">
        <v>819</v>
      </c>
      <c r="AB1" s="250"/>
      <c r="AC1" s="250"/>
      <c r="AD1" s="250"/>
      <c r="AE1" s="250"/>
      <c r="AG1" s="250"/>
      <c r="AH1" s="250"/>
      <c r="AI1" s="250"/>
      <c r="AJ1" s="250"/>
      <c r="AK1" s="250"/>
      <c r="AM1" s="250"/>
      <c r="AN1" s="250"/>
      <c r="AP1" s="250"/>
      <c r="AQ1" s="250"/>
      <c r="AS1" s="1"/>
      <c r="AV1" s="1"/>
      <c r="AY1" s="250"/>
      <c r="AZ1" s="250"/>
      <c r="BB1" s="1"/>
      <c r="BC1" s="1"/>
    </row>
    <row r="2" spans="1:55">
      <c r="A2" s="276" t="s">
        <v>244</v>
      </c>
      <c r="B2" s="241" t="s">
        <v>8</v>
      </c>
      <c r="C2" s="241" t="s">
        <v>9</v>
      </c>
      <c r="D2" s="241" t="s">
        <v>10</v>
      </c>
      <c r="E2" s="241" t="s">
        <v>467</v>
      </c>
      <c r="F2" s="241" t="s">
        <v>468</v>
      </c>
      <c r="G2" s="237"/>
      <c r="H2" s="241" t="s">
        <v>8</v>
      </c>
      <c r="I2" s="241" t="s">
        <v>9</v>
      </c>
      <c r="J2" s="241" t="s">
        <v>10</v>
      </c>
      <c r="K2" s="241" t="s">
        <v>467</v>
      </c>
      <c r="L2" s="241" t="s">
        <v>468</v>
      </c>
      <c r="M2" s="241"/>
      <c r="N2" s="241" t="s">
        <v>8</v>
      </c>
      <c r="O2" s="241" t="s">
        <v>9</v>
      </c>
      <c r="P2" s="241" t="s">
        <v>10</v>
      </c>
      <c r="Q2" s="241" t="s">
        <v>467</v>
      </c>
      <c r="R2" s="241" t="s">
        <v>468</v>
      </c>
      <c r="T2" s="1" t="s">
        <v>206</v>
      </c>
      <c r="U2" s="1" t="s">
        <v>45</v>
      </c>
      <c r="V2" s="1" t="s">
        <v>814</v>
      </c>
      <c r="X2" s="1" t="s">
        <v>206</v>
      </c>
      <c r="Y2" s="1" t="s">
        <v>45</v>
      </c>
      <c r="AA2" s="246" t="s">
        <v>8</v>
      </c>
      <c r="AB2" s="246" t="s">
        <v>9</v>
      </c>
      <c r="AC2" s="246" t="s">
        <v>10</v>
      </c>
      <c r="AD2" s="246" t="s">
        <v>467</v>
      </c>
      <c r="AE2" s="246" t="s">
        <v>468</v>
      </c>
      <c r="AG2" s="246" t="s">
        <v>804</v>
      </c>
      <c r="BB2" s="1"/>
      <c r="BC2" s="1"/>
    </row>
    <row r="3" spans="1:55">
      <c r="A3" s="236">
        <v>44227</v>
      </c>
      <c r="B3" s="277">
        <v>-2.5249999999999999E-3</v>
      </c>
      <c r="C3" s="277">
        <v>6.471563881394104E-3</v>
      </c>
      <c r="D3" s="277">
        <v>-3.8583333333333334E-3</v>
      </c>
      <c r="E3" s="277">
        <v>-8.7735389038784591E-3</v>
      </c>
      <c r="F3" s="237">
        <v>2.3797183607428452E-3</v>
      </c>
      <c r="G3" s="278"/>
      <c r="H3" s="277">
        <v>0.22097187842590618</v>
      </c>
      <c r="I3" s="277">
        <v>0.15034550496306842</v>
      </c>
      <c r="J3" s="277">
        <v>0.36630222879224561</v>
      </c>
      <c r="K3" s="277">
        <v>7.3121549290883922E-2</v>
      </c>
      <c r="L3" s="277">
        <v>0.18925883852789588</v>
      </c>
      <c r="M3" s="277"/>
      <c r="N3" s="277">
        <v>0.21892707629244659</v>
      </c>
      <c r="O3" s="277">
        <v>0.35485153512260514</v>
      </c>
      <c r="P3" s="277">
        <f t="shared" ref="P3:P61" si="0">1-N3-O3-Q3-R3</f>
        <v>0.31529549642456789</v>
      </c>
      <c r="Q3" s="277">
        <v>0.30888241565721075</v>
      </c>
      <c r="R3" s="277">
        <v>-0.19795652349683035</v>
      </c>
      <c r="S3" s="14"/>
      <c r="T3" s="14">
        <f>SUMPRODUCT(H3:L3,B3:F3)</f>
        <v>-1.1894515772376132E-3</v>
      </c>
      <c r="U3" s="14">
        <f>SUMPRODUCT(N3:R3,B3:F3)</f>
        <v>-2.6539342774732412E-3</v>
      </c>
      <c r="V3" s="273">
        <f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>(N3-H3)*(B3-$T3)</f>
        <v>2.7309322642031174E-6</v>
      </c>
      <c r="AB3" s="14">
        <f>(O3-I3)*(C3-$T3)</f>
        <v>1.566723858435615E-3</v>
      </c>
      <c r="AC3" s="14">
        <f>(P3-J3)*(D3-$T3)</f>
        <v>1.3613093745415213E-4</v>
      </c>
      <c r="AD3" s="14">
        <f>(Q3-K3)*(E3-$T3)</f>
        <v>-1.7880309987267254E-3</v>
      </c>
      <c r="AE3" s="14">
        <f>(R3-L3)*(F3-$T3)</f>
        <v>-1.382037429662873E-3</v>
      </c>
      <c r="AF3" s="14"/>
      <c r="AG3" s="273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6">
        <v>44255</v>
      </c>
      <c r="B4" s="277">
        <v>-8.0000000000000004E-4</v>
      </c>
      <c r="C4" s="277">
        <v>1.819773646866088E-2</v>
      </c>
      <c r="D4" s="277">
        <v>2.5841666666666666E-2</v>
      </c>
      <c r="E4" s="277">
        <v>6.5288062706550867E-3</v>
      </c>
      <c r="F4" s="237">
        <v>3.0568633695744214E-3</v>
      </c>
      <c r="G4" s="278"/>
      <c r="H4" s="277">
        <v>0.21240500696561546</v>
      </c>
      <c r="I4" s="277">
        <v>0.14991969847052533</v>
      </c>
      <c r="J4" s="277">
        <v>0.38974372703432986</v>
      </c>
      <c r="K4" s="277">
        <v>7.924176231430051E-2</v>
      </c>
      <c r="L4" s="277">
        <v>0.16868980521522892</v>
      </c>
      <c r="M4" s="277"/>
      <c r="N4" s="277">
        <v>0.20811338912089603</v>
      </c>
      <c r="O4" s="277">
        <v>0.26253256675020964</v>
      </c>
      <c r="P4" s="277">
        <f t="shared" si="0"/>
        <v>0.27268012162847388</v>
      </c>
      <c r="Q4" s="277">
        <v>0.24814840163740468</v>
      </c>
      <c r="R4" s="277">
        <v>8.5255208630157231E-3</v>
      </c>
      <c r="S4" s="14"/>
      <c r="T4" s="14">
        <f>SUMPRODUCT(H4:L4,B4:F4)</f>
        <v>1.3662918439179146E-2</v>
      </c>
      <c r="U4" s="14">
        <f>SUMPRODUCT(N4:R4,B4:F4)</f>
        <v>1.3303690755709885E-2</v>
      </c>
      <c r="V4" s="273">
        <f>SUMPRODUCT(N4:R4,B4:F4)-T4</f>
        <v>-3.5922768346926051E-4</v>
      </c>
      <c r="W4" s="14"/>
      <c r="X4" s="14">
        <f t="shared" ref="X4:X62" si="1">T4-0.0025</f>
        <v>1.1162918439179145E-2</v>
      </c>
      <c r="Y4" s="14">
        <f t="shared" ref="Y4:Y62" si="2">U4-0.0025</f>
        <v>1.0803690755709885E-2</v>
      </c>
      <c r="Z4" s="14"/>
      <c r="AA4" s="14">
        <f>(N4-H4)*(B4-$T4)</f>
        <v>6.2069318860302926E-5</v>
      </c>
      <c r="AB4" s="14">
        <f>(O4-I4)*(C4-$T4)</f>
        <v>5.1067886542636412E-4</v>
      </c>
      <c r="AC4" s="14">
        <f>(P4-J4)*(D4-$T4)</f>
        <v>-1.4256881768398668E-3</v>
      </c>
      <c r="AD4" s="14">
        <f>(Q4-K4)*(E4-$T4)</f>
        <v>-1.2049989109394618E-3</v>
      </c>
      <c r="AE4" s="14">
        <f>(R4-L4)*(F4-$T4)</f>
        <v>1.6987112200234035E-3</v>
      </c>
      <c r="AF4" s="14"/>
      <c r="AG4" s="273">
        <f t="shared" ref="AG4:AG62" si="3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6">
        <v>44286</v>
      </c>
      <c r="B5" s="277">
        <v>2.225E-3</v>
      </c>
      <c r="C5" s="277">
        <v>1.8306919284992909E-2</v>
      </c>
      <c r="D5" s="277">
        <v>1.8191666666666665E-2</v>
      </c>
      <c r="E5" s="277">
        <v>2.4721719033191508E-3</v>
      </c>
      <c r="F5" s="237">
        <v>2.4506622112136396E-3</v>
      </c>
      <c r="G5" s="278"/>
      <c r="H5" s="277">
        <v>0.20824763079398931</v>
      </c>
      <c r="I5" s="277">
        <v>0.1461354884834605</v>
      </c>
      <c r="J5" s="277">
        <v>0.40630447118100188</v>
      </c>
      <c r="K5" s="277">
        <v>8.1956873935074809E-2</v>
      </c>
      <c r="L5" s="277">
        <v>0.15735553560647336</v>
      </c>
      <c r="M5" s="277"/>
      <c r="N5" s="277">
        <v>0.20391845081808666</v>
      </c>
      <c r="O5" s="277">
        <v>0.41153719114755455</v>
      </c>
      <c r="P5" s="277">
        <f t="shared" si="0"/>
        <v>0.26856884701171146</v>
      </c>
      <c r="Q5" s="277">
        <v>0.15060843435285873</v>
      </c>
      <c r="R5" s="277">
        <v>-3.4632923330211396E-2</v>
      </c>
      <c r="S5" s="14"/>
      <c r="T5" s="14">
        <f>SUMPRODUCT(H5:L5,B5:F5)</f>
        <v>1.1118233821619635E-2</v>
      </c>
      <c r="U5" s="14">
        <f>SUMPRODUCT(N5:R5,B5:F5)</f>
        <v>1.3160867979410087E-2</v>
      </c>
      <c r="V5" s="273">
        <f>SUMPRODUCT(N5:R5,B5:F5)-T5</f>
        <v>2.0426341577904523E-3</v>
      </c>
      <c r="W5" s="14"/>
      <c r="X5" s="14">
        <f t="shared" si="1"/>
        <v>8.6182338216196346E-3</v>
      </c>
      <c r="Y5" s="14">
        <f t="shared" si="2"/>
        <v>1.0660867979410087E-2</v>
      </c>
      <c r="Z5" s="14"/>
      <c r="AA5" s="14">
        <f>(N5-H5)*(B5-$T5)</f>
        <v>3.8500409781575948E-5</v>
      </c>
      <c r="AB5" s="14">
        <f>(O5-I5)*(C5-$T5)</f>
        <v>1.9078893618958885E-3</v>
      </c>
      <c r="AC5" s="14">
        <f>(P5-J5)*(D5-$T5)</f>
        <v>-9.7426368793211238E-4</v>
      </c>
      <c r="AD5" s="14">
        <f>(Q5-K5)*(E5-$T5)</f>
        <v>-5.9356564216010645E-4</v>
      </c>
      <c r="AE5" s="14">
        <f>(R5-L5)*(F5-$T5)</f>
        <v>1.6640737162052061E-3</v>
      </c>
      <c r="AF5" s="14"/>
      <c r="AG5" s="273">
        <f t="shared" si="3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6">
        <v>44316</v>
      </c>
      <c r="B6" s="277">
        <v>-3.4499999999999999E-3</v>
      </c>
      <c r="C6" s="277">
        <v>5.7206784725130997E-3</v>
      </c>
      <c r="D6" s="277">
        <v>1.2041666666666666E-2</v>
      </c>
      <c r="E6" s="277">
        <v>-1.0625309721640467E-2</v>
      </c>
      <c r="F6" s="237">
        <v>1.3252950199326733E-3</v>
      </c>
      <c r="G6" s="278"/>
      <c r="H6" s="277">
        <v>0.20297317983485053</v>
      </c>
      <c r="I6" s="277">
        <v>0.14391698735023037</v>
      </c>
      <c r="J6" s="277">
        <v>0.42089671292781722</v>
      </c>
      <c r="K6" s="277">
        <v>8.3088643302059076E-2</v>
      </c>
      <c r="L6" s="277">
        <v>0.1491244765850428</v>
      </c>
      <c r="M6" s="277"/>
      <c r="N6" s="277">
        <v>0.20649628152827726</v>
      </c>
      <c r="O6" s="277">
        <v>0.37601249381331381</v>
      </c>
      <c r="P6" s="277">
        <f t="shared" si="0"/>
        <v>0.24977269697384341</v>
      </c>
      <c r="Q6" s="277">
        <v>7.3895301639883115E-2</v>
      </c>
      <c r="R6" s="277">
        <v>9.3823226044682406E-2</v>
      </c>
      <c r="S6" s="14"/>
      <c r="T6" s="14">
        <f>SUMPRODUCT(H6:L6,B6:F6)</f>
        <v>4.5061346158385722E-3</v>
      </c>
      <c r="U6" s="14">
        <f>SUMPRODUCT(N6:R6,B6:F6)</f>
        <v>3.7854969542078275E-3</v>
      </c>
      <c r="V6" s="273">
        <f>SUMPRODUCT(N6:R6,B6:F6)-T6</f>
        <v>-7.2063766163074465E-4</v>
      </c>
      <c r="W6" s="14"/>
      <c r="X6" s="14">
        <f t="shared" si="1"/>
        <v>2.0061346158385721E-3</v>
      </c>
      <c r="Y6" s="14">
        <f t="shared" si="2"/>
        <v>1.2854969542078275E-3</v>
      </c>
      <c r="Z6" s="14"/>
      <c r="AA6" s="14">
        <f>(N6-H6)*(B6-$T6)</f>
        <v>-2.8030271338191923E-5</v>
      </c>
      <c r="AB6" s="14">
        <f>(O6-I6)*(C6-$T6)</f>
        <v>2.8189017153650107E-4</v>
      </c>
      <c r="AC6" s="14">
        <f>(P6-J6)*(D6-$T6)</f>
        <v>-1.2895105068875877E-3</v>
      </c>
      <c r="AD6" s="14">
        <f>(Q6-K6)*(E6-$T6)</f>
        <v>1.3910853763664257E-4</v>
      </c>
      <c r="AE6" s="14">
        <f>(R6-L6)*(F6-$T6)</f>
        <v>1.7590440742189082E-4</v>
      </c>
      <c r="AF6" s="14"/>
      <c r="AG6" s="273">
        <f t="shared" si="3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6">
        <v>44347</v>
      </c>
      <c r="B7" s="277">
        <v>-8.175E-3</v>
      </c>
      <c r="C7" s="277">
        <v>-2.7308080622184209E-3</v>
      </c>
      <c r="D7" s="277">
        <v>9.9166666666666674E-4</v>
      </c>
      <c r="E7" s="277">
        <v>-1.7553282791103509E-2</v>
      </c>
      <c r="F7" s="237">
        <v>1.4602133096165198E-3</v>
      </c>
      <c r="G7" s="278"/>
      <c r="H7" s="277">
        <v>0.1975624460712789</v>
      </c>
      <c r="I7" s="277">
        <v>0.14618694600528101</v>
      </c>
      <c r="J7" s="277">
        <v>0.42520599509176865</v>
      </c>
      <c r="K7" s="277">
        <v>8.3674575106909538E-2</v>
      </c>
      <c r="L7" s="277">
        <v>0.14737003772476204</v>
      </c>
      <c r="M7" s="277"/>
      <c r="N7" s="277">
        <v>0.21456078042774615</v>
      </c>
      <c r="O7" s="277">
        <v>0.38989283445752221</v>
      </c>
      <c r="P7" s="277">
        <f t="shared" si="0"/>
        <v>0.32637671253755296</v>
      </c>
      <c r="Q7" s="277">
        <v>0.11645827928403676</v>
      </c>
      <c r="R7" s="277">
        <v>-4.7288606706858083E-2</v>
      </c>
      <c r="S7" s="14"/>
      <c r="T7" s="14">
        <f>SUMPRODUCT(H7:L7,B7:F7)</f>
        <v>-2.8461906643283052E-3</v>
      </c>
      <c r="U7" s="14">
        <f>SUMPRODUCT(N7:R7,B7:F7)</f>
        <v>-4.6083765316794634E-3</v>
      </c>
      <c r="V7" s="273">
        <f>SUMPRODUCT(N7:R7,B7:F7)-T7</f>
        <v>-1.7621858673511582E-3</v>
      </c>
      <c r="W7" s="14"/>
      <c r="X7" s="14">
        <f t="shared" si="1"/>
        <v>-5.3461906643283048E-3</v>
      </c>
      <c r="Y7" s="14">
        <f t="shared" si="2"/>
        <v>-7.1083765316794639E-3</v>
      </c>
      <c r="Z7" s="14"/>
      <c r="AA7" s="14">
        <f>(N7-H7)*(B7-$T7)</f>
        <v>-9.0580882809611577E-5</v>
      </c>
      <c r="AB7" s="14">
        <f>(O7-I7)*(C7-$T7)</f>
        <v>2.81194195591208E-5</v>
      </c>
      <c r="AC7" s="14">
        <f>(P7-J7)*(D7-$T7)</f>
        <v>-3.7929268656767016E-4</v>
      </c>
      <c r="AD7" s="14">
        <f>(Q7-K7)*(E7-$T7)</f>
        <v>-4.8215295758995515E-4</v>
      </c>
      <c r="AE7" s="14">
        <f>(R7-L7)*(F7-$T7)</f>
        <v>-8.3827875994304157E-4</v>
      </c>
      <c r="AF7" s="14"/>
      <c r="AG7" s="273">
        <f t="shared" si="3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6">
        <v>44377</v>
      </c>
      <c r="B8" s="277">
        <v>9.7499999999999996E-4</v>
      </c>
      <c r="C8" s="277">
        <v>9.2902365215122712E-3</v>
      </c>
      <c r="D8" s="277">
        <v>1.2516666666666667E-2</v>
      </c>
      <c r="E8" s="277">
        <v>-1.1736193623642126E-2</v>
      </c>
      <c r="F8" s="237">
        <v>1.7066002717358061E-3</v>
      </c>
      <c r="G8" s="278"/>
      <c r="H8" s="277">
        <v>0.19597571040033596</v>
      </c>
      <c r="I8" s="277">
        <v>0.13881113820914745</v>
      </c>
      <c r="J8" s="277">
        <v>0.44118795803876776</v>
      </c>
      <c r="K8" s="277">
        <v>8.2440312721772449E-2</v>
      </c>
      <c r="L8" s="277">
        <v>0.14158488062997632</v>
      </c>
      <c r="M8" s="277"/>
      <c r="N8" s="277">
        <v>0.18053923542956124</v>
      </c>
      <c r="O8" s="277">
        <v>0.41506593209896803</v>
      </c>
      <c r="P8" s="277">
        <f t="shared" si="0"/>
        <v>0.390439613115864</v>
      </c>
      <c r="Q8" s="277">
        <v>2.9704002717515776E-2</v>
      </c>
      <c r="R8" s="277">
        <v>-1.5748783361908991E-2</v>
      </c>
      <c r="S8" s="14"/>
      <c r="T8" s="14">
        <f>SUMPRODUCT(H8:L8,B8:F8)</f>
        <v>6.2769605548026845E-3</v>
      </c>
      <c r="U8" s="14">
        <f>SUMPRODUCT(N8:R8,B8:F8)</f>
        <v>8.5436001213438518E-3</v>
      </c>
      <c r="V8" s="273">
        <f>SUMPRODUCT(N8:R8,B8:F8)-T8</f>
        <v>2.2666395665411673E-3</v>
      </c>
      <c r="W8" s="14"/>
      <c r="X8" s="14">
        <f t="shared" si="1"/>
        <v>3.7769605548026845E-3</v>
      </c>
      <c r="Y8" s="14">
        <f t="shared" si="2"/>
        <v>6.0436001213438513E-3</v>
      </c>
      <c r="Z8" s="14"/>
      <c r="AA8" s="14">
        <f>(N8-H8)*(B8-$T8)</f>
        <v>8.1843581400246464E-5</v>
      </c>
      <c r="AB8" s="14">
        <f>(O8-I8)*(C8-$T8)</f>
        <v>8.3243193111650661E-4</v>
      </c>
      <c r="AC8" s="14">
        <f>(P8-J8)*(D8-$T8)</f>
        <v>-3.1665475798242409E-4</v>
      </c>
      <c r="AD8" s="14">
        <f>(Q8-K8)*(E8-$T8)</f>
        <v>9.4994728290893698E-4</v>
      </c>
      <c r="AE8" s="14">
        <f>(R8-L8)*(F8-$T8)</f>
        <v>7.1907152909790205E-4</v>
      </c>
      <c r="AF8" s="14"/>
      <c r="AG8" s="273">
        <f t="shared" si="3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6">
        <v>44408</v>
      </c>
      <c r="B9" s="277">
        <v>2.3249999999999998E-3</v>
      </c>
      <c r="C9" s="277">
        <v>2.0023784370391512E-2</v>
      </c>
      <c r="D9" s="277">
        <v>-1.1433333333333334E-2</v>
      </c>
      <c r="E9" s="277">
        <v>8.8559020741163577E-3</v>
      </c>
      <c r="F9" s="237">
        <v>3.9829323299750106E-3</v>
      </c>
      <c r="G9" s="278"/>
      <c r="H9" s="277">
        <v>0.19822781366444089</v>
      </c>
      <c r="I9" s="277">
        <v>0.14521497864317884</v>
      </c>
      <c r="J9" s="277">
        <v>0.42192520906878106</v>
      </c>
      <c r="K9" s="277">
        <v>8.3346386262563923E-2</v>
      </c>
      <c r="L9" s="277">
        <v>0.15128561236103516</v>
      </c>
      <c r="M9" s="277"/>
      <c r="N9" s="277">
        <v>0.21430291994913844</v>
      </c>
      <c r="O9" s="277">
        <v>0.27402276432998279</v>
      </c>
      <c r="P9" s="277">
        <f t="shared" si="0"/>
        <v>0.2825573374955862</v>
      </c>
      <c r="Q9" s="277">
        <v>0.15870961967550001</v>
      </c>
      <c r="R9" s="277">
        <v>7.040735854979252E-2</v>
      </c>
      <c r="S9" s="14"/>
      <c r="T9" s="14">
        <f>SUMPRODUCT(H9:L9,B9:F9)</f>
        <v>-1.1471067904230651E-4</v>
      </c>
      <c r="U9" s="14">
        <f>SUMPRODUCT(N9:R9,B9:F9)</f>
        <v>4.4405994037403206E-3</v>
      </c>
      <c r="V9" s="273">
        <f>SUMPRODUCT(N9:R9,B9:F9)-T9</f>
        <v>4.555310082782627E-3</v>
      </c>
      <c r="W9" s="14"/>
      <c r="X9" s="14">
        <f t="shared" si="1"/>
        <v>-2.6147106790423064E-3</v>
      </c>
      <c r="Y9" s="14">
        <f t="shared" si="2"/>
        <v>1.9405994037403206E-3</v>
      </c>
      <c r="Z9" s="14"/>
      <c r="AA9" s="14">
        <f>(N9-H9)*(B9-$T9)</f>
        <v>3.9218608469516705E-5</v>
      </c>
      <c r="AB9" s="14">
        <f>(O9-I9)*(C9-$T9)</f>
        <v>2.5939949543822335E-3</v>
      </c>
      <c r="AC9" s="14">
        <f>(P9-J9)*(D9-$T9)</f>
        <v>1.5774523484686856E-3</v>
      </c>
      <c r="AD9" s="14">
        <f>(Q9-K9)*(E9-$T9)</f>
        <v>6.7605438277335776E-4</v>
      </c>
      <c r="AE9" s="14">
        <f>(R9-L9)*(F9-$T9)</f>
        <v>-3.3141021131116656E-4</v>
      </c>
      <c r="AF9" s="14"/>
      <c r="AG9" s="273">
        <f t="shared" si="3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6">
        <v>44439</v>
      </c>
      <c r="B10" s="277">
        <v>1.3950000000000001E-2</v>
      </c>
      <c r="C10" s="277">
        <v>3.4135831394535493E-2</v>
      </c>
      <c r="D10" s="277">
        <v>-1.1133333333333334E-2</v>
      </c>
      <c r="E10" s="277">
        <v>1.9154996122404309E-2</v>
      </c>
      <c r="F10" s="237">
        <v>4.4005879671470032E-3</v>
      </c>
      <c r="G10" s="278"/>
      <c r="H10" s="277">
        <v>0.2090983547806366</v>
      </c>
      <c r="I10" s="277">
        <v>0.14609349432986424</v>
      </c>
      <c r="J10" s="277">
        <v>0.4027683925871901</v>
      </c>
      <c r="K10" s="277">
        <v>7.7258364401470436E-2</v>
      </c>
      <c r="L10" s="277">
        <v>0.16478139390083871</v>
      </c>
      <c r="M10" s="277"/>
      <c r="N10" s="277">
        <v>0.23492797364078916</v>
      </c>
      <c r="O10" s="277">
        <v>0.41217036038581945</v>
      </c>
      <c r="P10" s="277">
        <f t="shared" si="0"/>
        <v>0.1943477724281768</v>
      </c>
      <c r="Q10" s="277">
        <v>0.15481251370755866</v>
      </c>
      <c r="R10" s="277">
        <v>3.7413798376558782E-3</v>
      </c>
      <c r="S10" s="14"/>
      <c r="T10" s="14">
        <f>SUMPRODUCT(H10:L10,B10:F10)</f>
        <v>5.6248088584118106E-3</v>
      </c>
      <c r="U10" s="14">
        <f>SUMPRODUCT(N10:R10,B10:F10)</f>
        <v>1.8165181998072634E-2</v>
      </c>
      <c r="V10" s="273">
        <f>SUMPRODUCT(N10:R10,B10:F10)-T10</f>
        <v>1.2540373139660823E-2</v>
      </c>
      <c r="W10" s="14"/>
      <c r="X10" s="14">
        <f t="shared" si="1"/>
        <v>3.1248088584118106E-3</v>
      </c>
      <c r="Y10" s="14">
        <f t="shared" si="2"/>
        <v>1.5665181998072635E-2</v>
      </c>
      <c r="Z10" s="14"/>
      <c r="AA10" s="14">
        <f>(N10-H10)*(B10-$T10)</f>
        <v>2.1503651412514132E-4</v>
      </c>
      <c r="AB10" s="14">
        <f>(O10-I10)*(C10-$T10)</f>
        <v>7.5861235244625022E-3</v>
      </c>
      <c r="AC10" s="14">
        <f>(P10-J10)*(D10-$T10)</f>
        <v>3.4927423883164494E-3</v>
      </c>
      <c r="AD10" s="14">
        <f>(Q10-K10)*(E10-$T10)</f>
        <v>1.0493221632110075E-3</v>
      </c>
      <c r="AE10" s="14">
        <f>(R10-L10)*(F10-$T10)</f>
        <v>1.9714854954572681E-4</v>
      </c>
      <c r="AF10" s="14"/>
      <c r="AG10" s="273">
        <f t="shared" si="3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6">
        <v>44469</v>
      </c>
      <c r="B11" s="277">
        <v>5.2500000000000003E-3</v>
      </c>
      <c r="C11" s="277">
        <v>2.3968673347312869E-2</v>
      </c>
      <c r="D11" s="277">
        <v>1.4416666666666666E-2</v>
      </c>
      <c r="E11" s="277">
        <v>1.1420680027959075E-2</v>
      </c>
      <c r="F11" s="237">
        <v>4.273107869715677E-3</v>
      </c>
      <c r="G11" s="278"/>
      <c r="H11" s="277">
        <v>0.20716539829861208</v>
      </c>
      <c r="I11" s="277">
        <v>0.14594325473918096</v>
      </c>
      <c r="J11" s="277">
        <v>0.41337581165141984</v>
      </c>
      <c r="K11" s="277">
        <v>7.8028571234559072E-2</v>
      </c>
      <c r="L11" s="277">
        <v>0.15548696407622806</v>
      </c>
      <c r="M11" s="277"/>
      <c r="N11" s="277">
        <v>0.20427888155602919</v>
      </c>
      <c r="O11" s="277">
        <v>0.40848100406212717</v>
      </c>
      <c r="P11" s="277">
        <f t="shared" si="0"/>
        <v>0.28415755988949781</v>
      </c>
      <c r="Q11" s="277">
        <v>0.13741749654897434</v>
      </c>
      <c r="R11" s="277">
        <v>-3.433494205662857E-2</v>
      </c>
      <c r="S11" s="14"/>
      <c r="T11" s="14">
        <f>SUMPRODUCT(H11:L11,B11:F11)</f>
        <v>1.2100737740737156E-2</v>
      </c>
      <c r="U11" s="14">
        <f>SUMPRODUCT(N11:R11,B11:F11)</f>
        <v>1.6382501052077513E-2</v>
      </c>
      <c r="V11" s="273">
        <f>SUMPRODUCT(N11:R11,B11:F11)-T11</f>
        <v>4.2817633113403572E-3</v>
      </c>
      <c r="W11" s="14"/>
      <c r="X11" s="14">
        <f t="shared" si="1"/>
        <v>9.6007377407371555E-3</v>
      </c>
      <c r="Y11" s="14">
        <f t="shared" si="2"/>
        <v>1.3882501052077513E-2</v>
      </c>
      <c r="Z11" s="14"/>
      <c r="AA11" s="14">
        <f>(N11-H11)*(B11-$T11)</f>
        <v>1.9774769187682278E-5</v>
      </c>
      <c r="AB11" s="14">
        <f>(O11-I11)*(C11-$T11)</f>
        <v>3.1157811032600422E-3</v>
      </c>
      <c r="AC11" s="14">
        <f>(P11-J11)*(D11-$T11)</f>
        <v>-2.9926028701347714E-4</v>
      </c>
      <c r="AD11" s="14">
        <f>(Q11-K11)*(E11-$T11)</f>
        <v>-4.0387896713669516E-5</v>
      </c>
      <c r="AE11" s="14">
        <f>(R11-L11)*(F11-$T11)</f>
        <v>1.485855622619784E-3</v>
      </c>
      <c r="AF11" s="14"/>
      <c r="AG11" s="273">
        <f t="shared" si="3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6">
        <v>44500</v>
      </c>
      <c r="B12" s="277">
        <v>2.5250000000000002E-2</v>
      </c>
      <c r="C12" s="277">
        <v>5.3624346855853218E-2</v>
      </c>
      <c r="D12" s="277">
        <v>1.8166666666666665E-3</v>
      </c>
      <c r="E12" s="277">
        <v>3.7157027045039773E-2</v>
      </c>
      <c r="F12" s="237">
        <v>6.7471746203504159E-3</v>
      </c>
      <c r="G12" s="278"/>
      <c r="H12" s="277">
        <v>0.22098063474116256</v>
      </c>
      <c r="I12" s="277">
        <v>0.14157398740686397</v>
      </c>
      <c r="J12" s="277">
        <v>0.40340307207656911</v>
      </c>
      <c r="K12" s="277">
        <v>7.1786708198400759E-2</v>
      </c>
      <c r="L12" s="277">
        <v>0.16225559757700372</v>
      </c>
      <c r="M12" s="277"/>
      <c r="N12" s="277">
        <v>0.1926023230125696</v>
      </c>
      <c r="O12" s="277">
        <v>0.39161480204273169</v>
      </c>
      <c r="P12" s="277">
        <f t="shared" si="0"/>
        <v>0.26330362570263577</v>
      </c>
      <c r="Q12" s="277">
        <v>0.11295794304553451</v>
      </c>
      <c r="R12" s="277">
        <v>3.9521306196528383E-2</v>
      </c>
      <c r="S12" s="14"/>
      <c r="T12" s="14">
        <f>SUMPRODUCT(H12:L12,B12:F12)</f>
        <v>1.7666570055942361E-2</v>
      </c>
      <c r="U12" s="14">
        <f>SUMPRODUCT(N12:R12,B12:F12)</f>
        <v>3.080547005354688E-2</v>
      </c>
      <c r="V12" s="273">
        <f>SUMPRODUCT(N12:R12,B12:F12)-T12</f>
        <v>1.3138899997604519E-2</v>
      </c>
      <c r="W12" s="14"/>
      <c r="X12" s="14">
        <f t="shared" si="1"/>
        <v>1.5166570055942361E-2</v>
      </c>
      <c r="Y12" s="14">
        <f t="shared" si="2"/>
        <v>2.8305470053546881E-2</v>
      </c>
      <c r="Z12" s="14"/>
      <c r="AA12" s="14">
        <f>(N12-H12)*(B12-$T12)</f>
        <v>-2.1520493892441395E-4</v>
      </c>
      <c r="AB12" s="14">
        <f>(O12-I12)*(C12-$T12)</f>
        <v>8.990911803544414E-3</v>
      </c>
      <c r="AC12" s="14">
        <f>(P12-J12)*(D12-$T12)</f>
        <v>2.2205626899178543E-3</v>
      </c>
      <c r="AD12" s="14">
        <f>(Q12-K12)*(E12-$T12)</f>
        <v>8.0244618197608899E-4</v>
      </c>
      <c r="AE12" s="14">
        <f>(R12-L12)*(F12-$T12)</f>
        <v>1.3401842610905744E-3</v>
      </c>
      <c r="AF12" s="14"/>
      <c r="AG12" s="273">
        <f t="shared" si="3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6">
        <v>44530</v>
      </c>
      <c r="B13" s="277">
        <v>3.875E-3</v>
      </c>
      <c r="C13" s="277">
        <v>2.3605412736136352E-2</v>
      </c>
      <c r="D13" s="277">
        <v>9.7166666666666669E-3</v>
      </c>
      <c r="E13" s="277">
        <v>1.3244158805606032E-2</v>
      </c>
      <c r="F13" s="237">
        <v>3.7374044158271866E-3</v>
      </c>
      <c r="G13" s="278"/>
      <c r="H13" s="277">
        <v>0.21859191524492591</v>
      </c>
      <c r="I13" s="277">
        <v>0.14405209467160709</v>
      </c>
      <c r="J13" s="277">
        <v>0.40822440400436782</v>
      </c>
      <c r="K13" s="277">
        <v>7.3213416151146252E-2</v>
      </c>
      <c r="L13" s="277">
        <v>0.1559181699279529</v>
      </c>
      <c r="M13" s="277"/>
      <c r="N13" s="277">
        <v>0.21966181414189298</v>
      </c>
      <c r="O13" s="277">
        <v>0.21732295063669987</v>
      </c>
      <c r="P13" s="277">
        <f t="shared" si="0"/>
        <v>0.32517108012289986</v>
      </c>
      <c r="Q13" s="277">
        <v>0.13168511605882349</v>
      </c>
      <c r="R13" s="277">
        <v>0.10615903903968371</v>
      </c>
      <c r="S13" s="14"/>
      <c r="T13" s="14">
        <f>SUMPRODUCT(H13:L13,B13:F13)</f>
        <v>9.7664126477145976E-3</v>
      </c>
      <c r="U13" s="14">
        <f>SUMPRODUCT(N13:R13,B13:F13)</f>
        <v>1.1281584322512904E-2</v>
      </c>
      <c r="V13" s="273">
        <f>SUMPRODUCT(N13:R13,B13:F13)-T13</f>
        <v>1.5151716747983067E-3</v>
      </c>
      <c r="W13" s="14"/>
      <c r="X13" s="14">
        <f t="shared" si="1"/>
        <v>7.2664126477145971E-3</v>
      </c>
      <c r="Y13" s="14">
        <f t="shared" si="2"/>
        <v>8.7815843225129038E-3</v>
      </c>
      <c r="Z13" s="14"/>
      <c r="AA13" s="14">
        <f>(N13-H13)*(B13-$T13)</f>
        <v>-6.3032158933676919E-6</v>
      </c>
      <c r="AB13" s="14">
        <f>(O13-I13)*(C13-$T13)</f>
        <v>1.0139953821796566E-3</v>
      </c>
      <c r="AC13" s="14">
        <f>(P13-J13)*(D13-$T13)</f>
        <v>4.1315690757751589E-6</v>
      </c>
      <c r="AD13" s="14">
        <f>(Q13-K13)*(E13-$T13)</f>
        <v>2.0334972969930548E-4</v>
      </c>
      <c r="AE13" s="14">
        <f>(R13-L13)*(F13-$T13)</f>
        <v>2.999982097369381E-4</v>
      </c>
      <c r="AF13" s="14"/>
      <c r="AG13" s="273">
        <f t="shared" si="3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6">
        <v>44561</v>
      </c>
      <c r="B14" s="277">
        <v>9.4750000000000008E-3</v>
      </c>
      <c r="C14" s="277">
        <v>3.1687457995366271E-2</v>
      </c>
      <c r="D14" s="277">
        <v>1.1216666666666666E-2</v>
      </c>
      <c r="E14" s="277">
        <v>1.8383249324065883E-2</v>
      </c>
      <c r="F14" s="237">
        <v>4.9865615317475015E-3</v>
      </c>
      <c r="G14" s="278"/>
      <c r="H14" s="277">
        <v>0.21955003043753279</v>
      </c>
      <c r="I14" s="277">
        <v>0.14260178266776033</v>
      </c>
      <c r="J14" s="277">
        <v>0.41276582498373371</v>
      </c>
      <c r="K14" s="277">
        <v>7.3867310484741058E-2</v>
      </c>
      <c r="L14" s="277">
        <v>0.15121505142623193</v>
      </c>
      <c r="M14" s="277"/>
      <c r="N14" s="277">
        <v>0.23444779583078529</v>
      </c>
      <c r="O14" s="277">
        <v>0.23517775507162564</v>
      </c>
      <c r="P14" s="277">
        <f t="shared" si="0"/>
        <v>0.37375596437873221</v>
      </c>
      <c r="Q14" s="277">
        <v>0.11362678218104778</v>
      </c>
      <c r="R14" s="277">
        <v>4.299170253780904E-2</v>
      </c>
      <c r="S14" s="14"/>
      <c r="T14" s="14">
        <f>SUMPRODUCT(H14:L14,B14:F14)</f>
        <v>1.3340745550981289E-2</v>
      </c>
      <c r="U14" s="14">
        <f>SUMPRODUCT(N14:R14,B14:F14)</f>
        <v>1.6169084404673042E-2</v>
      </c>
      <c r="V14" s="273">
        <f>SUMPRODUCT(N14:R14,B14:F14)-T14</f>
        <v>2.8283388536917524E-3</v>
      </c>
      <c r="W14" s="14"/>
      <c r="X14" s="14">
        <f t="shared" si="1"/>
        <v>1.0840745550981289E-2</v>
      </c>
      <c r="Y14" s="14">
        <f t="shared" si="2"/>
        <v>1.3669084404673041E-2</v>
      </c>
      <c r="Z14" s="14"/>
      <c r="AA14" s="14">
        <f>(N14-H14)*(B14-$T14)</f>
        <v>-5.7590970288528833E-5</v>
      </c>
      <c r="AB14" s="14">
        <f>(O14-I14)*(C14-$T14)</f>
        <v>1.6984647449530363E-3</v>
      </c>
      <c r="AC14" s="14">
        <f>(P14-J14)*(D14-$T14)</f>
        <v>8.2860021191140547E-5</v>
      </c>
      <c r="AD14" s="14">
        <f>(Q14-K14)*(E14-$T14)</f>
        <v>2.0048728604447674E-4</v>
      </c>
      <c r="AE14" s="14">
        <f>(R14-L14)*(F14-$T14)</f>
        <v>9.0411777179162526E-4</v>
      </c>
      <c r="AF14" s="14"/>
      <c r="AG14" s="273">
        <f t="shared" si="3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6">
        <v>44592</v>
      </c>
      <c r="B15" s="277">
        <v>5.8250000000000003E-3</v>
      </c>
      <c r="C15" s="277">
        <v>2.6075907604342502E-2</v>
      </c>
      <c r="D15" s="277">
        <v>8.9916666666666669E-3</v>
      </c>
      <c r="E15" s="277">
        <v>1.4610148542018336E-2</v>
      </c>
      <c r="F15" s="237">
        <v>4.4481495445313343E-3</v>
      </c>
      <c r="G15" s="278"/>
      <c r="H15" s="277">
        <v>0.21867470864678992</v>
      </c>
      <c r="I15" s="277">
        <v>0.14397180754957106</v>
      </c>
      <c r="J15" s="277">
        <v>0.4162091227657701</v>
      </c>
      <c r="K15" s="277">
        <v>7.4564996473675871E-2</v>
      </c>
      <c r="L15" s="277">
        <v>0.1465793645641931</v>
      </c>
      <c r="M15" s="277"/>
      <c r="N15" s="277">
        <v>0.24867386049248538</v>
      </c>
      <c r="O15" s="277">
        <v>0.40967350704104488</v>
      </c>
      <c r="P15" s="277">
        <f t="shared" si="0"/>
        <v>0.37402630799469333</v>
      </c>
      <c r="Q15" s="277">
        <v>0.10082898788114386</v>
      </c>
      <c r="R15" s="277">
        <v>-0.13320266340936748</v>
      </c>
      <c r="S15" s="14"/>
      <c r="T15" s="14">
        <f>SUMPRODUCT(H15:L15,B15:F15)</f>
        <v>1.0511802032935282E-2</v>
      </c>
      <c r="U15" s="14">
        <f>SUMPRODUCT(N15:R15,B15:F15)</f>
        <v>1.6374874764680396E-2</v>
      </c>
      <c r="V15" s="273">
        <f>SUMPRODUCT(N15:R15,B15:F15)-T15</f>
        <v>5.8630727317451146E-3</v>
      </c>
      <c r="W15" s="14"/>
      <c r="X15" s="14">
        <f t="shared" si="1"/>
        <v>8.0118020329352814E-3</v>
      </c>
      <c r="Y15" s="14">
        <f t="shared" si="2"/>
        <v>1.3874874764680396E-2</v>
      </c>
      <c r="Z15" s="14"/>
      <c r="AA15" s="14">
        <f>(N15-H15)*(B15-$T15)</f>
        <v>-1.4060008585673969E-4</v>
      </c>
      <c r="AB15" s="14">
        <f>(O15-I15)*(C15-$T15)</f>
        <v>4.135409301387615E-3</v>
      </c>
      <c r="AC15" s="14">
        <f>(P15-J15)*(D15-$T15)</f>
        <v>6.4123588582271933E-5</v>
      </c>
      <c r="AD15" s="14">
        <f>(Q15-K15)*(E15-$T15)</f>
        <v>1.0763893749938378E-4</v>
      </c>
      <c r="AE15" s="14">
        <f>(R15-L15)*(F15-$T15)</f>
        <v>1.6965009901325834E-3</v>
      </c>
      <c r="AF15" s="14"/>
      <c r="AG15" s="273">
        <f t="shared" si="3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6">
        <v>44620</v>
      </c>
      <c r="B16" s="277">
        <v>2.8E-3</v>
      </c>
      <c r="C16" s="277">
        <v>1.8546510594036954E-2</v>
      </c>
      <c r="D16" s="277">
        <v>1.1641666666666666E-2</v>
      </c>
      <c r="E16" s="277">
        <v>4.126354521407239E-3</v>
      </c>
      <c r="F16" s="237">
        <v>2.5247902067362157E-3</v>
      </c>
      <c r="G16" s="278"/>
      <c r="H16" s="277">
        <v>0.21600122639159061</v>
      </c>
      <c r="I16" s="277">
        <v>0.14260072542086918</v>
      </c>
      <c r="J16" s="277">
        <v>0.42549953800436341</v>
      </c>
      <c r="K16" s="277">
        <v>7.5707396866060192E-2</v>
      </c>
      <c r="L16" s="277">
        <v>0.14019111331711648</v>
      </c>
      <c r="M16" s="277"/>
      <c r="N16" s="277">
        <v>0.24088169658097294</v>
      </c>
      <c r="O16" s="277">
        <v>0.38686840875039552</v>
      </c>
      <c r="P16" s="277">
        <f t="shared" si="0"/>
        <v>0.36286809910597512</v>
      </c>
      <c r="Q16" s="277">
        <v>0.16936335405917408</v>
      </c>
      <c r="R16" s="277">
        <v>-0.15998155849651763</v>
      </c>
      <c r="S16" s="14"/>
      <c r="T16" s="14">
        <f>SUMPRODUCT(H16:L16,B16:F16)</f>
        <v>8.8694217962361661E-3</v>
      </c>
      <c r="U16" s="14">
        <f>SUMPRODUCT(N16:R16,B16:F16)</f>
        <v>1.2368850615205243E-2</v>
      </c>
      <c r="V16" s="273">
        <f>SUMPRODUCT(N16:R16,B16:F16)-T16</f>
        <v>3.4994288189690772E-3</v>
      </c>
      <c r="W16" s="14"/>
      <c r="X16" s="14">
        <f t="shared" si="1"/>
        <v>6.3694217962361657E-3</v>
      </c>
      <c r="Y16" s="14">
        <f t="shared" si="2"/>
        <v>9.8688506152052428E-3</v>
      </c>
      <c r="Z16" s="14"/>
      <c r="AA16" s="14">
        <f>(N16-H16)*(B16-$T16)</f>
        <v>-1.5101006806804128E-4</v>
      </c>
      <c r="AB16" s="14">
        <f>(O16-I16)*(C16-$T16)</f>
        <v>2.3638000620129097E-3</v>
      </c>
      <c r="AC16" s="14">
        <f>(P16-J16)*(D16-$T16)</f>
        <v>-1.7362968521373825E-4</v>
      </c>
      <c r="AD16" s="14">
        <f>(Q16-K16)*(E16-$T16)</f>
        <v>-4.4421650565543733E-4</v>
      </c>
      <c r="AE16" s="14">
        <f>(R16-L16)*(F16-$T16)</f>
        <v>1.9044850158933843E-3</v>
      </c>
      <c r="AF16" s="14"/>
      <c r="AG16" s="273">
        <f t="shared" si="3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6">
        <v>44651</v>
      </c>
      <c r="B17" s="277">
        <v>2.845E-2</v>
      </c>
      <c r="C17" s="277">
        <v>5.9065629507793344E-2</v>
      </c>
      <c r="D17" s="277">
        <v>1.3166666666666667E-3</v>
      </c>
      <c r="E17" s="277">
        <v>4.2639592348920029E-2</v>
      </c>
      <c r="F17" s="237">
        <v>7.6908217390999198E-3</v>
      </c>
      <c r="G17" s="278"/>
      <c r="H17" s="277">
        <v>0.23245891742086547</v>
      </c>
      <c r="I17" s="277">
        <v>0.13779500256746446</v>
      </c>
      <c r="J17" s="277">
        <v>0.4132978589355879</v>
      </c>
      <c r="K17" s="277">
        <v>6.9083935881786962E-2</v>
      </c>
      <c r="L17" s="277">
        <v>0.14736428519429509</v>
      </c>
      <c r="M17" s="277"/>
      <c r="N17" s="277">
        <v>0.20461629807161677</v>
      </c>
      <c r="O17" s="277">
        <v>0.35106355943123246</v>
      </c>
      <c r="P17" s="277">
        <f t="shared" si="0"/>
        <v>0.26923917748852905</v>
      </c>
      <c r="Q17" s="277">
        <v>0.15794867498596105</v>
      </c>
      <c r="R17" s="277">
        <v>1.7132290022660701E-2</v>
      </c>
      <c r="S17" s="14"/>
      <c r="T17" s="14">
        <f>SUMPRODUCT(H17:L17,B17:F17)</f>
        <v>1.9375643596561631E-2</v>
      </c>
      <c r="U17" s="14">
        <f>SUMPRODUCT(N17:R17,B17:F17)</f>
        <v>3.3778250567550044E-2</v>
      </c>
      <c r="V17" s="273">
        <f>SUMPRODUCT(N17:R17,B17:F17)-T17</f>
        <v>1.4402606970988413E-2</v>
      </c>
      <c r="W17" s="14"/>
      <c r="X17" s="14">
        <f t="shared" si="1"/>
        <v>1.6875643596561633E-2</v>
      </c>
      <c r="Y17" s="14">
        <f t="shared" si="2"/>
        <v>3.1278250567550042E-2</v>
      </c>
      <c r="Z17" s="14"/>
      <c r="AA17" s="14">
        <f>(N17-H17)*(B17-$T17)</f>
        <v>-2.5265385118035193E-4</v>
      </c>
      <c r="AB17" s="14">
        <f>(O17-I17)*(C17-$T17)</f>
        <v>8.4646260172316704E-3</v>
      </c>
      <c r="AC17" s="14">
        <f>(P17-J17)*(D17-$T17)</f>
        <v>2.6015524048035236E-3</v>
      </c>
      <c r="AD17" s="14">
        <f>(Q17-K17)*(E17-$T17)</f>
        <v>2.0673447364112051E-3</v>
      </c>
      <c r="AE17" s="14">
        <f>(R17-L17)*(F17-$T17)</f>
        <v>1.5217376637223616E-3</v>
      </c>
      <c r="AF17" s="14"/>
      <c r="AG17" s="273">
        <f t="shared" si="3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6">
        <v>44681</v>
      </c>
      <c r="B18" s="277">
        <v>-7.4250000000000002E-3</v>
      </c>
      <c r="C18" s="277">
        <v>-6.2158360476605602E-3</v>
      </c>
      <c r="D18" s="277">
        <v>-1.9833333333333335E-3</v>
      </c>
      <c r="E18" s="277">
        <v>-2.5098338761987787E-2</v>
      </c>
      <c r="F18" s="237">
        <v>1.5531360383145513E-3</v>
      </c>
      <c r="G18" s="278"/>
      <c r="H18" s="277">
        <v>0.2296048206588959</v>
      </c>
      <c r="I18" s="277">
        <v>0.13678581887072994</v>
      </c>
      <c r="J18" s="277">
        <v>0.41738109376191868</v>
      </c>
      <c r="K18" s="277">
        <v>6.7223062483905527E-2</v>
      </c>
      <c r="L18" s="277">
        <v>0.14900520422454983</v>
      </c>
      <c r="M18" s="277"/>
      <c r="N18" s="277">
        <v>0.23907615412612285</v>
      </c>
      <c r="O18" s="277">
        <v>0.35464416348436256</v>
      </c>
      <c r="P18" s="277">
        <f t="shared" si="0"/>
        <v>0.28328779123692099</v>
      </c>
      <c r="Q18" s="277">
        <v>0.12600092104556709</v>
      </c>
      <c r="R18" s="277">
        <v>-3.0090298929734693E-3</v>
      </c>
      <c r="S18" s="14"/>
      <c r="T18" s="14">
        <f>SUMPRODUCT(H18:L18,B18:F18)</f>
        <v>-4.8386216953606566E-3</v>
      </c>
      <c r="U18" s="14">
        <f>SUMPRODUCT(N18:R18,B18:F18)</f>
        <v>-7.7084917726428104E-3</v>
      </c>
      <c r="V18" s="273">
        <f>SUMPRODUCT(N18:R18,B18:F18)-T18</f>
        <v>-2.8698700772821538E-3</v>
      </c>
      <c r="W18" s="14"/>
      <c r="X18" s="14">
        <f t="shared" si="1"/>
        <v>-7.3386216953606562E-3</v>
      </c>
      <c r="Y18" s="14">
        <f t="shared" si="2"/>
        <v>-1.0208491772642811E-2</v>
      </c>
      <c r="Z18" s="14"/>
      <c r="AA18" s="14">
        <f>(N18-H18)*(B18-$T18)</f>
        <v>-2.4496451395640315E-5</v>
      </c>
      <c r="AB18" s="14">
        <f>(O18-I18)*(C18-$T18)</f>
        <v>-3.0003763897019323E-4</v>
      </c>
      <c r="AC18" s="14">
        <f>(P18-J18)*(D18-$T18)</f>
        <v>-3.8287504612543493E-4</v>
      </c>
      <c r="AD18" s="14">
        <f>(Q18-K18)*(E18-$T18)</f>
        <v>-1.1908227842414906E-3</v>
      </c>
      <c r="AE18" s="14">
        <f>(R18-L18)*(F18-$T18)</f>
        <v>-9.7163815654939317E-4</v>
      </c>
      <c r="AF18" s="14"/>
      <c r="AG18" s="273">
        <f t="shared" si="3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6">
        <v>44712</v>
      </c>
      <c r="B19" s="277">
        <v>1.5975E-2</v>
      </c>
      <c r="C19" s="277">
        <v>4.1501101374272542E-2</v>
      </c>
      <c r="D19" s="277">
        <v>6.8166666666666662E-3</v>
      </c>
      <c r="E19" s="277">
        <v>2.9085536081878423E-2</v>
      </c>
      <c r="F19" s="237">
        <v>4.8086282162078716E-3</v>
      </c>
      <c r="G19" s="278"/>
      <c r="H19" s="277">
        <v>0.23600797609362939</v>
      </c>
      <c r="I19" s="277">
        <v>0.1363538601772733</v>
      </c>
      <c r="J19" s="277">
        <v>0.41424839894814947</v>
      </c>
      <c r="K19" s="277">
        <v>6.5181419784010847E-2</v>
      </c>
      <c r="L19" s="277">
        <v>0.14820834499693714</v>
      </c>
      <c r="M19" s="277"/>
      <c r="N19" s="277">
        <v>0.26103414733423574</v>
      </c>
      <c r="O19" s="277">
        <v>0.34015171228727453</v>
      </c>
      <c r="P19" s="277">
        <f t="shared" si="0"/>
        <v>0.28199354901331553</v>
      </c>
      <c r="Q19" s="277">
        <v>0.1640056943067871</v>
      </c>
      <c r="R19" s="277">
        <v>-4.7185102941612822E-2</v>
      </c>
      <c r="S19" s="14"/>
      <c r="T19" s="14">
        <f>SUMPRODUCT(H19:L19,B19:F19)</f>
        <v>1.4861371411541672E-2</v>
      </c>
      <c r="U19" s="14">
        <f>SUMPRODUCT(N19:R19,B19:F19)</f>
        <v>2.4752245145708951E-2</v>
      </c>
      <c r="V19" s="273">
        <f>SUMPRODUCT(N19:R19,B19:F19)-T19</f>
        <v>9.8908737341672787E-3</v>
      </c>
      <c r="W19" s="14"/>
      <c r="X19" s="14">
        <f t="shared" si="1"/>
        <v>1.2361371411541672E-2</v>
      </c>
      <c r="Y19" s="14">
        <f t="shared" si="2"/>
        <v>2.2252245145708952E-2</v>
      </c>
      <c r="Z19" s="14"/>
      <c r="AA19" s="14">
        <f>(N19-H19)*(B19-$T19)</f>
        <v>2.7869859753192844E-5</v>
      </c>
      <c r="AB19" s="14">
        <f>(O19-I19)*(C19-$T19)</f>
        <v>5.4291197471949939E-3</v>
      </c>
      <c r="AC19" s="14">
        <f>(P19-J19)*(D19-$T19)</f>
        <v>1.0639512188034903E-3</v>
      </c>
      <c r="AD19" s="14">
        <f>(Q19-K19)*(E19-$T19)</f>
        <v>1.4056927542385343E-3</v>
      </c>
      <c r="AE19" s="14">
        <f>(R19-L19)*(F19-$T19)</f>
        <v>1.9642401541770673E-3</v>
      </c>
      <c r="AF19" s="14"/>
      <c r="AG19" s="273">
        <f t="shared" si="3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6">
        <v>44742</v>
      </c>
      <c r="B20" s="277">
        <v>5.0000000000000001E-4</v>
      </c>
      <c r="C20" s="277">
        <v>1.2951226667778974E-2</v>
      </c>
      <c r="D20" s="277">
        <v>9.0916666666666663E-3</v>
      </c>
      <c r="E20" s="277">
        <v>-4.9642133311087189E-3</v>
      </c>
      <c r="F20" s="237">
        <v>2.4903744963362989E-3</v>
      </c>
      <c r="G20" s="278"/>
      <c r="H20" s="277">
        <v>0.23316917867449913</v>
      </c>
      <c r="I20" s="277">
        <v>0.13247747589520489</v>
      </c>
      <c r="J20" s="277">
        <v>0.42330267742504146</v>
      </c>
      <c r="K20" s="277">
        <v>6.6364018785202428E-2</v>
      </c>
      <c r="L20" s="277">
        <v>0.14468664922005209</v>
      </c>
      <c r="M20" s="277"/>
      <c r="N20" s="277">
        <v>0.2344683839231507</v>
      </c>
      <c r="O20" s="277">
        <v>0.32905910145556166</v>
      </c>
      <c r="P20" s="277">
        <f t="shared" si="0"/>
        <v>0.26121806109988616</v>
      </c>
      <c r="Q20" s="277">
        <v>0.17288762070583741</v>
      </c>
      <c r="R20" s="277">
        <v>2.3668328155640461E-3</v>
      </c>
      <c r="S20" s="14"/>
      <c r="T20" s="14">
        <f>SUMPRODUCT(H20:L20,B20:F20)</f>
        <v>5.7117360447057983E-3</v>
      </c>
      <c r="U20" s="14">
        <f>SUMPRODUCT(N20:R20,B20:F20)</f>
        <v>5.9015040094307506E-3</v>
      </c>
      <c r="V20" s="273">
        <f>SUMPRODUCT(N20:R20,B20:F20)-T20</f>
        <v>1.8976796472495224E-4</v>
      </c>
      <c r="W20" s="14"/>
      <c r="X20" s="14">
        <f t="shared" si="1"/>
        <v>3.2117360447057983E-3</v>
      </c>
      <c r="Y20" s="14">
        <f t="shared" si="2"/>
        <v>3.4015040094307505E-3</v>
      </c>
      <c r="Z20" s="14"/>
      <c r="AA20" s="14">
        <f>(N20-H20)*(B20-$T20)</f>
        <v>-6.7711148238683421E-6</v>
      </c>
      <c r="AB20" s="14">
        <f>(O20-I20)*(C20-$T20)</f>
        <v>1.423150834912685E-3</v>
      </c>
      <c r="AC20" s="14">
        <f>(P20-J20)*(D20-$T20)</f>
        <v>-5.4783475806617079E-4</v>
      </c>
      <c r="AD20" s="14">
        <f>(Q20-K20)*(E20-$T20)</f>
        <v>-1.1372405814341171E-3</v>
      </c>
      <c r="AE20" s="14">
        <f>(R20-L20)*(F20-$T20)</f>
        <v>4.584635841364245E-4</v>
      </c>
      <c r="AF20" s="14"/>
      <c r="AG20" s="273">
        <f t="shared" si="3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6">
        <v>44773</v>
      </c>
      <c r="B21" s="277">
        <v>3.375E-3</v>
      </c>
      <c r="C21" s="277">
        <v>1.61896705659492E-2</v>
      </c>
      <c r="D21" s="277">
        <v>-1.6833333333333333E-3</v>
      </c>
      <c r="E21" s="277">
        <v>1.9876744652317334E-3</v>
      </c>
      <c r="F21" s="237">
        <v>3.4212395243524954E-3</v>
      </c>
      <c r="G21" s="278"/>
      <c r="H21" s="277">
        <v>0.23562700459940888</v>
      </c>
      <c r="I21" s="277">
        <v>0.13425257504697855</v>
      </c>
      <c r="J21" s="277">
        <v>0.41922487403050285</v>
      </c>
      <c r="K21" s="277">
        <v>6.3774897007140258E-2</v>
      </c>
      <c r="L21" s="277">
        <v>0.14712064931596935</v>
      </c>
      <c r="M21" s="277"/>
      <c r="N21" s="277">
        <v>0.25655130926028424</v>
      </c>
      <c r="O21" s="277">
        <v>0.44046339592909406</v>
      </c>
      <c r="P21" s="277">
        <f t="shared" si="0"/>
        <v>0.27085818902955616</v>
      </c>
      <c r="Q21" s="277">
        <v>0.20050406852886912</v>
      </c>
      <c r="R21" s="277">
        <v>-0.16837696274780356</v>
      </c>
      <c r="S21" s="14"/>
      <c r="T21" s="14">
        <f>SUMPRODUCT(H21:L21,B21:F21)</f>
        <v>2.8931496131380198E-3</v>
      </c>
      <c r="U21" s="14">
        <f>SUMPRODUCT(N21:R21,B21:F21)</f>
        <v>7.3633522242516833E-3</v>
      </c>
      <c r="V21" s="273">
        <f>SUMPRODUCT(N21:R21,B21:F21)-T21</f>
        <v>4.4702026111136635E-3</v>
      </c>
      <c r="W21" s="14"/>
      <c r="X21" s="14">
        <f t="shared" si="1"/>
        <v>3.9314961313801971E-4</v>
      </c>
      <c r="Y21" s="14">
        <f t="shared" si="2"/>
        <v>4.8633522242516828E-3</v>
      </c>
      <c r="Z21" s="14"/>
      <c r="AA21" s="14">
        <f>(N21-H21)*(B21-$T21)</f>
        <v>1.0082384295660728E-5</v>
      </c>
      <c r="AB21" s="14">
        <f>(O21-I21)*(C21-$T21)</f>
        <v>4.0715385958365593E-3</v>
      </c>
      <c r="AC21" s="14">
        <f>(P21-J21)*(D21-$T21)</f>
        <v>6.7899760373131958E-4</v>
      </c>
      <c r="AD21" s="14">
        <f>(Q21-K21)*(E21-$T21)</f>
        <v>-1.2380486680674144E-4</v>
      </c>
      <c r="AE21" s="14">
        <f>(R21-L21)*(F21-$T21)</f>
        <v>-1.6661110594313691E-4</v>
      </c>
      <c r="AF21" s="14"/>
      <c r="AG21" s="273">
        <f t="shared" si="3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6">
        <v>44804</v>
      </c>
      <c r="B22" s="277">
        <v>5.3E-3</v>
      </c>
      <c r="C22" s="277">
        <v>1.890835586358007E-2</v>
      </c>
      <c r="D22" s="277">
        <v>-7.0833333333333338E-3</v>
      </c>
      <c r="E22" s="277">
        <v>4.2000450604934778E-3</v>
      </c>
      <c r="F22" s="237">
        <v>3.1314831386528384E-3</v>
      </c>
      <c r="G22" s="278"/>
      <c r="H22" s="277">
        <v>0.24104001594698796</v>
      </c>
      <c r="I22" s="277">
        <v>0.13629670994490534</v>
      </c>
      <c r="J22" s="277">
        <v>0.40805398757244654</v>
      </c>
      <c r="K22" s="277">
        <v>6.0365512739702629E-2</v>
      </c>
      <c r="L22" s="277">
        <v>0.15424377379595747</v>
      </c>
      <c r="M22" s="277"/>
      <c r="N22" s="277">
        <v>0.22331798079065787</v>
      </c>
      <c r="O22" s="277">
        <v>0.45631420609675499</v>
      </c>
      <c r="P22" s="277">
        <f t="shared" si="0"/>
        <v>0.30329175275542031</v>
      </c>
      <c r="Q22" s="277">
        <v>0.13252152677367424</v>
      </c>
      <c r="R22" s="277">
        <v>-0.11544546641650744</v>
      </c>
      <c r="S22" s="14"/>
      <c r="T22" s="14">
        <f>SUMPRODUCT(H22:L22,B22:F22)</f>
        <v>1.7008260177117304E-3</v>
      </c>
      <c r="U22" s="14">
        <f>SUMPRODUCT(N22:R22,B22:F22)</f>
        <v>7.8585009630750078E-3</v>
      </c>
      <c r="V22" s="273">
        <f>SUMPRODUCT(N22:R22,B22:F22)-T22</f>
        <v>6.1576749453632774E-3</v>
      </c>
      <c r="W22" s="14"/>
      <c r="X22" s="14">
        <f t="shared" si="1"/>
        <v>-7.9917398228826963E-4</v>
      </c>
      <c r="Y22" s="14">
        <f t="shared" si="2"/>
        <v>5.3585009630750073E-3</v>
      </c>
      <c r="Z22" s="14"/>
      <c r="AA22" s="14">
        <f>(N22-H22)*(B22-$T22)</f>
        <v>-6.3784687847861268E-5</v>
      </c>
      <c r="AB22" s="14">
        <f>(O22-I22)*(C22-$T22)</f>
        <v>5.5067106162330097E-3</v>
      </c>
      <c r="AC22" s="14">
        <f>(P22-J22)*(D22-$T22)</f>
        <v>9.2024816460435979E-4</v>
      </c>
      <c r="AD22" s="14">
        <f>(Q22-K22)*(E22-$T22)</f>
        <v>1.8033368432492886E-4</v>
      </c>
      <c r="AE22" s="14">
        <f>(R22-L22)*(F22-$T22)</f>
        <v>-3.8583283195115989E-4</v>
      </c>
      <c r="AF22" s="14"/>
      <c r="AG22" s="273">
        <f t="shared" si="3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6">
        <v>44834</v>
      </c>
      <c r="B23" s="277">
        <v>-9.5250000000000005E-3</v>
      </c>
      <c r="C23" s="277">
        <v>-1.1209949184674772E-2</v>
      </c>
      <c r="D23" s="277">
        <v>8.4666666666666675E-3</v>
      </c>
      <c r="E23" s="277">
        <v>-3.4511565036016212E-2</v>
      </c>
      <c r="F23" s="237">
        <v>-3.263016085955318E-4</v>
      </c>
      <c r="G23" s="278"/>
      <c r="H23" s="277">
        <v>0.23411242697484913</v>
      </c>
      <c r="I23" s="277">
        <v>0.1302967930501418</v>
      </c>
      <c r="J23" s="277">
        <v>0.42597837702050217</v>
      </c>
      <c r="K23" s="277">
        <v>6.0471360354579291E-2</v>
      </c>
      <c r="L23" s="277">
        <v>0.14914104259992753</v>
      </c>
      <c r="M23" s="277"/>
      <c r="N23" s="277">
        <v>0.2937541029891384</v>
      </c>
      <c r="O23" s="277">
        <v>0.41666253048904223</v>
      </c>
      <c r="P23" s="277">
        <f t="shared" si="0"/>
        <v>0.27204838114091301</v>
      </c>
      <c r="Q23" s="277">
        <v>0.11553177300958173</v>
      </c>
      <c r="R23" s="277">
        <v>-9.7996787628675364E-2</v>
      </c>
      <c r="S23" s="14"/>
      <c r="T23" s="14">
        <f>SUMPRODUCT(H23:L23,B23:F23)</f>
        <v>-2.2195506183147668E-3</v>
      </c>
      <c r="U23" s="14">
        <f>SUMPRODUCT(N23:R23,B23:F23)</f>
        <v>-9.1206364530913228E-3</v>
      </c>
      <c r="V23" s="273">
        <f>SUMPRODUCT(N23:R23,B23:F23)-T23</f>
        <v>-6.9010858347765564E-3</v>
      </c>
      <c r="W23" s="14"/>
      <c r="X23" s="14">
        <f t="shared" si="1"/>
        <v>-4.7195506183147669E-3</v>
      </c>
      <c r="Y23" s="14">
        <f t="shared" si="2"/>
        <v>-1.1620636453091323E-2</v>
      </c>
      <c r="Z23" s="14"/>
      <c r="AA23" s="14">
        <f>(N23-H23)*(B23-$T23)</f>
        <v>-4.3570924516126059E-4</v>
      </c>
      <c r="AB23" s="14">
        <f>(O23-I23)*(C23-$T23)</f>
        <v>-2.5745421153253161E-3</v>
      </c>
      <c r="AC23" s="14">
        <f>(P23-J23)*(D23-$T23)</f>
        <v>-1.6449293826455867E-3</v>
      </c>
      <c r="AD23" s="14">
        <f>(Q23-K23)*(E23-$T23)</f>
        <v>-1.7780116392999297E-3</v>
      </c>
      <c r="AE23" s="14">
        <f>(R23-L23)*(F23-$T23)</f>
        <v>-4.6789345234446287E-4</v>
      </c>
      <c r="AF23" s="14"/>
      <c r="AG23" s="273">
        <f t="shared" si="3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6">
        <v>44865</v>
      </c>
      <c r="B24" s="277">
        <v>1.6975000000000001E-2</v>
      </c>
      <c r="C24" s="277">
        <v>4.781716591940495E-2</v>
      </c>
      <c r="D24" s="277">
        <v>-5.8333333333333414E-5</v>
      </c>
      <c r="E24" s="277">
        <v>3.9167665172143228E-2</v>
      </c>
      <c r="F24" s="237">
        <v>6.0404954895493584E-3</v>
      </c>
      <c r="G24" s="278"/>
      <c r="H24" s="277">
        <v>0.24180047047937722</v>
      </c>
      <c r="I24" s="277">
        <v>0.13304659385951281</v>
      </c>
      <c r="J24" s="277">
        <v>0.41189668355931958</v>
      </c>
      <c r="K24" s="277">
        <v>5.9895499699568949E-2</v>
      </c>
      <c r="L24" s="277">
        <v>0.15336075240222141</v>
      </c>
      <c r="M24" s="277"/>
      <c r="N24" s="277">
        <v>0.21013651819115939</v>
      </c>
      <c r="O24" s="277">
        <v>0.41153437914112628</v>
      </c>
      <c r="P24" s="277">
        <f t="shared" si="0"/>
        <v>0.38048073991624132</v>
      </c>
      <c r="Q24" s="277">
        <v>0.18186175322211964</v>
      </c>
      <c r="R24" s="277">
        <v>-0.18401339047064669</v>
      </c>
      <c r="S24" s="14"/>
      <c r="T24" s="14">
        <f>SUMPRODUCT(H24:L24,B24:F24)</f>
        <v>1.3714788544148912E-2</v>
      </c>
      <c r="U24" s="14">
        <f>SUMPRODUCT(N24:R24,B24:F24)</f>
        <v>2.9234848578065322E-2</v>
      </c>
      <c r="V24" s="273">
        <f>SUMPRODUCT(N24:R24,B24:F24)-T24</f>
        <v>1.552006003391641E-2</v>
      </c>
      <c r="W24" s="14"/>
      <c r="X24" s="14">
        <f t="shared" si="1"/>
        <v>1.1214788544148912E-2</v>
      </c>
      <c r="Y24" s="14">
        <f t="shared" si="2"/>
        <v>2.6734848578065323E-2</v>
      </c>
      <c r="Z24" s="14"/>
      <c r="AA24" s="14">
        <f>(N24-H24)*(B24-$T24)</f>
        <v>-1.0323117998757007E-4</v>
      </c>
      <c r="AB24" s="14">
        <f>(O24-I24)*(C24-$T24)</f>
        <v>9.497095548072855E-3</v>
      </c>
      <c r="AC24" s="14">
        <f>(P24-J24)*(D24-$T24)</f>
        <v>4.3269562069223045E-4</v>
      </c>
      <c r="AD24" s="14">
        <f>(Q24-K24)*(E24-$T24)</f>
        <v>3.1043920036881601E-3</v>
      </c>
      <c r="AE24" s="14">
        <f>(R24-L24)*(F24-$T24)</f>
        <v>2.5891080414507293E-3</v>
      </c>
      <c r="AF24" s="14"/>
      <c r="AG24" s="273">
        <f t="shared" si="3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6">
        <v>44895</v>
      </c>
      <c r="B25" s="277">
        <v>1.25E-3</v>
      </c>
      <c r="C25" s="277">
        <v>1.3385481556260492E-2</v>
      </c>
      <c r="D25" s="277">
        <v>-1.0908333333333334E-2</v>
      </c>
      <c r="E25" s="277">
        <v>1.0292964458543177E-3</v>
      </c>
      <c r="F25" s="237">
        <v>2.644874299375224E-3</v>
      </c>
      <c r="G25" s="278"/>
      <c r="H25" s="277">
        <v>0.24509465984418824</v>
      </c>
      <c r="I25" s="277">
        <v>0.1386656381275666</v>
      </c>
      <c r="J25" s="277">
        <v>0.39730439706390908</v>
      </c>
      <c r="K25" s="277">
        <v>5.7050678853607491E-2</v>
      </c>
      <c r="L25" s="277">
        <v>0.16188462611072851</v>
      </c>
      <c r="M25" s="277"/>
      <c r="N25" s="277">
        <v>0.25873377551965715</v>
      </c>
      <c r="O25" s="277">
        <v>0.30841391854206313</v>
      </c>
      <c r="P25" s="277">
        <f t="shared" si="0"/>
        <v>0.27805486661707696</v>
      </c>
      <c r="Q25" s="277">
        <v>0.10790217740248026</v>
      </c>
      <c r="R25" s="277">
        <v>4.6895261918722508E-2</v>
      </c>
      <c r="S25" s="14"/>
      <c r="T25" s="14">
        <f>SUMPRODUCT(H25:L25,B25:F25)</f>
        <v>-1.6845675834814442E-3</v>
      </c>
      <c r="U25" s="14">
        <f>SUMPRODUCT(N25:R25,B25:F25)</f>
        <v>1.6536662684353827E-3</v>
      </c>
      <c r="V25" s="273">
        <f>SUMPRODUCT(N25:R25,B25:F25)-T25</f>
        <v>3.3382338519168269E-3</v>
      </c>
      <c r="W25" s="14"/>
      <c r="X25" s="14">
        <f t="shared" si="1"/>
        <v>-4.1845675834814439E-3</v>
      </c>
      <c r="Y25" s="14">
        <f t="shared" si="2"/>
        <v>-8.4633373156461737E-4</v>
      </c>
      <c r="Z25" s="14"/>
      <c r="AA25" s="14">
        <f>(N25-H25)*(B25-$T25)</f>
        <v>4.0024906728584687E-5</v>
      </c>
      <c r="AB25" s="14">
        <f>(O25-I25)*(C25-$T25)</f>
        <v>2.5581149272331559E-3</v>
      </c>
      <c r="AC25" s="14">
        <f>(P25-J25)*(D25-$T25)</f>
        <v>1.0999297346214103E-3</v>
      </c>
      <c r="AD25" s="14">
        <f>(Q25-K25)*(E25-$T25)</f>
        <v>1.3800405274960549E-4</v>
      </c>
      <c r="AE25" s="14">
        <f>(R25-L25)*(F25-$T25)</f>
        <v>-4.9783976941592954E-4</v>
      </c>
      <c r="AF25" s="14"/>
      <c r="AG25" s="273">
        <f t="shared" si="3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6">
        <v>44926</v>
      </c>
      <c r="B26" s="277">
        <v>2.0899999999999998E-2</v>
      </c>
      <c r="C26" s="277">
        <v>4.716385529249819E-2</v>
      </c>
      <c r="D26" s="277">
        <v>2.3491666666666668E-2</v>
      </c>
      <c r="E26" s="277">
        <v>2.9211043918329717E-2</v>
      </c>
      <c r="F26" s="237">
        <v>5.7231741404435892E-3</v>
      </c>
      <c r="G26" s="278"/>
      <c r="H26" s="277">
        <v>0.25169103837777307</v>
      </c>
      <c r="I26" s="277">
        <v>0.12980401565135188</v>
      </c>
      <c r="J26" s="277">
        <v>0.41190054628498413</v>
      </c>
      <c r="K26" s="277">
        <v>5.5044782648892898E-2</v>
      </c>
      <c r="L26" s="277">
        <v>0.151559617036998</v>
      </c>
      <c r="M26" s="277"/>
      <c r="N26" s="277">
        <v>0.28034313762067264</v>
      </c>
      <c r="O26" s="277">
        <v>0.36009667624184594</v>
      </c>
      <c r="P26" s="277">
        <f t="shared" si="0"/>
        <v>0.37833101013757781</v>
      </c>
      <c r="Q26" s="277">
        <v>0.10512844029579388</v>
      </c>
      <c r="R26" s="277">
        <v>-0.12389926429589027</v>
      </c>
      <c r="S26" s="14"/>
      <c r="T26" s="14">
        <f>SUMPRODUCT(H26:L26,B26:F26)</f>
        <v>2.3533948490199144E-2</v>
      </c>
      <c r="U26" s="14">
        <f>SUMPRODUCT(N26:R26,B26:F26)</f>
        <v>3.4092159506775029E-2</v>
      </c>
      <c r="V26" s="273">
        <f>SUMPRODUCT(N26:R26,B26:F26)-T26</f>
        <v>1.0558211016575884E-2</v>
      </c>
      <c r="W26" s="14"/>
      <c r="X26" s="14">
        <f t="shared" si="1"/>
        <v>2.1033948490199145E-2</v>
      </c>
      <c r="Y26" s="14">
        <f t="shared" si="2"/>
        <v>3.1592159506775026E-2</v>
      </c>
      <c r="Z26" s="14"/>
      <c r="AA26" s="14">
        <f>(N26-H26)*(B26-$T26)</f>
        <v>-7.5468153541871427E-5</v>
      </c>
      <c r="AB26" s="14">
        <f>(O26-I26)*(C26-$T26)</f>
        <v>5.4417941070068606E-3</v>
      </c>
      <c r="AC26" s="14">
        <f>(P26-J26)*(D26-$T26)</f>
        <v>1.4193812034517252E-6</v>
      </c>
      <c r="AD26" s="14">
        <f>(Q26-K26)*(E26-$T26)</f>
        <v>2.8432970385127836E-4</v>
      </c>
      <c r="AE26" s="14">
        <f>(R26-L26)*(F26-$T26)</f>
        <v>4.9061359780561654E-3</v>
      </c>
      <c r="AF26" s="14"/>
      <c r="AG26" s="273">
        <f t="shared" si="3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6">
        <v>44957</v>
      </c>
      <c r="B27" s="277">
        <v>1.2449999999999999E-2</v>
      </c>
      <c r="C27" s="277">
        <v>3.4784271941571208E-2</v>
      </c>
      <c r="D27" s="277">
        <v>2.8916666666666665E-3</v>
      </c>
      <c r="E27" s="277">
        <v>2.2176877216475745E-2</v>
      </c>
      <c r="F27" s="237">
        <v>4.0260585420292053E-3</v>
      </c>
      <c r="G27" s="278"/>
      <c r="H27" s="277">
        <v>0.25770056943433217</v>
      </c>
      <c r="I27" s="277">
        <v>0.1301898649343414</v>
      </c>
      <c r="J27" s="277">
        <v>0.40637589143101432</v>
      </c>
      <c r="K27" s="277">
        <v>5.3009089090378693E-2</v>
      </c>
      <c r="L27" s="277">
        <v>0.15272458510993342</v>
      </c>
      <c r="M27" s="277"/>
      <c r="N27" s="277">
        <v>0.26406454604084928</v>
      </c>
      <c r="O27" s="277">
        <v>0.38284026998063864</v>
      </c>
      <c r="P27" s="277">
        <f t="shared" si="0"/>
        <v>0.32270306523343373</v>
      </c>
      <c r="Q27" s="277">
        <v>0.15703067108643634</v>
      </c>
      <c r="R27" s="277">
        <v>-0.12663855234135801</v>
      </c>
      <c r="S27" s="14"/>
      <c r="T27" s="14">
        <f>SUMPRODUCT(H27:L27,B27:F27)</f>
        <v>1.0702489555332274E-2</v>
      </c>
      <c r="U27" s="14">
        <f>SUMPRODUCT(N27:R27,B27:F27)</f>
        <v>2.0510169042866878E-2</v>
      </c>
      <c r="V27" s="273">
        <f>SUMPRODUCT(N27:R27,B27:F27)-T27</f>
        <v>9.8076794875346044E-3</v>
      </c>
      <c r="W27" s="14"/>
      <c r="X27" s="14">
        <f t="shared" si="1"/>
        <v>8.2024895553322735E-3</v>
      </c>
      <c r="Y27" s="14">
        <f t="shared" si="2"/>
        <v>1.801016904286688E-2</v>
      </c>
      <c r="Z27" s="14"/>
      <c r="AA27" s="14">
        <f>(N27-H27)*(B27-$T27)</f>
        <v>1.1121115589509712E-5</v>
      </c>
      <c r="AB27" s="14">
        <f>(O27-I27)*(C27-$T27)</f>
        <v>6.0842720741200521E-3</v>
      </c>
      <c r="AC27" s="14">
        <f>(P27-J27)*(D27-$T27)</f>
        <v>6.5355362602340181E-4</v>
      </c>
      <c r="AD27" s="14">
        <f>(Q27-K27)*(E27-$T27)</f>
        <v>1.1935839569481878E-3</v>
      </c>
      <c r="AE27" s="14">
        <f>(R27-L27)*(F27-$T27)</f>
        <v>1.8651487148534502E-3</v>
      </c>
      <c r="AF27" s="14"/>
      <c r="AG27" s="273">
        <f t="shared" si="3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6">
        <v>44985</v>
      </c>
      <c r="B28" s="277">
        <v>2.1874999999999999E-2</v>
      </c>
      <c r="C28" s="277">
        <v>4.9243424207913625E-2</v>
      </c>
      <c r="D28" s="277">
        <v>1.5466666666666667E-2</v>
      </c>
      <c r="E28" s="277">
        <v>3.1395181749160589E-2</v>
      </c>
      <c r="F28" s="237">
        <v>6.840332421716739E-3</v>
      </c>
      <c r="G28" s="278"/>
      <c r="H28" s="277">
        <v>0.26698427580410372</v>
      </c>
      <c r="I28" s="277">
        <v>0.12227464188590396</v>
      </c>
      <c r="J28" s="277">
        <v>0.41109194137821398</v>
      </c>
      <c r="K28" s="277">
        <v>5.0661600408827723E-2</v>
      </c>
      <c r="L28" s="277">
        <v>0.14898754052295052</v>
      </c>
      <c r="M28" s="277"/>
      <c r="N28" s="277">
        <v>0.28981811006608643</v>
      </c>
      <c r="O28" s="277">
        <v>0.28484796407284896</v>
      </c>
      <c r="P28" s="277">
        <f t="shared" si="0"/>
        <v>0.22601404843702394</v>
      </c>
      <c r="Q28" s="277">
        <v>8.5267477220957011E-2</v>
      </c>
      <c r="R28" s="277">
        <v>0.11405240020308371</v>
      </c>
      <c r="S28" s="14"/>
      <c r="T28" s="14">
        <f>SUMPRODUCT(H28:L28,B28:F28)</f>
        <v>2.0829379576532241E-2</v>
      </c>
      <c r="U28" s="14">
        <f>SUMPRODUCT(N28:R28,B28:F28)</f>
        <v>2.7319488511982903E-2</v>
      </c>
      <c r="V28" s="273">
        <f>SUMPRODUCT(N28:R28,B28:F28)-T28</f>
        <v>6.4901089354506628E-3</v>
      </c>
      <c r="W28" s="14"/>
      <c r="X28" s="14">
        <f t="shared" si="1"/>
        <v>1.8329379576532242E-2</v>
      </c>
      <c r="Y28" s="14">
        <f t="shared" si="2"/>
        <v>2.4819488511982905E-2</v>
      </c>
      <c r="Z28" s="14"/>
      <c r="AA28" s="14">
        <f>(N28-H28)*(B28-$T28)</f>
        <v>2.3875523450406963E-5</v>
      </c>
      <c r="AB28" s="14">
        <f>(O28-I28)*(C28-$T28)</f>
        <v>4.6193656324917997E-3</v>
      </c>
      <c r="AC28" s="14">
        <f>(P28-J28)*(D28-$T28)</f>
        <v>9.925196058064383E-4</v>
      </c>
      <c r="AD28" s="14">
        <f>(Q28-K28)*(E28-$T28)</f>
        <v>3.6563884840730459E-4</v>
      </c>
      <c r="AE28" s="14">
        <f>(R28-L28)*(F28-$T28)</f>
        <v>4.8870932529471297E-4</v>
      </c>
      <c r="AF28" s="14"/>
      <c r="AG28" s="273">
        <f t="shared" si="3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6">
        <v>45016</v>
      </c>
      <c r="B29" s="277">
        <v>-1.0975E-2</v>
      </c>
      <c r="C29" s="277">
        <v>1.1154121808765929E-3</v>
      </c>
      <c r="D29" s="277">
        <v>1.1366666666666667E-2</v>
      </c>
      <c r="E29" s="277">
        <v>-7.7608423049134803E-3</v>
      </c>
      <c r="F29" s="237">
        <v>1.3633579337544507E-3</v>
      </c>
      <c r="G29" s="278"/>
      <c r="H29" s="277">
        <v>0.25237206032226855</v>
      </c>
      <c r="I29" s="277">
        <v>0.12807842189479998</v>
      </c>
      <c r="J29" s="277">
        <v>0.42491437612690797</v>
      </c>
      <c r="K29" s="277">
        <v>5.567248963639581E-2</v>
      </c>
      <c r="L29" s="277">
        <v>0.13896265201962765</v>
      </c>
      <c r="M29" s="277"/>
      <c r="N29" s="277">
        <v>0.25365443991893732</v>
      </c>
      <c r="O29" s="277">
        <v>0.41145510499632365</v>
      </c>
      <c r="P29" s="277">
        <f t="shared" si="0"/>
        <v>0.39182696312091142</v>
      </c>
      <c r="Q29" s="277">
        <v>0.128701789114326</v>
      </c>
      <c r="R29" s="277">
        <v>-0.1856382971504984</v>
      </c>
      <c r="S29" s="14"/>
      <c r="T29" s="14">
        <f>SUMPRODUCT(H29:L29,B29:F29)</f>
        <v>1.9603273664977219E-3</v>
      </c>
      <c r="U29" s="14">
        <f>SUMPRODUCT(N29:R29,B29:F29)</f>
        <v>8.7692530378880051E-4</v>
      </c>
      <c r="V29" s="273">
        <f>SUMPRODUCT(N29:R29,B29:F29)-T29</f>
        <v>-1.0834020627089214E-3</v>
      </c>
      <c r="W29" s="14"/>
      <c r="X29" s="14">
        <f t="shared" si="1"/>
        <v>-5.3967263350227813E-4</v>
      </c>
      <c r="Y29" s="14">
        <f t="shared" si="2"/>
        <v>-1.6230746962111995E-3</v>
      </c>
      <c r="Z29" s="14"/>
      <c r="AA29" s="14">
        <f>(N29-H29)*(B29-$T29)</f>
        <v>-1.6587999891027854E-5</v>
      </c>
      <c r="AB29" s="14">
        <f>(O29-I29)*(C29-$T29)</f>
        <v>-2.394292628034237E-4</v>
      </c>
      <c r="AC29" s="14">
        <f>(P29-J29)*(D29-$T29)</f>
        <v>-3.1123143329922639E-4</v>
      </c>
      <c r="AD29" s="14">
        <f>(Q29-K29)*(E29-$T29)</f>
        <v>-7.0993021120926091E-4</v>
      </c>
      <c r="AE29" s="14">
        <f>(R29-L29)*(F29-$T29)</f>
        <v>1.9377684449401757E-4</v>
      </c>
      <c r="AF29" s="14"/>
      <c r="AG29" s="273">
        <f t="shared" si="3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6">
        <v>45046</v>
      </c>
      <c r="B30" s="277">
        <v>6.025E-3</v>
      </c>
      <c r="C30" s="277">
        <v>2.901978197903736E-2</v>
      </c>
      <c r="D30" s="277">
        <v>-1.6783333333333334E-2</v>
      </c>
      <c r="E30" s="277">
        <v>2.1072897291408051E-2</v>
      </c>
      <c r="F30" s="237">
        <v>4.2716256365270969E-3</v>
      </c>
      <c r="G30" s="278"/>
      <c r="H30" s="277">
        <v>0.25846737722480989</v>
      </c>
      <c r="I30" s="277">
        <v>0.13670078544135711</v>
      </c>
      <c r="J30" s="277">
        <v>0.39640862607083227</v>
      </c>
      <c r="K30" s="277">
        <v>5.6126292384132047E-2</v>
      </c>
      <c r="L30" s="277">
        <v>0.15229691887886873</v>
      </c>
      <c r="M30" s="277"/>
      <c r="N30" s="277">
        <v>0.28522449878183048</v>
      </c>
      <c r="O30" s="277">
        <v>0.45862822046692986</v>
      </c>
      <c r="P30" s="277">
        <f t="shared" si="0"/>
        <v>0.28629160477291282</v>
      </c>
      <c r="Q30" s="277">
        <v>0.10212751253186866</v>
      </c>
      <c r="R30" s="277">
        <v>-0.1322718365535418</v>
      </c>
      <c r="S30" s="14"/>
      <c r="T30" s="14">
        <f>SUMPRODUCT(H30:L30,B30:F30)</f>
        <v>7.0453384790077392E-4</v>
      </c>
      <c r="U30" s="14">
        <f>SUMPRODUCT(N30:R30,B30:F30)</f>
        <v>1.1809947953304419E-2</v>
      </c>
      <c r="V30" s="273">
        <f>SUMPRODUCT(N30:R30,B30:F30)-T30</f>
        <v>1.1105414105403645E-2</v>
      </c>
      <c r="W30" s="14"/>
      <c r="X30" s="14">
        <f t="shared" si="1"/>
        <v>-1.7954661520992261E-3</v>
      </c>
      <c r="Y30" s="14">
        <f t="shared" si="2"/>
        <v>9.3099479533044188E-3</v>
      </c>
      <c r="Z30" s="14"/>
      <c r="AA30" s="14">
        <f>(N30-H30)*(B30-$T30)</f>
        <v>1.4236035957173259E-4</v>
      </c>
      <c r="AB30" s="14">
        <f>(O30-I30)*(C30-$T30)</f>
        <v>9.1154552029694431E-3</v>
      </c>
      <c r="AC30" s="14">
        <f>(P30-J30)*(D30-$T30)</f>
        <v>1.9257118428511429E-3</v>
      </c>
      <c r="AD30" s="14">
        <f>(Q30-K30)*(E30-$T30)</f>
        <v>9.3696957081388895E-4</v>
      </c>
      <c r="AE30" s="14">
        <f>(R30-L30)*(F30-$T30)</f>
        <v>-1.015082870802564E-3</v>
      </c>
      <c r="AF30" s="14"/>
      <c r="AG30" s="273">
        <f t="shared" si="3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6">
        <v>45077</v>
      </c>
      <c r="B31" s="277">
        <v>-4.4749999999999998E-3</v>
      </c>
      <c r="C31" s="277">
        <v>1.6448666422511429E-4</v>
      </c>
      <c r="D31" s="277">
        <v>-1.0383333333333333E-2</v>
      </c>
      <c r="E31" s="277">
        <v>-1.7962693338216439E-2</v>
      </c>
      <c r="F31" s="237">
        <v>1.8512082849274157E-3</v>
      </c>
      <c r="G31" s="278"/>
      <c r="H31" s="277">
        <v>0.25891470086660118</v>
      </c>
      <c r="I31" s="277">
        <v>0.13775537865186904</v>
      </c>
      <c r="J31" s="277">
        <v>0.38753896317983072</v>
      </c>
      <c r="K31" s="277">
        <v>5.4609030461982858E-2</v>
      </c>
      <c r="L31" s="277">
        <v>0.16118192683971608</v>
      </c>
      <c r="M31" s="277"/>
      <c r="N31" s="277">
        <v>0.27909690332556492</v>
      </c>
      <c r="O31" s="277">
        <v>0.36673222778257308</v>
      </c>
      <c r="P31" s="277">
        <f t="shared" si="0"/>
        <v>0.36501405784234436</v>
      </c>
      <c r="Q31" s="277">
        <v>0.17440545699977877</v>
      </c>
      <c r="R31" s="277">
        <v>-0.18524864595026114</v>
      </c>
      <c r="S31" s="14"/>
      <c r="T31" s="14">
        <f>SUMPRODUCT(H31:L31,B31:F31)</f>
        <v>-5.8424745473547738E-3</v>
      </c>
      <c r="U31" s="14">
        <f>SUMPRODUCT(N31:R31,B31:F31)</f>
        <v>-8.4544242842530069E-3</v>
      </c>
      <c r="V31" s="273">
        <f>SUMPRODUCT(N31:R31,B31:F31)-T31</f>
        <v>-2.6119497368982331E-3</v>
      </c>
      <c r="W31" s="14"/>
      <c r="X31" s="14">
        <f t="shared" si="1"/>
        <v>-8.3424745473547734E-3</v>
      </c>
      <c r="Y31" s="14">
        <f t="shared" si="2"/>
        <v>-1.0954424284253007E-2</v>
      </c>
      <c r="Z31" s="14"/>
      <c r="AA31" s="14">
        <f>(N31-H31)*(B31-$T31)</f>
        <v>2.7598648172193845E-5</v>
      </c>
      <c r="AB31" s="14">
        <f>(O31-I31)*(C31-$T31)</f>
        <v>1.3754550510779193E-3</v>
      </c>
      <c r="AC31" s="14">
        <f>(P31-J31)*(D31-$T31)</f>
        <v>1.0228241430506026E-4</v>
      </c>
      <c r="AD31" s="14">
        <f>(Q31-K31)*(E31-$T31)</f>
        <v>-1.4519589000014732E-3</v>
      </c>
      <c r="AE31" s="14">
        <f>(R31-L31)*(F31-$T31)</f>
        <v>-2.6653269504519333E-3</v>
      </c>
      <c r="AF31" s="14"/>
      <c r="AG31" s="273">
        <f t="shared" si="3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6">
        <v>45107</v>
      </c>
      <c r="B32" s="277">
        <v>2.9250000000000001E-3</v>
      </c>
      <c r="C32" s="277">
        <v>1.29500569094831E-2</v>
      </c>
      <c r="D32" s="277">
        <v>-1.9333333333333336E-3</v>
      </c>
      <c r="E32" s="277">
        <v>-7.3165528477004659E-3</v>
      </c>
      <c r="F32" s="237">
        <v>2.2791069568063541E-3</v>
      </c>
      <c r="G32" s="278"/>
      <c r="H32" s="277">
        <v>0.26194913880038728</v>
      </c>
      <c r="I32" s="277">
        <v>0.13363452110367249</v>
      </c>
      <c r="J32" s="277">
        <v>0.38454953490925786</v>
      </c>
      <c r="K32" s="277">
        <v>5.3217543600630329E-2</v>
      </c>
      <c r="L32" s="277">
        <v>0.16664926158605209</v>
      </c>
      <c r="M32" s="277"/>
      <c r="N32" s="277">
        <v>0.27329423598957436</v>
      </c>
      <c r="O32" s="277">
        <v>0.3381928017338261</v>
      </c>
      <c r="P32" s="277">
        <f t="shared" si="0"/>
        <v>0.26367055375472936</v>
      </c>
      <c r="Q32" s="277">
        <v>0.13108910655763731</v>
      </c>
      <c r="R32" s="277">
        <v>-6.246698035767162E-3</v>
      </c>
      <c r="S32" s="14"/>
      <c r="T32" s="14">
        <f>SUMPRODUCT(H32:L32,B32:F32)</f>
        <v>1.743755971445911E-3</v>
      </c>
      <c r="U32" s="14">
        <f>SUMPRODUCT(N32:R32,B32:F32)</f>
        <v>3.6958813296704331E-3</v>
      </c>
      <c r="V32" s="273">
        <f>SUMPRODUCT(N32:R32,B32:F32)-T32</f>
        <v>1.9521253582245222E-3</v>
      </c>
      <c r="W32" s="14"/>
      <c r="X32" s="14">
        <f t="shared" si="1"/>
        <v>-7.562440285540891E-4</v>
      </c>
      <c r="Y32" s="14">
        <f t="shared" si="2"/>
        <v>1.1958813296704331E-3</v>
      </c>
      <c r="Z32" s="14"/>
      <c r="AA32" s="14">
        <f>(N32-H32)*(B32-$T32)</f>
        <v>1.340132830809302E-5</v>
      </c>
      <c r="AB32" s="14">
        <f>(O32-I32)*(C32-$T32)</f>
        <v>2.2923416521089647E-3</v>
      </c>
      <c r="AC32" s="14">
        <f>(P32-J32)*(D32-$T32)</f>
        <v>4.4448280877592861E-4</v>
      </c>
      <c r="AD32" s="14">
        <f>(Q32-K32)*(E32-$T32)</f>
        <v>-7.055404086200827E-4</v>
      </c>
      <c r="AE32" s="14">
        <f>(R32-L32)*(F32-$T32)</f>
        <v>-9.256002234838033E-5</v>
      </c>
      <c r="AF32" s="14"/>
      <c r="AG32" s="273">
        <f t="shared" si="3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6">
        <v>45138</v>
      </c>
      <c r="B33" s="277">
        <v>-1.555E-2</v>
      </c>
      <c r="C33" s="277">
        <v>-1.8509634020949302E-2</v>
      </c>
      <c r="D33" s="277">
        <v>-1.7333333333333335E-3</v>
      </c>
      <c r="E33" s="277">
        <v>-3.7135934708565271E-2</v>
      </c>
      <c r="F33" s="237">
        <v>-1.0362668806119428E-4</v>
      </c>
      <c r="G33" s="278"/>
      <c r="H33" s="277">
        <v>0.25217298631798468</v>
      </c>
      <c r="I33" s="277">
        <v>0.1348568435250784</v>
      </c>
      <c r="J33" s="277">
        <v>0.39201442958258731</v>
      </c>
      <c r="K33" s="277">
        <v>5.423057443190385E-2</v>
      </c>
      <c r="L33" s="277">
        <v>0.16672516614244554</v>
      </c>
      <c r="M33" s="277"/>
      <c r="N33" s="277">
        <v>0.27454406967570533</v>
      </c>
      <c r="O33" s="277">
        <v>0.3260325917396697</v>
      </c>
      <c r="P33" s="277">
        <f t="shared" si="0"/>
        <v>0.27119506580575997</v>
      </c>
      <c r="Q33" s="277">
        <v>2.7075621904414329E-2</v>
      </c>
      <c r="R33" s="277">
        <v>0.10115265087445069</v>
      </c>
      <c r="S33" s="14"/>
      <c r="T33" s="14">
        <f>SUMPRODUCT(H33:L33,B33:F33)</f>
        <v>-9.1281126821524047E-3</v>
      </c>
      <c r="U33" s="14">
        <f>SUMPRODUCT(N33:R33,B33:F33)</f>
        <v>-1.1789936324291593E-2</v>
      </c>
      <c r="V33" s="273">
        <f>SUMPRODUCT(N33:R33,B33:F33)-T33</f>
        <v>-2.661823642139188E-3</v>
      </c>
      <c r="W33" s="14"/>
      <c r="X33" s="14">
        <f t="shared" si="1"/>
        <v>-1.1628112682152405E-2</v>
      </c>
      <c r="Y33" s="14">
        <f t="shared" si="2"/>
        <v>-1.4289936324291593E-2</v>
      </c>
      <c r="Z33" s="14"/>
      <c r="AA33" s="14">
        <f>(N33-H33)*(B33-$T33)</f>
        <v>-1.436645765014576E-4</v>
      </c>
      <c r="AB33" s="14">
        <f>(O33-I33)*(C33-$T33)</f>
        <v>-1.793519361335651E-3</v>
      </c>
      <c r="AC33" s="14">
        <f>(P33-J33)*(D33-$T33)</f>
        <v>-8.9343253619434174E-4</v>
      </c>
      <c r="AD33" s="14">
        <f>(Q33-K33)*(E33-$T33)</f>
        <v>7.6055107752561672E-4</v>
      </c>
      <c r="AE33" s="14">
        <f>(R33-L33)*(F33-$T33)</f>
        <v>-5.9175824563335161E-4</v>
      </c>
      <c r="AF33" s="14"/>
      <c r="AG33" s="273">
        <f t="shared" si="3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6">
        <v>45169</v>
      </c>
      <c r="B34" s="277">
        <v>-3.4749999999999998E-3</v>
      </c>
      <c r="C34" s="277">
        <v>9.118145741289484E-3</v>
      </c>
      <c r="D34" s="277">
        <v>1.6816666666666667E-2</v>
      </c>
      <c r="E34" s="277">
        <v>-3.2553751840877047E-3</v>
      </c>
      <c r="F34" s="237">
        <v>2.1355063030117894E-3</v>
      </c>
      <c r="G34" s="278"/>
      <c r="H34" s="277">
        <v>0.24400045665199366</v>
      </c>
      <c r="I34" s="277">
        <v>0.13597344998176322</v>
      </c>
      <c r="J34" s="277">
        <v>0.41053115163828241</v>
      </c>
      <c r="K34" s="277">
        <v>5.6107474496297965E-2</v>
      </c>
      <c r="L34" s="277">
        <v>0.15338746723166274</v>
      </c>
      <c r="M34" s="277"/>
      <c r="N34" s="277">
        <v>0.26650705472027847</v>
      </c>
      <c r="O34" s="277">
        <v>0.37082759029952922</v>
      </c>
      <c r="P34" s="277">
        <f t="shared" si="0"/>
        <v>0.37279522026205414</v>
      </c>
      <c r="Q34" s="277">
        <v>0.15065274697748918</v>
      </c>
      <c r="R34" s="277">
        <v>-0.16078261225935098</v>
      </c>
      <c r="S34" s="14"/>
      <c r="T34" s="14">
        <f>SUMPRODUCT(H34:L34,B34:F34)</f>
        <v>7.4405987033569054E-3</v>
      </c>
      <c r="U34" s="14">
        <f>SUMPRODUCT(N34:R34,B34:F34)</f>
        <v>7.8905374563431642E-3</v>
      </c>
      <c r="V34" s="273">
        <f>SUMPRODUCT(N34:R34,B34:F34)-T34</f>
        <v>4.4993875298625884E-4</v>
      </c>
      <c r="W34" s="14"/>
      <c r="X34" s="14">
        <f t="shared" si="1"/>
        <v>4.9405987033569049E-3</v>
      </c>
      <c r="Y34" s="14">
        <f t="shared" si="2"/>
        <v>5.3905374563431637E-3</v>
      </c>
      <c r="Z34" s="14"/>
      <c r="AA34" s="14">
        <f>(N34-H34)*(B34-$T34)</f>
        <v>-2.4567299269114473E-4</v>
      </c>
      <c r="AB34" s="14">
        <f>(O34-I34)*(C34-$T34)</f>
        <v>3.9397886743627056E-4</v>
      </c>
      <c r="AC34" s="14">
        <f>(P34-J34)*(D34-$T34)</f>
        <v>-3.5381465724230955E-4</v>
      </c>
      <c r="AD34" s="14">
        <f>(Q34-K34)*(E34-$T34)</f>
        <v>-1.0112537656401567E-3</v>
      </c>
      <c r="AE34" s="14">
        <f>(R34-L34)*(F34-$T34)</f>
        <v>1.6667013011235977E-3</v>
      </c>
      <c r="AF34" s="14"/>
      <c r="AG34" s="273">
        <f t="shared" si="3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6">
        <v>45199</v>
      </c>
      <c r="B35" s="277">
        <v>-1.475E-3</v>
      </c>
      <c r="C35" s="277">
        <v>1.1793480192113201E-2</v>
      </c>
      <c r="D35" s="277">
        <v>2.2966666666666666E-2</v>
      </c>
      <c r="E35" s="277">
        <v>-5.6047062824402631E-3</v>
      </c>
      <c r="F35" s="237">
        <v>2.1330283925976258E-3</v>
      </c>
      <c r="G35" s="278"/>
      <c r="H35" s="277">
        <v>0.23570774204339934</v>
      </c>
      <c r="I35" s="277">
        <v>0.13037001268797899</v>
      </c>
      <c r="J35" s="277">
        <v>0.43558093208595922</v>
      </c>
      <c r="K35" s="277">
        <v>5.8856780470960289E-2</v>
      </c>
      <c r="L35" s="277">
        <v>0.13948453271170214</v>
      </c>
      <c r="M35" s="277"/>
      <c r="N35" s="277">
        <v>0.22946453046761556</v>
      </c>
      <c r="O35" s="277">
        <v>0.28672007190330762</v>
      </c>
      <c r="P35" s="277">
        <f t="shared" si="0"/>
        <v>0.38359644743914056</v>
      </c>
      <c r="Q35" s="277">
        <v>8.9392441118980287E-2</v>
      </c>
      <c r="R35" s="277">
        <v>1.0826509070956059E-2</v>
      </c>
      <c r="S35" s="14"/>
      <c r="T35" s="14">
        <f>SUMPRODUCT(H35:L35,B35:F35)</f>
        <v>1.1161338817673885E-2</v>
      </c>
      <c r="U35" s="14">
        <f>SUMPRODUCT(N35:R35,B35:F35)</f>
        <v>1.1374973923984304E-2</v>
      </c>
      <c r="V35" s="273">
        <f>SUMPRODUCT(N35:R35,B35:F35)-T35</f>
        <v>2.1363510631041902E-4</v>
      </c>
      <c r="W35" s="14"/>
      <c r="X35" s="14">
        <f t="shared" si="1"/>
        <v>8.6613388176738845E-3</v>
      </c>
      <c r="Y35" s="14">
        <f t="shared" si="2"/>
        <v>8.8749739239843035E-3</v>
      </c>
      <c r="Z35" s="14"/>
      <c r="AA35" s="14">
        <f>(N35-H35)*(B35-$T35)</f>
        <v>7.8891336782027532E-5</v>
      </c>
      <c r="AB35" s="14">
        <f>(O35-I35)*(C35-$T35)</f>
        <v>9.8835341326046228E-5</v>
      </c>
      <c r="AC35" s="14">
        <f>(P35-J35)*(D35-$T35)</f>
        <v>-6.136938843166259E-4</v>
      </c>
      <c r="AD35" s="14">
        <f>(Q35-K35)*(E35-$T35)</f>
        <v>-5.1196226358648405E-4</v>
      </c>
      <c r="AE35" s="14">
        <f>(R35-L35)*(F35-$T35)</f>
        <v>1.1615645761054558E-3</v>
      </c>
      <c r="AF35" s="14"/>
      <c r="AG35" s="273">
        <f t="shared" si="3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6">
        <v>45230</v>
      </c>
      <c r="B36" s="277">
        <v>-1.075E-3</v>
      </c>
      <c r="C36" s="277">
        <v>1.4751413418177978E-2</v>
      </c>
      <c r="D36" s="277">
        <v>2.1641666666666667E-2</v>
      </c>
      <c r="E36" s="277">
        <v>4.0361601696892908E-3</v>
      </c>
      <c r="F36" s="237">
        <v>2.9793041837017516E-3</v>
      </c>
      <c r="G36" s="278"/>
      <c r="H36" s="277">
        <v>0.22632352744638687</v>
      </c>
      <c r="I36" s="277">
        <v>0.1316374286888661</v>
      </c>
      <c r="J36" s="277">
        <v>0.45640730441027416</v>
      </c>
      <c r="K36" s="277">
        <v>6.1264129134291662E-2</v>
      </c>
      <c r="L36" s="277">
        <v>0.12436761032018123</v>
      </c>
      <c r="M36" s="277"/>
      <c r="N36" s="277">
        <v>0.25641112765182972</v>
      </c>
      <c r="O36" s="277">
        <v>0.3273896632933086</v>
      </c>
      <c r="P36" s="277">
        <f t="shared" si="0"/>
        <v>0.32171878307770096</v>
      </c>
      <c r="Q36" s="277">
        <v>0.14138276928228524</v>
      </c>
      <c r="R36" s="277">
        <v>-4.690234330512455E-2</v>
      </c>
      <c r="S36" s="14"/>
      <c r="T36" s="14">
        <f>SUMPRODUCT(H36:L36,B36:F36)</f>
        <v>1.2193755865755973E-2</v>
      </c>
      <c r="U36" s="14">
        <f>SUMPRODUCT(N36:R36,B36:F36)</f>
        <v>1.1947256128048367E-2</v>
      </c>
      <c r="V36" s="273">
        <f>SUMPRODUCT(N36:R36,B36:F36)-T36</f>
        <v>-2.4649973770760579E-4</v>
      </c>
      <c r="W36" s="14"/>
      <c r="X36" s="14">
        <f t="shared" si="1"/>
        <v>9.6937558657559722E-3</v>
      </c>
      <c r="Y36" s="14">
        <f t="shared" si="2"/>
        <v>9.4472561280483664E-3</v>
      </c>
      <c r="Z36" s="14"/>
      <c r="AA36" s="14">
        <f>(N36-H36)*(B36-$T36)</f>
        <v>-3.9922502171249038E-4</v>
      </c>
      <c r="AB36" s="14">
        <f>(O36-I36)*(C36-$T36)</f>
        <v>5.0066718123953661E-4</v>
      </c>
      <c r="AC36" s="14">
        <f>(P36-J36)*(D36-$T36)</f>
        <v>-1.2725251354567088E-3</v>
      </c>
      <c r="AD36" s="14">
        <f>(Q36-K36)*(E36-$T36)</f>
        <v>-6.5357547404598767E-4</v>
      </c>
      <c r="AE36" s="14">
        <f>(R36-L36)*(F36-$T36)</f>
        <v>1.5781587122680471E-3</v>
      </c>
      <c r="AF36" s="14"/>
      <c r="AG36" s="273">
        <f t="shared" si="3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6">
        <v>45260</v>
      </c>
      <c r="B37" s="277">
        <v>1.9750000000000002E-3</v>
      </c>
      <c r="C37" s="277">
        <v>1.0225458435541075E-2</v>
      </c>
      <c r="D37" s="277">
        <v>-4.3583333333333339E-3</v>
      </c>
      <c r="E37" s="277">
        <v>-9.3407497955845138E-3</v>
      </c>
      <c r="F37" s="237">
        <v>2.4591417556091618E-3</v>
      </c>
      <c r="G37" s="278"/>
      <c r="H37" s="277">
        <v>0.23005318637144964</v>
      </c>
      <c r="I37" s="277">
        <v>0.12943456324609132</v>
      </c>
      <c r="J37" s="277">
        <v>0.45226785088314397</v>
      </c>
      <c r="K37" s="277">
        <v>5.8591298008366571E-2</v>
      </c>
      <c r="L37" s="277">
        <v>0.12965310149094855</v>
      </c>
      <c r="M37" s="277"/>
      <c r="N37" s="277">
        <v>0.25493770381225483</v>
      </c>
      <c r="O37" s="277">
        <v>0.37652950180554901</v>
      </c>
      <c r="P37" s="277">
        <f t="shared" si="0"/>
        <v>0.42540110878886361</v>
      </c>
      <c r="Q37" s="277">
        <v>0.15350832644890747</v>
      </c>
      <c r="R37" s="277">
        <v>-0.21037664085557495</v>
      </c>
      <c r="S37" s="14"/>
      <c r="T37" s="14">
        <f>SUMPRODUCT(H37:L37,B37:F37)</f>
        <v>-4.2170255969416074E-4</v>
      </c>
      <c r="U37" s="14">
        <f>SUMPRODUCT(N37:R37,B37:F37)</f>
        <v>5.4842005219447897E-4</v>
      </c>
      <c r="V37" s="273">
        <f>SUMPRODUCT(N37:R37,B37:F37)-T37</f>
        <v>9.7012261188863971E-4</v>
      </c>
      <c r="W37" s="14"/>
      <c r="X37" s="14">
        <f t="shared" si="1"/>
        <v>-2.9217025596941608E-3</v>
      </c>
      <c r="Y37" s="14">
        <f t="shared" si="2"/>
        <v>-1.9515799478055211E-3</v>
      </c>
      <c r="Z37" s="14"/>
      <c r="AA37" s="14">
        <f>(N37-H37)*(B37-$T37)</f>
        <v>5.9640786647131798E-5</v>
      </c>
      <c r="AB37" s="14">
        <f>(O37-I37)*(C37-$T37)</f>
        <v>2.6308595919503049E-3</v>
      </c>
      <c r="AC37" s="14">
        <f>(P37-J37)*(D37-$T37)</f>
        <v>1.0576444371577105E-4</v>
      </c>
      <c r="AD37" s="14">
        <f>(Q37-K37)*(E37-$T37)</f>
        <v>-8.4656946015153236E-4</v>
      </c>
      <c r="AE37" s="14">
        <f>(R37-L37)*(F37-$T37)</f>
        <v>-9.7957275027303571E-4</v>
      </c>
      <c r="AF37" s="14"/>
      <c r="AG37" s="273">
        <f t="shared" si="3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6">
        <v>45291</v>
      </c>
      <c r="B38" s="277">
        <v>-1.3825E-2</v>
      </c>
      <c r="C38" s="277">
        <v>-1.5338212261302395E-2</v>
      </c>
      <c r="D38" s="277">
        <v>9.1666666666666665E-4</v>
      </c>
      <c r="E38" s="277">
        <v>-3.2643091189271459E-2</v>
      </c>
      <c r="F38" s="237">
        <v>8.768632747902308E-5</v>
      </c>
      <c r="G38" s="278"/>
      <c r="H38" s="277">
        <v>0.2209994106307078</v>
      </c>
      <c r="I38" s="277">
        <v>0.1309040578883903</v>
      </c>
      <c r="J38" s="277">
        <v>0.46158763390871416</v>
      </c>
      <c r="K38" s="277">
        <v>5.934785222925211E-2</v>
      </c>
      <c r="L38" s="277">
        <v>0.12716104534293554</v>
      </c>
      <c r="M38" s="277"/>
      <c r="N38" s="277">
        <v>0.27468789812507216</v>
      </c>
      <c r="O38" s="277">
        <v>0.26267334022310729</v>
      </c>
      <c r="P38" s="277">
        <f t="shared" si="0"/>
        <v>0.3299461472007556</v>
      </c>
      <c r="Q38" s="277">
        <v>6.8678530218598544E-2</v>
      </c>
      <c r="R38" s="277">
        <v>6.4014084232466351E-2</v>
      </c>
      <c r="S38" s="14"/>
      <c r="T38" s="14">
        <f>SUMPRODUCT(H38:L38,B38:F38)</f>
        <v>-6.5661761471201953E-3</v>
      </c>
      <c r="U38" s="14">
        <f>SUMPRODUCT(N38:R38,B38:F38)</f>
        <v>-9.760315369089988E-3</v>
      </c>
      <c r="V38" s="273">
        <f>SUMPRODUCT(N38:R38,B38:F38)-T38</f>
        <v>-3.1941392219697927E-3</v>
      </c>
      <c r="W38" s="14"/>
      <c r="X38" s="14">
        <f t="shared" si="1"/>
        <v>-9.0661761471201949E-3</v>
      </c>
      <c r="Y38" s="14">
        <f t="shared" si="2"/>
        <v>-1.2260315369089989E-2</v>
      </c>
      <c r="Z38" s="14"/>
      <c r="AA38" s="14">
        <f>(N38-H38)*(B38-$T38)</f>
        <v>-3.8971527364913114E-4</v>
      </c>
      <c r="AB38" s="14">
        <f>(O38-I38)*(C38-$T38)</f>
        <v>-1.155884903380008E-3</v>
      </c>
      <c r="AC38" s="14">
        <f>(P38-J38)*(D38-$T38)</f>
        <v>-9.8505255280886632E-4</v>
      </c>
      <c r="AD38" s="14">
        <f>(Q38-K38)*(E38-$T38)</f>
        <v>-2.4331529721385774E-4</v>
      </c>
      <c r="AE38" s="14">
        <f>(R38-L38)*(F38-$T38)</f>
        <v>-4.2017119491792712E-4</v>
      </c>
      <c r="AF38" s="14"/>
      <c r="AG38" s="273">
        <f t="shared" si="3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6">
        <v>45322</v>
      </c>
      <c r="B39" s="277">
        <v>1.7250000000000001E-2</v>
      </c>
      <c r="C39" s="277">
        <v>4.1951138362158961E-2</v>
      </c>
      <c r="D39" s="277">
        <v>1.2666666666666666E-2</v>
      </c>
      <c r="E39" s="277">
        <v>2.458561005765126E-2</v>
      </c>
      <c r="F39" s="237">
        <v>4.9926947917659711E-3</v>
      </c>
      <c r="G39" s="278"/>
      <c r="H39" s="277">
        <v>0.22687859969308055</v>
      </c>
      <c r="I39" s="277">
        <v>0.12467728295447159</v>
      </c>
      <c r="J39" s="277">
        <v>0.46574031419433537</v>
      </c>
      <c r="K39" s="277">
        <v>5.7826189749873275E-2</v>
      </c>
      <c r="L39" s="277">
        <v>0.12487761340823927</v>
      </c>
      <c r="M39" s="277"/>
      <c r="N39" s="277">
        <v>0.22929159489089079</v>
      </c>
      <c r="O39" s="277">
        <v>0.37565833321303216</v>
      </c>
      <c r="P39" s="277">
        <f t="shared" si="0"/>
        <v>0.38283692051445495</v>
      </c>
      <c r="Q39" s="277">
        <v>0.22113625342561774</v>
      </c>
      <c r="R39" s="277">
        <v>-0.20892310204399567</v>
      </c>
      <c r="S39" s="14"/>
      <c r="T39" s="14">
        <f>SUMPRODUCT(H39:L39,B39:F39)</f>
        <v>1.7088555068056583E-2</v>
      </c>
      <c r="U39" s="14">
        <f>SUMPRODUCT(N39:R39,B39:F39)</f>
        <v>2.8957522798113092E-2</v>
      </c>
      <c r="V39" s="273">
        <f>SUMPRODUCT(N39:R39,B39:F39)-T39</f>
        <v>1.1868967730056509E-2</v>
      </c>
      <c r="W39" s="14"/>
      <c r="X39" s="14">
        <f t="shared" si="1"/>
        <v>1.4588555068056583E-2</v>
      </c>
      <c r="Y39" s="14">
        <f t="shared" si="2"/>
        <v>2.6457522798113094E-2</v>
      </c>
      <c r="Z39" s="14"/>
      <c r="AA39" s="14">
        <f>(N39-H39)*(B39-$T39)</f>
        <v>3.8956584549026995E-7</v>
      </c>
      <c r="AB39" s="14">
        <f>(O39-I39)*(C39-$T39)</f>
        <v>6.240037267294757E-3</v>
      </c>
      <c r="AC39" s="14">
        <f>(P39-J39)*(D39-$T39)</f>
        <v>3.6658955494892536E-4</v>
      </c>
      <c r="AD39" s="14">
        <f>(Q39-K39)*(E39-$T39)</f>
        <v>1.2243445277312643E-3</v>
      </c>
      <c r="AE39" s="14">
        <f>(R39-L39)*(F39-$T39)</f>
        <v>4.0376068142360744E-3</v>
      </c>
      <c r="AF39" s="14"/>
      <c r="AG39" s="273">
        <f t="shared" si="3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6">
        <v>45351</v>
      </c>
      <c r="B40" s="277">
        <v>1.2725E-2</v>
      </c>
      <c r="C40" s="277">
        <v>4.2068571485232673E-2</v>
      </c>
      <c r="D40" s="277">
        <v>1.4891666666666666E-2</v>
      </c>
      <c r="E40" s="277">
        <v>3.2770476303798687E-2</v>
      </c>
      <c r="F40" s="237">
        <v>6.1074687309100404E-3</v>
      </c>
      <c r="G40" s="278"/>
      <c r="H40" s="277">
        <v>0.22686385049201729</v>
      </c>
      <c r="I40" s="277">
        <v>0.1251753361458609</v>
      </c>
      <c r="J40" s="277">
        <v>0.46955070064078297</v>
      </c>
      <c r="K40" s="277">
        <v>5.9588630932537176E-2</v>
      </c>
      <c r="L40" s="277">
        <v>0.11882148178880167</v>
      </c>
      <c r="M40" s="277"/>
      <c r="N40" s="277">
        <v>0.24664055473819557</v>
      </c>
      <c r="O40" s="277">
        <v>0.42647488563840263</v>
      </c>
      <c r="P40" s="277">
        <f t="shared" si="0"/>
        <v>0.43350370092574714</v>
      </c>
      <c r="Q40" s="277">
        <v>0.11542319410900496</v>
      </c>
      <c r="R40" s="277">
        <v>-0.22204233541135032</v>
      </c>
      <c r="S40" s="14"/>
      <c r="T40" s="14">
        <f>SUMPRODUCT(H40:L40,B40:F40)</f>
        <v>1.7823628893929442E-2</v>
      </c>
      <c r="U40" s="14">
        <f>SUMPRODUCT(N40:R40,B40:F40)</f>
        <v>2.9961639312126538E-2</v>
      </c>
      <c r="V40" s="273">
        <f>SUMPRODUCT(N40:R40,B40:F40)-T40</f>
        <v>1.2138010418197096E-2</v>
      </c>
      <c r="W40" s="14"/>
      <c r="X40" s="14">
        <f t="shared" si="1"/>
        <v>1.5323628893929441E-2</v>
      </c>
      <c r="Y40" s="14">
        <f t="shared" si="2"/>
        <v>2.7461639312126539E-2</v>
      </c>
      <c r="Z40" s="14"/>
      <c r="AA40" s="14">
        <f>(N40-H40)*(B40-$T40)</f>
        <v>-1.0083407569626165E-4</v>
      </c>
      <c r="AB40" s="14">
        <f>(O40-I40)*(C40-$T40)</f>
        <v>7.3049902802322011E-3</v>
      </c>
      <c r="AC40" s="14">
        <f>(P40-J40)*(D40-$T40)</f>
        <v>1.0568844157063712E-4</v>
      </c>
      <c r="AD40" s="14">
        <f>(Q40-K40)*(E40-$T40)</f>
        <v>8.3455069599536831E-4</v>
      </c>
      <c r="AE40" s="14">
        <f>(R40-L40)*(F40-$T40)</f>
        <v>3.9936150760951483E-3</v>
      </c>
      <c r="AF40" s="14"/>
      <c r="AG40" s="273">
        <f t="shared" si="3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6">
        <v>45382</v>
      </c>
      <c r="B41" s="277">
        <v>-1.32E-2</v>
      </c>
      <c r="C41" s="277">
        <v>-5.3172733534025624E-3</v>
      </c>
      <c r="D41" s="277">
        <v>1.3416666666666666E-3</v>
      </c>
      <c r="E41" s="277">
        <v>-1.5226213373471791E-2</v>
      </c>
      <c r="F41" s="237">
        <v>6.0503147934199645E-4</v>
      </c>
      <c r="G41" s="278"/>
      <c r="H41" s="277">
        <v>0.21541611389443036</v>
      </c>
      <c r="I41" s="277">
        <v>0.13194273259890565</v>
      </c>
      <c r="J41" s="277">
        <v>0.47323643434532325</v>
      </c>
      <c r="K41" s="277">
        <v>6.3767955022714262E-2</v>
      </c>
      <c r="L41" s="277">
        <v>0.11563676413862649</v>
      </c>
      <c r="M41" s="277"/>
      <c r="N41" s="277">
        <v>0.22512312017625422</v>
      </c>
      <c r="O41" s="277">
        <v>0.41572173068175855</v>
      </c>
      <c r="P41" s="277">
        <f t="shared" si="0"/>
        <v>0.3295354571644718</v>
      </c>
      <c r="Q41" s="277">
        <v>0.14699223536016809</v>
      </c>
      <c r="R41" s="277">
        <v>-0.11737254338265268</v>
      </c>
      <c r="S41" s="14"/>
      <c r="T41" s="14">
        <f>SUMPRODUCT(H41:L41,B41:F41)</f>
        <v>-3.8111233373091372E-3</v>
      </c>
      <c r="U41" s="14">
        <f>SUMPRODUCT(N41:R41,B41:F41)</f>
        <v>-7.0491537523431763E-3</v>
      </c>
      <c r="V41" s="273">
        <f>SUMPRODUCT(N41:R41,B41:F41)-T41</f>
        <v>-3.2380304150340391E-3</v>
      </c>
      <c r="W41" s="14"/>
      <c r="X41" s="14">
        <f t="shared" si="1"/>
        <v>-6.3111233373091373E-3</v>
      </c>
      <c r="Y41" s="14">
        <f t="shared" si="2"/>
        <v>-9.5491537523431768E-3</v>
      </c>
      <c r="Z41" s="14"/>
      <c r="AA41" s="14">
        <f>(N41-H41)*(B41-$T41)</f>
        <v>-9.1137884744009641E-5</v>
      </c>
      <c r="AB41" s="14">
        <f>(O41-I41)*(C41-$T41)</f>
        <v>-4.2741374252946497E-4</v>
      </c>
      <c r="AC41" s="14">
        <f>(P41-J41)*(D41-$T41)</f>
        <v>-7.4046095877904647E-4</v>
      </c>
      <c r="AD41" s="14">
        <f>(Q41-K41)*(E41-$T41)</f>
        <v>-9.5001265324687659E-4</v>
      </c>
      <c r="AE41" s="14">
        <f>(R41-L41)*(F41-$T41)</f>
        <v>-1.0290051757346425E-3</v>
      </c>
      <c r="AF41" s="14"/>
      <c r="AG41" s="273">
        <f t="shared" si="3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6">
        <v>45412</v>
      </c>
      <c r="B42" s="277">
        <v>3.7500000000000001E-4</v>
      </c>
      <c r="C42" s="277">
        <v>1.3007317083196541E-2</v>
      </c>
      <c r="D42" s="277">
        <v>-1.3333333333333333E-3</v>
      </c>
      <c r="E42" s="277">
        <v>-3.0020325002735881E-3</v>
      </c>
      <c r="F42" s="237">
        <v>2.934859069350205E-3</v>
      </c>
      <c r="G42" s="278"/>
      <c r="H42" s="277">
        <v>0.21551433435027972</v>
      </c>
      <c r="I42" s="277">
        <v>0.1317876109913593</v>
      </c>
      <c r="J42" s="277">
        <v>0.47022179859621072</v>
      </c>
      <c r="K42" s="277">
        <v>6.40836871116304E-2</v>
      </c>
      <c r="L42" s="277">
        <v>0.11839256895051979</v>
      </c>
      <c r="M42" s="277"/>
      <c r="N42" s="277">
        <v>0.24099479819442166</v>
      </c>
      <c r="O42" s="277">
        <v>0.28689116224317307</v>
      </c>
      <c r="P42" s="277">
        <f t="shared" si="0"/>
        <v>0.36664297554776393</v>
      </c>
      <c r="Q42" s="277">
        <v>0.1619243999578581</v>
      </c>
      <c r="R42" s="277">
        <v>-5.6453335943216665E-2</v>
      </c>
      <c r="S42" s="14"/>
      <c r="T42" s="14">
        <f>SUMPRODUCT(H42:L42,B42:F42)</f>
        <v>1.3231429143362662E-3</v>
      </c>
      <c r="U42" s="14">
        <f>SUMPRODUCT(N42:R42,B42:F42)</f>
        <v>2.6814151680074794E-3</v>
      </c>
      <c r="V42" s="273">
        <f>SUMPRODUCT(N42:R42,B42:F42)-T42</f>
        <v>1.3582722536712132E-3</v>
      </c>
      <c r="W42" s="14"/>
      <c r="X42" s="14">
        <f t="shared" si="1"/>
        <v>-1.1768570856637338E-3</v>
      </c>
      <c r="Y42" s="14">
        <f t="shared" si="2"/>
        <v>1.8141516800747933E-4</v>
      </c>
      <c r="Z42" s="14"/>
      <c r="AA42" s="14">
        <f>(N42-H42)*(B42-$T42)</f>
        <v>-2.4159121247824593E-5</v>
      </c>
      <c r="AB42" s="14">
        <f>(O42-I42)*(C42-$T42)</f>
        <v>1.8122569070349382E-3</v>
      </c>
      <c r="AC42" s="14">
        <f>(P42-J42)*(D42-$T42)</f>
        <v>2.7515468318977136E-4</v>
      </c>
      <c r="AD42" s="14">
        <f>(Q42-K42)*(E42-$T42)</f>
        <v>-4.2317824575040654E-4</v>
      </c>
      <c r="AE42" s="14">
        <f>(R42-L42)*(F42-$T42)</f>
        <v>-2.8180196955526575E-4</v>
      </c>
      <c r="AF42" s="14"/>
      <c r="AG42" s="273">
        <f t="shared" si="3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6">
        <v>45443</v>
      </c>
      <c r="B43" s="277">
        <v>-3.3399999999999999E-2</v>
      </c>
      <c r="C43" s="277">
        <v>-4.7502206291406758E-2</v>
      </c>
      <c r="D43" s="277">
        <v>-1.5633333333333332E-2</v>
      </c>
      <c r="E43" s="277">
        <v>-6.3771079249480195E-2</v>
      </c>
      <c r="F43" s="237">
        <v>-3.047628780697414E-3</v>
      </c>
      <c r="G43" s="278"/>
      <c r="H43" s="277">
        <v>0.19870504115473825</v>
      </c>
      <c r="I43" s="277">
        <v>0.14050726911205313</v>
      </c>
      <c r="J43" s="277">
        <v>0.46910803660185346</v>
      </c>
      <c r="K43" s="277">
        <v>6.8687465042213861E-2</v>
      </c>
      <c r="L43" s="277">
        <v>0.12299218808914117</v>
      </c>
      <c r="M43" s="277"/>
      <c r="N43" s="277">
        <v>0.23125223335692074</v>
      </c>
      <c r="O43" s="277">
        <v>0.41030415039719992</v>
      </c>
      <c r="P43" s="277">
        <f t="shared" si="0"/>
        <v>0.2894276309178051</v>
      </c>
      <c r="Q43" s="277">
        <v>7.3375741013198104E-2</v>
      </c>
      <c r="R43" s="277">
        <v>-4.3597556851238117E-3</v>
      </c>
      <c r="S43" s="14"/>
      <c r="T43" s="14">
        <f>SUMPRODUCT(H43:L43,B43:F43)</f>
        <v>-2.5399984271787853E-2</v>
      </c>
      <c r="U43" s="14">
        <f>SUMPRODUCT(N43:R43,B43:F43)</f>
        <v>-3.6404858896763544E-2</v>
      </c>
      <c r="V43" s="273">
        <f>SUMPRODUCT(N43:R43,B43:F43)-T43</f>
        <v>-1.1004874624975691E-2</v>
      </c>
      <c r="W43" s="14"/>
      <c r="X43" s="14">
        <f t="shared" si="1"/>
        <v>-2.7899984271787852E-2</v>
      </c>
      <c r="Y43" s="14">
        <f t="shared" si="2"/>
        <v>-3.8904858896763546E-2</v>
      </c>
      <c r="Z43" s="14"/>
      <c r="AA43" s="14">
        <f>(N43-H43)*(B43-$T43)</f>
        <v>-2.603780495266037E-4</v>
      </c>
      <c r="AB43" s="14">
        <f>(O43-I43)*(C43-$T43)</f>
        <v>-5.9631105703650787E-3</v>
      </c>
      <c r="AC43" s="14">
        <f>(P43-J43)*(D43-$T43)</f>
        <v>-1.754875802796E-3</v>
      </c>
      <c r="AD43" s="14">
        <f>(Q43-K43)*(E43-$T43)</f>
        <v>-1.7989428256426915E-4</v>
      </c>
      <c r="AE43" s="14">
        <f>(R43-L43)*(F43-$T43)</f>
        <v>-2.8466159197237328E-3</v>
      </c>
      <c r="AF43" s="14"/>
      <c r="AG43" s="273">
        <f t="shared" si="3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6">
        <v>45473</v>
      </c>
      <c r="B44" s="277">
        <v>1.5299999999999999E-2</v>
      </c>
      <c r="C44" s="277">
        <v>3.7874231847154438E-2</v>
      </c>
      <c r="D44" s="277">
        <v>-9.1583333333333343E-3</v>
      </c>
      <c r="E44" s="277">
        <v>2.5156797027642216E-2</v>
      </c>
      <c r="F44" s="237">
        <v>4.8240580014162699E-3</v>
      </c>
      <c r="G44" s="278"/>
      <c r="H44" s="277">
        <v>0.20989073060229954</v>
      </c>
      <c r="I44" s="277">
        <v>0.14348918752635634</v>
      </c>
      <c r="J44" s="277">
        <v>0.44983331980370678</v>
      </c>
      <c r="K44" s="277">
        <v>6.4226636247243798E-2</v>
      </c>
      <c r="L44" s="277">
        <v>0.13256012582039356</v>
      </c>
      <c r="M44" s="277"/>
      <c r="N44" s="277">
        <v>0.18725505937017103</v>
      </c>
      <c r="O44" s="277">
        <v>0.32166834740208267</v>
      </c>
      <c r="P44" s="277">
        <f t="shared" si="0"/>
        <v>0.2513730308711597</v>
      </c>
      <c r="Q44" s="277">
        <v>0.12431871465296725</v>
      </c>
      <c r="R44" s="277">
        <v>0.11538484770361934</v>
      </c>
      <c r="S44" s="14"/>
      <c r="T44" s="14">
        <f>SUMPRODUCT(H44:L44,B44:F44)</f>
        <v>6.7813616344186796E-3</v>
      </c>
      <c r="U44" s="14">
        <f>SUMPRODUCT(N44:R44,B44:F44)</f>
        <v>1.6429869837101652E-2</v>
      </c>
      <c r="V44" s="273">
        <f>SUMPRODUCT(N44:R44,B44:F44)-T44</f>
        <v>9.6485082026829712E-3</v>
      </c>
      <c r="W44" s="14"/>
      <c r="X44" s="14">
        <f t="shared" si="1"/>
        <v>4.2813616344186799E-3</v>
      </c>
      <c r="Y44" s="14">
        <f t="shared" si="2"/>
        <v>1.3929869837101651E-2</v>
      </c>
      <c r="Z44" s="14"/>
      <c r="AA44" s="14">
        <f>(N44-H44)*(B44-$T44)</f>
        <v>-1.9282509738869529E-4</v>
      </c>
      <c r="AB44" s="14">
        <f>(O44-I44)*(C44-$T44)</f>
        <v>5.5401014926302538E-3</v>
      </c>
      <c r="AC44" s="14">
        <f>(P44-J44)*(D44-$T44)</f>
        <v>3.1633964687967316E-3</v>
      </c>
      <c r="AD44" s="14">
        <f>(Q44-K44)*(E44-$T44)</f>
        <v>1.1042181043888944E-3</v>
      </c>
      <c r="AE44" s="14">
        <f>(R44-L44)*(F44-$T44)</f>
        <v>3.3617234255788961E-5</v>
      </c>
      <c r="AF44" s="14"/>
      <c r="AG44" s="273">
        <f t="shared" si="3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6">
        <v>45504</v>
      </c>
      <c r="B45" s="277">
        <v>2.9624999999999999E-2</v>
      </c>
      <c r="C45" s="277">
        <v>6.8807121092329906E-2</v>
      </c>
      <c r="D45" s="277">
        <v>4.9166666666666664E-3</v>
      </c>
      <c r="E45" s="277">
        <v>5.7472575517993139E-2</v>
      </c>
      <c r="F45" s="237">
        <v>7.6949197647998525E-3</v>
      </c>
      <c r="G45" s="278"/>
      <c r="H45" s="277">
        <v>0.22304230374314193</v>
      </c>
      <c r="I45" s="277">
        <v>0.14182852944286037</v>
      </c>
      <c r="J45" s="277">
        <v>0.43578054513451325</v>
      </c>
      <c r="K45" s="277">
        <v>6.2399191134482633E-2</v>
      </c>
      <c r="L45" s="277">
        <v>0.13694943054500186</v>
      </c>
      <c r="M45" s="277"/>
      <c r="N45" s="277">
        <v>0.24770372213360226</v>
      </c>
      <c r="O45" s="277">
        <v>0.33544326959919613</v>
      </c>
      <c r="P45" s="277">
        <f t="shared" si="0"/>
        <v>0.26736304898881025</v>
      </c>
      <c r="Q45" s="277">
        <v>0.16156736834136678</v>
      </c>
      <c r="R45" s="277">
        <v>-1.2077409062975386E-2</v>
      </c>
      <c r="S45" s="14"/>
      <c r="T45" s="14">
        <f>SUMPRODUCT(H45:L45,B45:F45)</f>
        <v>2.31490858329743E-2</v>
      </c>
      <c r="U45" s="14">
        <f>SUMPRODUCT(N45:R45,B45:F45)</f>
        <v>4.0926401514524924E-2</v>
      </c>
      <c r="V45" s="273">
        <f>SUMPRODUCT(N45:R45,B45:F45)-T45</f>
        <v>1.7777315681550623E-2</v>
      </c>
      <c r="W45" s="14"/>
      <c r="X45" s="14">
        <f t="shared" si="1"/>
        <v>2.0649085832974302E-2</v>
      </c>
      <c r="Y45" s="14">
        <f t="shared" si="2"/>
        <v>3.8426401514524922E-2</v>
      </c>
      <c r="Z45" s="14"/>
      <c r="AA45" s="14">
        <f>(N45-H45)*(B45-$T45)</f>
        <v>1.5970522873373009E-4</v>
      </c>
      <c r="AB45" s="14">
        <f>(O45-I45)*(C45-$T45)</f>
        <v>8.840068632788951E-3</v>
      </c>
      <c r="AC45" s="14">
        <f>(P45-J45)*(D45-$T45)</f>
        <v>3.0706583846684577E-3</v>
      </c>
      <c r="AD45" s="14">
        <f>(Q45-K45)*(E45-$T45)</f>
        <v>3.4037979074426081E-3</v>
      </c>
      <c r="AE45" s="14">
        <f>(R45-L45)*(F45-$T45)</f>
        <v>2.3030855279168776E-3</v>
      </c>
      <c r="AF45" s="14"/>
      <c r="AG45" s="273">
        <f t="shared" si="3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6">
        <v>45535</v>
      </c>
      <c r="B46" s="277">
        <v>1.5075E-2</v>
      </c>
      <c r="C46" s="277">
        <v>3.2288258872841834E-2</v>
      </c>
      <c r="D46" s="277">
        <v>6.3416666666666665E-3</v>
      </c>
      <c r="E46" s="277">
        <v>8.609851079016996E-3</v>
      </c>
      <c r="F46" s="237">
        <v>5.4078110605161062E-3</v>
      </c>
      <c r="G46" s="278"/>
      <c r="H46" s="277">
        <v>0.23194325597492788</v>
      </c>
      <c r="I46" s="277">
        <v>0.13101432176761632</v>
      </c>
      <c r="J46" s="277">
        <v>0.43824077069079531</v>
      </c>
      <c r="K46" s="277">
        <v>5.868377246706994E-2</v>
      </c>
      <c r="L46" s="277">
        <v>0.1401178790995905</v>
      </c>
      <c r="M46" s="277"/>
      <c r="N46" s="277">
        <v>0.24213527304383969</v>
      </c>
      <c r="O46" s="277">
        <v>0.31234910993534909</v>
      </c>
      <c r="P46" s="277">
        <f t="shared" si="0"/>
        <v>0.3202859741640397</v>
      </c>
      <c r="Q46" s="277">
        <v>0.10987650205936414</v>
      </c>
      <c r="R46" s="277">
        <v>1.535314079740735E-2</v>
      </c>
      <c r="S46" s="14"/>
      <c r="T46" s="14">
        <f>SUMPRODUCT(H46:L46,B46:F46)</f>
        <v>1.1768935366635971E-2</v>
      </c>
      <c r="U46" s="14">
        <f>SUMPRODUCT(N46:R46,B46:F46)</f>
        <v>1.6795592252019431E-2</v>
      </c>
      <c r="V46" s="273">
        <f>SUMPRODUCT(N46:R46,B46:F46)-T46</f>
        <v>5.0266568853834601E-3</v>
      </c>
      <c r="W46" s="14"/>
      <c r="X46" s="14">
        <f t="shared" si="1"/>
        <v>9.2689353666359706E-3</v>
      </c>
      <c r="Y46" s="14">
        <f t="shared" si="2"/>
        <v>1.4295592252019431E-2</v>
      </c>
      <c r="Z46" s="14"/>
      <c r="AA46" s="14">
        <f>(N46-H46)*(B46-$T46)</f>
        <v>3.3695467174171874E-5</v>
      </c>
      <c r="AB46" s="14">
        <f>(O46-I46)*(C46-$T46)</f>
        <v>3.7208671813430193E-3</v>
      </c>
      <c r="AC46" s="14">
        <f>(P46-J46)*(D46-$T46)</f>
        <v>6.401723752009088E-4</v>
      </c>
      <c r="AD46" s="14">
        <f>(Q46-K46)*(E46-$T46)</f>
        <v>-1.6172214769534355E-4</v>
      </c>
      <c r="AE46" s="14">
        <f>(R46-L46)*(F46-$T46)</f>
        <v>7.9364400936070138E-4</v>
      </c>
      <c r="AF46" s="14"/>
      <c r="AG46" s="273">
        <f t="shared" si="3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6">
        <v>45565</v>
      </c>
      <c r="B47" s="277">
        <v>1.3950000000000001E-2</v>
      </c>
      <c r="C47" s="277">
        <v>4.1183681972947681E-2</v>
      </c>
      <c r="D47" s="277">
        <v>-1.4808333333333333E-2</v>
      </c>
      <c r="E47" s="277">
        <v>3.6975697279228684E-2</v>
      </c>
      <c r="F47" s="237">
        <v>5.2007517343631493E-3</v>
      </c>
      <c r="G47" s="278"/>
      <c r="H47" s="277">
        <v>0.24244621231870322</v>
      </c>
      <c r="I47" s="277">
        <v>0.14239043242185806</v>
      </c>
      <c r="J47" s="277">
        <v>0.40817527709467138</v>
      </c>
      <c r="K47" s="277">
        <v>5.5781025055975493E-2</v>
      </c>
      <c r="L47" s="277">
        <v>0.15120705310879176</v>
      </c>
      <c r="M47" s="277"/>
      <c r="N47" s="277">
        <v>0.23049555769141361</v>
      </c>
      <c r="O47" s="277">
        <v>0.50948737611416228</v>
      </c>
      <c r="P47" s="277">
        <f t="shared" si="0"/>
        <v>0.37810556750915753</v>
      </c>
      <c r="Q47" s="277">
        <v>9.8824795807221977E-2</v>
      </c>
      <c r="R47" s="277">
        <v>-0.2169132971219554</v>
      </c>
      <c r="S47" s="14"/>
      <c r="T47" s="14">
        <f>SUMPRODUCT(H47:L47,B47:F47)</f>
        <v>6.050824025152929E-3</v>
      </c>
      <c r="U47" s="14">
        <f>SUMPRODUCT(N47:R47,B47:F47)</f>
        <v>2.1124869345283674E-2</v>
      </c>
      <c r="V47" s="273">
        <f>SUMPRODUCT(N47:R47,B47:F47)-T47</f>
        <v>1.5074045320130746E-2</v>
      </c>
      <c r="W47" s="14"/>
      <c r="X47" s="14">
        <f t="shared" si="1"/>
        <v>3.550824025152929E-3</v>
      </c>
      <c r="Y47" s="14">
        <f t="shared" si="2"/>
        <v>1.8624869345283675E-2</v>
      </c>
      <c r="Z47" s="14"/>
      <c r="AA47" s="14">
        <f>(N47-H47)*(B47-$T47)</f>
        <v>-9.4400323915581116E-5</v>
      </c>
      <c r="AB47" s="14">
        <f>(O47-I47)*(C47-$T47)</f>
        <v>1.2897164775811331E-2</v>
      </c>
      <c r="AC47" s="14">
        <f>(P47-J47)*(D47-$T47)</f>
        <v>6.2722880396821629E-4</v>
      </c>
      <c r="AD47" s="14">
        <f>(Q47-K47)*(E47-$T47)</f>
        <v>1.3311231548597906E-3</v>
      </c>
      <c r="AE47" s="14">
        <f>(R47-L47)*(F47-$T47)</f>
        <v>3.1292890940698729E-4</v>
      </c>
      <c r="AF47" s="14"/>
      <c r="AG47" s="273">
        <f t="shared" si="3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6">
        <v>45596</v>
      </c>
      <c r="B48" s="277">
        <v>-6.5500000000000003E-3</v>
      </c>
      <c r="C48" s="277">
        <v>4.280608759971073E-3</v>
      </c>
      <c r="D48" s="277">
        <v>-1.2758333333333333E-2</v>
      </c>
      <c r="E48" s="277">
        <v>-7.1054491467245212E-3</v>
      </c>
      <c r="F48" s="237">
        <v>1.176440441918021E-3</v>
      </c>
      <c r="G48" s="278"/>
      <c r="H48" s="277">
        <v>0.23945197328562995</v>
      </c>
      <c r="I48" s="277">
        <v>0.14999965138679183</v>
      </c>
      <c r="J48" s="277">
        <v>0.39285374763560876</v>
      </c>
      <c r="K48" s="277">
        <v>5.7451274170830714E-2</v>
      </c>
      <c r="L48" s="277">
        <v>0.16024335352113872</v>
      </c>
      <c r="M48" s="277"/>
      <c r="N48" s="277">
        <v>0.2616327903517397</v>
      </c>
      <c r="O48" s="277">
        <v>0.3611991987534966</v>
      </c>
      <c r="P48" s="277">
        <f t="shared" si="0"/>
        <v>0.25287565059225947</v>
      </c>
      <c r="Q48" s="277">
        <v>7.7554234781651146E-2</v>
      </c>
      <c r="R48" s="277">
        <v>4.6738125520853102E-2</v>
      </c>
      <c r="S48" s="14"/>
      <c r="T48" s="14">
        <f>SUMPRODUCT(H48:L48,B48:F48)</f>
        <v>-6.1581800122908073E-3</v>
      </c>
      <c r="U48" s="14">
        <f>SUMPRODUCT(N48:R48,B48:F48)</f>
        <v>-3.889887214976706E-3</v>
      </c>
      <c r="V48" s="273">
        <f>SUMPRODUCT(N48:R48,B48:F48)-T48</f>
        <v>2.2682927973141013E-3</v>
      </c>
      <c r="W48" s="14"/>
      <c r="X48" s="14">
        <f t="shared" si="1"/>
        <v>-8.658180012290807E-3</v>
      </c>
      <c r="Y48" s="14">
        <f t="shared" si="2"/>
        <v>-6.3898872149767061E-3</v>
      </c>
      <c r="Z48" s="14"/>
      <c r="AA48" s="14">
        <f>(N48-H48)*(B48-$T48)</f>
        <v>-8.6908874702229778E-6</v>
      </c>
      <c r="AB48" s="14">
        <f>(O48-I48)*(C48-$T48)</f>
        <v>2.204667463758349E-3</v>
      </c>
      <c r="AC48" s="14">
        <f>(P48-J48)*(D48-$T48)</f>
        <v>9.2387690207387481E-4</v>
      </c>
      <c r="AD48" s="14">
        <f>(Q48-K48)*(E48-$T48)</f>
        <v>-1.9042914097366914E-5</v>
      </c>
      <c r="AE48" s="14">
        <f>(R48-L48)*(F48-$T48)</f>
        <v>-8.3251776695053158E-4</v>
      </c>
      <c r="AF48" s="14"/>
      <c r="AG48" s="273">
        <f t="shared" si="3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6">
        <v>45626</v>
      </c>
      <c r="B49" s="277">
        <v>-3.7000000000000002E-3</v>
      </c>
      <c r="C49" s="277">
        <v>6.4491219939634917E-3</v>
      </c>
      <c r="D49" s="277">
        <v>1.0566666666666667E-2</v>
      </c>
      <c r="E49" s="277">
        <v>-8.8434226787396861E-3</v>
      </c>
      <c r="F49" s="237">
        <v>2.2753004003342359E-3</v>
      </c>
      <c r="G49" s="278"/>
      <c r="H49" s="277">
        <v>0.23355621841227173</v>
      </c>
      <c r="I49" s="277">
        <v>0.14909330939234544</v>
      </c>
      <c r="J49" s="277">
        <v>0.40537630552636428</v>
      </c>
      <c r="K49" s="277">
        <v>5.8960272336881427E-2</v>
      </c>
      <c r="L49" s="277">
        <v>0.15301389433213719</v>
      </c>
      <c r="M49" s="277"/>
      <c r="N49" s="277">
        <v>0.27861023605641444</v>
      </c>
      <c r="O49" s="277">
        <v>0.2211483528401082</v>
      </c>
      <c r="P49" s="277">
        <f t="shared" si="0"/>
        <v>0.27240822984640001</v>
      </c>
      <c r="Q49" s="277">
        <v>0.11142782928396697</v>
      </c>
      <c r="R49" s="277">
        <v>0.11640535197311042</v>
      </c>
      <c r="S49" s="14"/>
      <c r="T49" s="14">
        <f>SUMPRODUCT(H49:L49,B49:F49)</f>
        <v>4.2075811931934571E-3</v>
      </c>
      <c r="U49" s="14">
        <f>SUMPRODUCT(N49:R49,B49:F49)</f>
        <v>2.5532555462777318E-3</v>
      </c>
      <c r="V49" s="273">
        <f>SUMPRODUCT(N49:R49,B49:F49)-T49</f>
        <v>-1.6543256469157253E-3</v>
      </c>
      <c r="W49" s="14"/>
      <c r="X49" s="14">
        <f t="shared" si="1"/>
        <v>1.707581193193457E-3</v>
      </c>
      <c r="Y49" s="14">
        <f t="shared" si="2"/>
        <v>5.32555462777317E-5</v>
      </c>
      <c r="Z49" s="14"/>
      <c r="AA49" s="14">
        <f>(N49-H49)*(B49-$T49)</f>
        <v>-3.5626830260062915E-4</v>
      </c>
      <c r="AB49" s="14">
        <f>(O49-I49)*(C49-$T49)</f>
        <v>1.6151431978941776E-4</v>
      </c>
      <c r="AC49" s="14">
        <f>(P49-J49)*(D49-$T49)</f>
        <v>-8.4555535849214721E-4</v>
      </c>
      <c r="AD49" s="14">
        <f>(Q49-K49)*(E49-$T49)</f>
        <v>-6.8475428886728598E-4</v>
      </c>
      <c r="AE49" s="14">
        <f>(R49-L49)*(F49-$T49)</f>
        <v>7.0737983254920637E-5</v>
      </c>
      <c r="AF49" s="14"/>
      <c r="AG49" s="273">
        <f t="shared" si="3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6">
        <v>45657</v>
      </c>
      <c r="B50" s="277">
        <v>5.8250000000000003E-3</v>
      </c>
      <c r="C50" s="277">
        <v>2.4233071130979805E-2</v>
      </c>
      <c r="D50" s="277">
        <v>1.4166666666666668E-4</v>
      </c>
      <c r="E50" s="277">
        <v>1.0524475595292945E-2</v>
      </c>
      <c r="F50" s="237">
        <v>3.7899259343644369E-3</v>
      </c>
      <c r="G50" s="278"/>
      <c r="H50" s="277">
        <v>0.23570087011954821</v>
      </c>
      <c r="I50" s="277">
        <v>0.14969288196010758</v>
      </c>
      <c r="J50" s="277">
        <v>0.40001029392544374</v>
      </c>
      <c r="K50" s="277">
        <v>5.8728327302773671E-2</v>
      </c>
      <c r="L50" s="277">
        <v>0.15586762669212686</v>
      </c>
      <c r="M50" s="277"/>
      <c r="N50" s="277">
        <v>0.23548556205343996</v>
      </c>
      <c r="O50" s="277">
        <v>0.37053516500341949</v>
      </c>
      <c r="P50" s="277">
        <f t="shared" si="0"/>
        <v>0.26473460281340588</v>
      </c>
      <c r="Q50" s="277">
        <v>9.8634625549997856E-2</v>
      </c>
      <c r="R50" s="277">
        <v>3.0610044579736817E-2</v>
      </c>
      <c r="S50" s="14"/>
      <c r="T50" s="14">
        <f>SUMPRODUCT(H50:L50,B50:F50)</f>
        <v>6.2659555579385341E-3</v>
      </c>
      <c r="U50" s="14">
        <f>SUMPRODUCT(N50:R50,B50:F50)</f>
        <v>1.1542499989006997E-2</v>
      </c>
      <c r="V50" s="273">
        <f>SUMPRODUCT(N50:R50,B50:F50)-T50</f>
        <v>5.2765444310684632E-3</v>
      </c>
      <c r="W50" s="14"/>
      <c r="X50" s="14">
        <f t="shared" si="1"/>
        <v>3.765955557938534E-3</v>
      </c>
      <c r="Y50" s="14">
        <f t="shared" si="2"/>
        <v>9.0424999890069968E-3</v>
      </c>
      <c r="Z50" s="14"/>
      <c r="AA50" s="14">
        <f>(N50-H50)*(B50-$T50)</f>
        <v>9.4941288419432361E-8</v>
      </c>
      <c r="AB50" s="14">
        <f>(O50-I50)*(C50-$T50)</f>
        <v>3.9678988228534781E-3</v>
      </c>
      <c r="AC50" s="14">
        <f>(P50-J50)*(D50-$T50)</f>
        <v>8.2846741233657791E-4</v>
      </c>
      <c r="AD50" s="14">
        <f>(Q50-K50)*(E50-$T50)</f>
        <v>1.6994177070244542E-4</v>
      </c>
      <c r="AE50" s="14">
        <f>(R50-L50)*(F50-$T50)</f>
        <v>3.1014148388754272E-4</v>
      </c>
      <c r="AF50" s="14"/>
      <c r="AG50" s="273">
        <f t="shared" si="3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6">
        <v>45688</v>
      </c>
      <c r="B51" s="277">
        <v>-4.9249999999999997E-3</v>
      </c>
      <c r="C51" s="277">
        <v>7.7867756826512039E-3</v>
      </c>
      <c r="D51" s="277">
        <v>9.116666666666667E-3</v>
      </c>
      <c r="E51" s="277">
        <v>-3.9931153013642584E-3</v>
      </c>
      <c r="F51" s="237">
        <v>2.3489595380995886E-3</v>
      </c>
      <c r="G51" s="278"/>
      <c r="H51" s="277">
        <v>0.22795545251452262</v>
      </c>
      <c r="I51" s="277">
        <v>0.1529505152955096</v>
      </c>
      <c r="J51" s="277">
        <v>0.4090310748362353</v>
      </c>
      <c r="K51" s="277">
        <v>6.1439425592740023E-2</v>
      </c>
      <c r="L51" s="277">
        <v>0.14862353176099252</v>
      </c>
      <c r="M51" s="277"/>
      <c r="N51" s="277">
        <v>0.23577321092708867</v>
      </c>
      <c r="O51" s="277">
        <v>0.30788080780663563</v>
      </c>
      <c r="P51" s="277">
        <f t="shared" si="0"/>
        <v>0.18095363663727393</v>
      </c>
      <c r="Q51" s="277">
        <v>0.16372637381884125</v>
      </c>
      <c r="R51" s="277">
        <v>0.1116659708101605</v>
      </c>
      <c r="S51" s="14"/>
      <c r="T51" s="14">
        <f>SUMPRODUCT(H51:L51,B51:F51)</f>
        <v>3.9010866671829961E-3</v>
      </c>
      <c r="U51" s="14">
        <f>SUMPRODUCT(N51:R51,B51:F51)</f>
        <v>2.4944302695937321E-3</v>
      </c>
      <c r="V51" s="273">
        <f>SUMPRODUCT(N51:R51,B51:F51)-T51</f>
        <v>-1.4066563975892641E-3</v>
      </c>
      <c r="W51" s="14"/>
      <c r="X51" s="14">
        <f t="shared" si="1"/>
        <v>1.4010866671829961E-3</v>
      </c>
      <c r="Y51" s="14">
        <f t="shared" si="2"/>
        <v>-5.5697304062679934E-6</v>
      </c>
      <c r="Z51" s="14"/>
      <c r="AA51" s="14">
        <f>(N51-H51)*(B51-$T51)</f>
        <v>-6.9000213292406872E-5</v>
      </c>
      <c r="AB51" s="14">
        <f>(O51-I51)*(C51-$T51)</f>
        <v>6.0201093577375877E-4</v>
      </c>
      <c r="AC51" s="14">
        <f>(P51-J51)*(D51-$T51)</f>
        <v>-1.189556125003976E-3</v>
      </c>
      <c r="AD51" s="14">
        <f>(Q51-K51)*(E51-$T51)</f>
        <v>-8.0747382804317945E-4</v>
      </c>
      <c r="AE51" s="14">
        <f>(R51-L51)*(F51-$T51)</f>
        <v>5.7362832976539962E-5</v>
      </c>
      <c r="AF51" s="14"/>
      <c r="AG51" s="273">
        <f t="shared" si="3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6">
        <v>45716</v>
      </c>
      <c r="B52" s="277">
        <v>3.8999999999999998E-3</v>
      </c>
      <c r="C52" s="277">
        <v>1.6201566736816313E-2</v>
      </c>
      <c r="D52" s="277">
        <v>-2.4833333333333331E-3</v>
      </c>
      <c r="E52" s="277">
        <v>1.5614668069659568E-3</v>
      </c>
      <c r="F52" s="237">
        <v>2.4323475247473112E-3</v>
      </c>
      <c r="G52" s="278"/>
      <c r="H52" s="277">
        <v>0.2311502544010246</v>
      </c>
      <c r="I52" s="277">
        <v>0.15469197982341024</v>
      </c>
      <c r="J52" s="277">
        <v>0.40433602880598341</v>
      </c>
      <c r="K52" s="277">
        <v>5.8061662096225555E-2</v>
      </c>
      <c r="L52" s="277">
        <v>0.15176007487335605</v>
      </c>
      <c r="M52" s="277"/>
      <c r="N52" s="277">
        <v>0.20556518280051667</v>
      </c>
      <c r="O52" s="277">
        <v>0.3268065380782445</v>
      </c>
      <c r="P52" s="277">
        <f t="shared" si="0"/>
        <v>7.2972370497000449E-2</v>
      </c>
      <c r="Q52" s="277">
        <v>0.20854148401405931</v>
      </c>
      <c r="R52" s="277">
        <v>0.18611442461017902</v>
      </c>
      <c r="S52" s="14"/>
      <c r="T52" s="14">
        <f>SUMPRODUCT(H52:L52,B52:F52)</f>
        <v>2.8634318893158979E-3</v>
      </c>
      <c r="U52" s="14">
        <f>SUMPRODUCT(N52:R52,B52:F52)</f>
        <v>6.6935929947407576E-3</v>
      </c>
      <c r="V52" s="273">
        <f>SUMPRODUCT(N52:R52,B52:F52)-T52</f>
        <v>3.8301611054248597E-3</v>
      </c>
      <c r="W52" s="14"/>
      <c r="X52" s="14">
        <f t="shared" si="1"/>
        <v>3.6343188931589783E-4</v>
      </c>
      <c r="Y52" s="14">
        <f t="shared" si="2"/>
        <v>4.193592994740758E-3</v>
      </c>
      <c r="Z52" s="14"/>
      <c r="AA52" s="14">
        <f>(N52-H52)*(B52-$T52)</f>
        <v>-2.6520669330655984E-5</v>
      </c>
      <c r="AB52" s="14">
        <f>(O52-I52)*(C52-$T52)</f>
        <v>2.2956871872209452E-3</v>
      </c>
      <c r="AC52" s="14">
        <f>(P52-J52)*(D52-$T52)</f>
        <v>1.7717236842962928E-3</v>
      </c>
      <c r="AD52" s="14">
        <f>(Q52-K52)*(E52-$T52)</f>
        <v>-1.9591947373525691E-4</v>
      </c>
      <c r="AE52" s="14">
        <f>(R52-L52)*(F52-$T52)</f>
        <v>-1.4809623026465323E-5</v>
      </c>
      <c r="AF52" s="14"/>
      <c r="AG52" s="273">
        <f t="shared" si="3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6">
        <v>45747</v>
      </c>
      <c r="B53" s="277">
        <v>1.4449999999999999E-2</v>
      </c>
      <c r="C53" s="277">
        <v>3.8241038463159932E-2</v>
      </c>
      <c r="D53" s="277">
        <v>1.6566666666666667E-2</v>
      </c>
      <c r="E53" s="277">
        <v>2.4265410259653196E-2</v>
      </c>
      <c r="F53" s="237">
        <v>5.252889472619573E-3</v>
      </c>
      <c r="G53" s="278"/>
      <c r="H53" s="277">
        <v>0.23455561909136186</v>
      </c>
      <c r="I53" s="277">
        <v>0.15114895897134756</v>
      </c>
      <c r="J53" s="277">
        <v>0.41357680804938624</v>
      </c>
      <c r="K53" s="277">
        <v>5.6622295561095042E-2</v>
      </c>
      <c r="L53" s="277">
        <v>0.1440963183268093</v>
      </c>
      <c r="M53" s="277"/>
      <c r="N53" s="277">
        <v>0.27081373157571825</v>
      </c>
      <c r="O53" s="277">
        <v>0.36853875465199432</v>
      </c>
      <c r="P53" s="277">
        <f t="shared" si="0"/>
        <v>0.19078389786560651</v>
      </c>
      <c r="Q53" s="277">
        <v>0.11337027563523716</v>
      </c>
      <c r="R53" s="277">
        <v>5.6493340271443815E-2</v>
      </c>
      <c r="S53" s="14"/>
      <c r="T53" s="14">
        <f>SUMPRODUCT(H53:L53,B53:F53)</f>
        <v>1.8151896234793675E-2</v>
      </c>
      <c r="U53" s="14">
        <f>SUMPRODUCT(N53:R53,B53:F53)</f>
        <v>2.4214945876311962E-2</v>
      </c>
      <c r="V53" s="273">
        <f>SUMPRODUCT(N53:R53,B53:F53)-T53</f>
        <v>6.0630496415182873E-3</v>
      </c>
      <c r="W53" s="14"/>
      <c r="X53" s="14">
        <f t="shared" si="1"/>
        <v>1.5651896234793676E-2</v>
      </c>
      <c r="Y53" s="14">
        <f t="shared" si="2"/>
        <v>2.1714945876311963E-2</v>
      </c>
      <c r="Z53" s="14"/>
      <c r="AA53" s="14">
        <f>(N53-H53)*(B53-$T53)</f>
        <v>-1.342237700865645E-4</v>
      </c>
      <c r="AB53" s="14">
        <f>(O53-I53)*(C53-$T53)</f>
        <v>4.3671745244239935E-3</v>
      </c>
      <c r="AC53" s="14">
        <f>(P53-J53)*(D53-$T53)</f>
        <v>3.5317790879239234E-4</v>
      </c>
      <c r="AD53" s="14">
        <f>(Q53-K53)*(E53-$T53)</f>
        <v>3.4692957206571652E-4</v>
      </c>
      <c r="AE53" s="14">
        <f>(R53-L53)*(F53-$T53)</f>
        <v>1.129991406322749E-3</v>
      </c>
      <c r="AF53" s="14"/>
      <c r="AG53" s="273">
        <f t="shared" si="3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6">
        <v>45777</v>
      </c>
      <c r="B54" s="277">
        <v>1.5775000000000001E-2</v>
      </c>
      <c r="C54" s="277">
        <v>5.0001889052265318E-2</v>
      </c>
      <c r="D54" s="277">
        <v>7.2166666666666664E-3</v>
      </c>
      <c r="E54" s="277">
        <v>4.5562111437863977E-2</v>
      </c>
      <c r="F54" s="237">
        <v>7.0344416390918192E-3</v>
      </c>
      <c r="G54" s="278"/>
      <c r="H54" s="277">
        <v>0.23769856571892925</v>
      </c>
      <c r="I54" s="277">
        <v>0.15727584491139038</v>
      </c>
      <c r="J54" s="277">
        <v>0.40562234894414101</v>
      </c>
      <c r="K54" s="277">
        <v>5.7812811917609105E-2</v>
      </c>
      <c r="L54" s="277">
        <v>0.14159042850793019</v>
      </c>
      <c r="M54" s="277"/>
      <c r="N54" s="277">
        <v>0.26515040480389906</v>
      </c>
      <c r="O54" s="277">
        <v>0.37221409762340824</v>
      </c>
      <c r="P54" s="277">
        <f t="shared" si="0"/>
        <v>0.37728358967504139</v>
      </c>
      <c r="Q54" s="277">
        <v>0.15290321278567548</v>
      </c>
      <c r="R54" s="277">
        <v>-0.16755130488802417</v>
      </c>
      <c r="S54" s="14"/>
      <c r="T54" s="14">
        <f>SUMPRODUCT(H54:L54,B54:F54)</f>
        <v>1.8171108892076366E-2</v>
      </c>
      <c r="U54" s="14">
        <f>SUMPRODUCT(N54:R54,B54:F54)</f>
        <v>3.1304848898684325E-2</v>
      </c>
      <c r="V54" s="273">
        <f>SUMPRODUCT(N54:R54,B54:F54)-T54</f>
        <v>1.3133740006607959E-2</v>
      </c>
      <c r="W54" s="14"/>
      <c r="X54" s="14">
        <f t="shared" si="1"/>
        <v>1.5671108892076367E-2</v>
      </c>
      <c r="Y54" s="14">
        <f t="shared" si="2"/>
        <v>2.8804848898684326E-2</v>
      </c>
      <c r="Z54" s="14"/>
      <c r="AA54" s="14">
        <f>(N54-H54)*(B54-$T54)</f>
        <v>-6.5777595735345675E-5</v>
      </c>
      <c r="AB54" s="14">
        <f>(O54-I54)*(C54-$T54)</f>
        <v>6.8416522700913765E-3</v>
      </c>
      <c r="AC54" s="14">
        <f>(P54-J54)*(D54-$T54)</f>
        <v>3.1043530115314541E-4</v>
      </c>
      <c r="AD54" s="14">
        <f>(Q54-K54)*(E54-$T54)</f>
        <v>2.6046214122571703E-3</v>
      </c>
      <c r="AE54" s="14">
        <f>(R54-L54)*(F54-$T54)</f>
        <v>3.4428086188416037E-3</v>
      </c>
      <c r="AF54" s="14"/>
      <c r="AG54" s="273">
        <f t="shared" si="3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6">
        <v>45808</v>
      </c>
      <c r="B55" s="277">
        <v>2.075E-3</v>
      </c>
      <c r="C55" s="277">
        <v>1.4320887907415453E-2</v>
      </c>
      <c r="D55" s="277">
        <v>-2.4083333333333335E-3</v>
      </c>
      <c r="E55" s="277">
        <v>-2.0248908518357596E-3</v>
      </c>
      <c r="F55" s="237">
        <v>2.5661378796467032E-3</v>
      </c>
      <c r="G55" s="278"/>
      <c r="H55" s="277">
        <v>0.23938146781661154</v>
      </c>
      <c r="I55" s="277">
        <v>0.15703318353854309</v>
      </c>
      <c r="J55" s="277">
        <v>0.40122878952655461</v>
      </c>
      <c r="K55" s="277">
        <v>5.6836297075055754E-2</v>
      </c>
      <c r="L55" s="277">
        <v>0.14552026204323493</v>
      </c>
      <c r="M55" s="277"/>
      <c r="N55" s="277">
        <v>0.21855459964736904</v>
      </c>
      <c r="O55" s="277">
        <v>0.43581700934558365</v>
      </c>
      <c r="P55" s="277">
        <f t="shared" si="0"/>
        <v>0.2293950948567873</v>
      </c>
      <c r="Q55" s="277">
        <v>0.17764794707370571</v>
      </c>
      <c r="R55" s="277">
        <v>-6.1414650923445668E-2</v>
      </c>
      <c r="S55" s="14"/>
      <c r="T55" s="14">
        <f>SUMPRODUCT(H55:L55,B55:F55)</f>
        <v>2.0376162554955161E-3</v>
      </c>
      <c r="U55" s="14">
        <f>SUMPRODUCT(N55:R55,B55:F55)</f>
        <v>5.6250113148277811E-3</v>
      </c>
      <c r="V55" s="273">
        <f>SUMPRODUCT(N55:R55,B55:F55)-T55</f>
        <v>3.587395059332265E-3</v>
      </c>
      <c r="W55" s="14"/>
      <c r="X55" s="14">
        <f t="shared" si="1"/>
        <v>-4.6238374450448391E-4</v>
      </c>
      <c r="Y55" s="14">
        <f t="shared" si="2"/>
        <v>3.1250113148277811E-3</v>
      </c>
      <c r="Z55" s="14"/>
      <c r="AA55" s="14">
        <f>(N55-H55)*(B55-$T55)</f>
        <v>-7.7858631846752976E-7</v>
      </c>
      <c r="AB55" s="14">
        <f>(O55-I55)*(C55-$T55)</f>
        <v>3.4243774645494065E-3</v>
      </c>
      <c r="AC55" s="14">
        <f>(P55-J55)*(D55-$T55)</f>
        <v>7.6396394416399405E-4</v>
      </c>
      <c r="AD55" s="14">
        <f>(Q55-K55)*(E55-$T55)</f>
        <v>-4.9079818676793399E-4</v>
      </c>
      <c r="AE55" s="14">
        <f>(R55-L55)*(F55-$T55)</f>
        <v>-1.0936957629473455E-4</v>
      </c>
      <c r="AF55" s="14"/>
      <c r="AG55" s="273">
        <f t="shared" si="3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6">
        <v>45838</v>
      </c>
      <c r="B56" s="277">
        <v>-4.4250000000000001E-3</v>
      </c>
      <c r="C56" s="277">
        <v>8.4368711795948913E-3</v>
      </c>
      <c r="D56" s="277">
        <v>-1.0258333333333333E-2</v>
      </c>
      <c r="E56" s="277">
        <v>-4.9179243074768848E-3</v>
      </c>
      <c r="F56" s="237">
        <v>2.0068667537282456E-3</v>
      </c>
      <c r="G56" s="278"/>
      <c r="H56" s="277">
        <v>0.23694721345560243</v>
      </c>
      <c r="I56" s="277">
        <v>0.16188712339518488</v>
      </c>
      <c r="J56" s="277">
        <v>0.38771493901610082</v>
      </c>
      <c r="K56" s="277">
        <v>5.9351023097204081E-2</v>
      </c>
      <c r="L56" s="277">
        <v>0.15409970103590789</v>
      </c>
      <c r="M56" s="277"/>
      <c r="N56" s="277">
        <v>0.24539043137457772</v>
      </c>
      <c r="O56" s="277">
        <v>0.31942516458996933</v>
      </c>
      <c r="P56" s="277">
        <f t="shared" si="0"/>
        <v>0.18896229301166889</v>
      </c>
      <c r="Q56" s="277">
        <v>0.17679094886270635</v>
      </c>
      <c r="R56" s="277">
        <v>6.9431162161077697E-2</v>
      </c>
      <c r="S56" s="14"/>
      <c r="T56" s="14">
        <f>SUMPRODUCT(H56:L56,B56:F56)</f>
        <v>-3.6426059689557864E-3</v>
      </c>
      <c r="U56" s="14">
        <f>SUMPRODUCT(N56:R56,B56:F56)</f>
        <v>-1.0594472965507677E-3</v>
      </c>
      <c r="V56" s="273">
        <f>SUMPRODUCT(N56:R56,B56:F56)-T56</f>
        <v>2.5831586724050187E-3</v>
      </c>
      <c r="W56" s="14"/>
      <c r="X56" s="14">
        <f t="shared" si="1"/>
        <v>-6.142605968955786E-3</v>
      </c>
      <c r="Y56" s="14">
        <f t="shared" si="2"/>
        <v>-3.5594472965507678E-3</v>
      </c>
      <c r="Z56" s="14"/>
      <c r="AA56" s="14">
        <f>(N56-H56)*(B56-$T56)</f>
        <v>-6.6059233026118125E-6</v>
      </c>
      <c r="AB56" s="14">
        <f>(O56-I56)*(C56-$T56)</f>
        <v>1.902977168639834E-3</v>
      </c>
      <c r="AC56" s="14">
        <f>(P56-J56)*(D56-$T56)</f>
        <v>1.314893318913964E-3</v>
      </c>
      <c r="AD56" s="14">
        <f>(Q56-K56)*(E56-$T56)</f>
        <v>-1.497732910033015E-4</v>
      </c>
      <c r="AE56" s="14">
        <f>(R56-L56)*(F56-$T56)</f>
        <v>-4.7833260084286574E-4</v>
      </c>
      <c r="AF56" s="14"/>
      <c r="AG56" s="273">
        <f t="shared" si="3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6">
        <v>45869</v>
      </c>
      <c r="B57" s="277">
        <v>5.0000000000000002E-5</v>
      </c>
      <c r="C57" s="277">
        <v>1.1699246064577163E-2</v>
      </c>
      <c r="D57" s="277">
        <v>5.1166666666666661E-3</v>
      </c>
      <c r="E57" s="277">
        <v>-6.6931745375123398E-3</v>
      </c>
      <c r="F57" s="237">
        <v>3.3793823996725409E-3</v>
      </c>
      <c r="G57" s="278"/>
      <c r="H57" s="277">
        <v>0.23523916989346488</v>
      </c>
      <c r="I57" s="277">
        <v>0.15801523859039429</v>
      </c>
      <c r="J57" s="277">
        <v>0.39271956727399238</v>
      </c>
      <c r="K57" s="277">
        <v>6.034884488804769E-2</v>
      </c>
      <c r="L57" s="277">
        <v>0.15367717935410063</v>
      </c>
      <c r="M57" s="277"/>
      <c r="N57" s="277">
        <v>0.21775110224916588</v>
      </c>
      <c r="O57" s="277">
        <v>0.34390195679103036</v>
      </c>
      <c r="P57" s="277">
        <f t="shared" si="0"/>
        <v>0.26118558283978366</v>
      </c>
      <c r="Q57" s="277">
        <v>0.10899561459298517</v>
      </c>
      <c r="R57" s="277">
        <v>6.8165743527034972E-2</v>
      </c>
      <c r="S57" s="14"/>
      <c r="T57" s="14">
        <f>SUMPRODUCT(H57:L57,B57:F57)</f>
        <v>3.9852448391027653E-3</v>
      </c>
      <c r="U57" s="14">
        <f>SUMPRODUCT(N57:R57,B57:F57)</f>
        <v>4.8715121768721096E-3</v>
      </c>
      <c r="V57" s="273">
        <f>SUMPRODUCT(N57:R57,B57:F57)-T57</f>
        <v>8.8626733776934422E-4</v>
      </c>
      <c r="W57" s="14"/>
      <c r="X57" s="14">
        <f t="shared" si="1"/>
        <v>1.4852448391027653E-3</v>
      </c>
      <c r="Y57" s="14">
        <f t="shared" si="2"/>
        <v>2.3715121768721095E-3</v>
      </c>
      <c r="Z57" s="14"/>
      <c r="AA57" s="14">
        <f>(N57-H57)*(B57-$T57)</f>
        <v>6.8819827943107702E-5</v>
      </c>
      <c r="AB57" s="14">
        <f>(O57-I57)*(C57-$T57)</f>
        <v>1.4339303719991207E-3</v>
      </c>
      <c r="AC57" s="14">
        <f>(P57-J57)*(D57-$T57)</f>
        <v>-1.488204210553141E-4</v>
      </c>
      <c r="AD57" s="14">
        <f>(Q57-K57)*(E57-$T57)</f>
        <v>-5.1947060822693698E-4</v>
      </c>
      <c r="AE57" s="14">
        <f>(R57-L57)*(F57-$T57)</f>
        <v>5.1808167109367091E-5</v>
      </c>
      <c r="AF57" s="14"/>
      <c r="AG57" s="273">
        <f t="shared" si="3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6">
        <v>45900</v>
      </c>
      <c r="B58" s="277">
        <v>7.6249999999999998E-3</v>
      </c>
      <c r="C58" s="277">
        <v>3.7865462784655385E-2</v>
      </c>
      <c r="D58" s="277">
        <v>1.7441666666666668E-2</v>
      </c>
      <c r="E58" s="277">
        <v>3.2889258902644117E-2</v>
      </c>
      <c r="F58" s="237">
        <v>4.8887897692155092E-3</v>
      </c>
      <c r="G58" s="278"/>
      <c r="H58" s="277">
        <v>0.22992716763217141</v>
      </c>
      <c r="I58" s="277">
        <v>0.16430388609877561</v>
      </c>
      <c r="J58" s="277">
        <v>0.39847791571972019</v>
      </c>
      <c r="K58" s="277">
        <v>6.5013490189813672E-2</v>
      </c>
      <c r="L58" s="277">
        <v>0.14227754035951917</v>
      </c>
      <c r="M58" s="277"/>
      <c r="N58" s="277">
        <v>0.22393588608877874</v>
      </c>
      <c r="O58" s="277">
        <v>0.31744511158204408</v>
      </c>
      <c r="P58" s="277">
        <f t="shared" si="0"/>
        <v>0.30935412397653389</v>
      </c>
      <c r="Q58" s="277">
        <v>0.1468955837211261</v>
      </c>
      <c r="R58" s="277">
        <v>2.3692946315171381E-3</v>
      </c>
      <c r="S58" s="14"/>
      <c r="T58" s="14">
        <f>SUMPRODUCT(H58:L58,B58:F58)</f>
        <v>1.7758566812370265E-2</v>
      </c>
      <c r="U58" s="14">
        <f>SUMPRODUCT(N58:R58,B58:F58)</f>
        <v>2.3966238570578953E-2</v>
      </c>
      <c r="V58" s="273">
        <f>SUMPRODUCT(N58:R58,B58:F58)-T58</f>
        <v>6.2076717582086882E-3</v>
      </c>
      <c r="W58" s="14"/>
      <c r="X58" s="14">
        <f t="shared" si="1"/>
        <v>1.5258566812370264E-2</v>
      </c>
      <c r="Y58" s="14">
        <f t="shared" si="2"/>
        <v>2.1466238570578954E-2</v>
      </c>
      <c r="Z58" s="14"/>
      <c r="AA58" s="14">
        <f>(N58-H58)*(B58-$T58)</f>
        <v>6.0713051811690551E-5</v>
      </c>
      <c r="AB58" s="14">
        <f>(O58-I58)*(C58-$T58)</f>
        <v>3.0791946898603381E-3</v>
      </c>
      <c r="AC58" s="14">
        <f>(P58-J58)*(D58-$T58)</f>
        <v>2.8243342589072766E-5</v>
      </c>
      <c r="AD58" s="14">
        <f>(Q58-K58)*(E58-$T58)</f>
        <v>1.2389327449292926E-3</v>
      </c>
      <c r="AE58" s="14">
        <f>(R58-L58)*(F58-$T58)</f>
        <v>1.8005879290182952E-3</v>
      </c>
      <c r="AF58" s="14"/>
      <c r="AG58" s="273">
        <f t="shared" si="3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6">
        <v>45930</v>
      </c>
      <c r="B59" s="277">
        <v>6.1000000000000004E-3</v>
      </c>
      <c r="C59" s="277">
        <v>2.5346912966114181E-2</v>
      </c>
      <c r="D59" s="277">
        <v>-1.2808333333333333E-2</v>
      </c>
      <c r="E59" s="277">
        <v>1.5002159265561692E-2</v>
      </c>
      <c r="F59" s="237">
        <v>4.6026180718098482E-3</v>
      </c>
      <c r="G59" s="278"/>
      <c r="H59" s="277">
        <v>0.23510269941130726</v>
      </c>
      <c r="I59" s="277">
        <v>0.17176882301781529</v>
      </c>
      <c r="J59" s="277">
        <v>0.37736483837009566</v>
      </c>
      <c r="K59" s="277">
        <v>6.3154359942871635E-2</v>
      </c>
      <c r="L59" s="277">
        <v>0.15260927925791015</v>
      </c>
      <c r="M59" s="277"/>
      <c r="N59" s="277">
        <v>0.27679076811365855</v>
      </c>
      <c r="O59" s="277">
        <v>0.46696802774768525</v>
      </c>
      <c r="P59" s="277">
        <f t="shared" si="0"/>
        <v>0.2623298608965442</v>
      </c>
      <c r="Q59" s="277">
        <v>0.13893715463041936</v>
      </c>
      <c r="R59" s="277">
        <v>-0.14502581138830739</v>
      </c>
      <c r="S59" s="14"/>
      <c r="T59" s="14">
        <f>SUMPRODUCT(H59:L59,B59:F59)</f>
        <v>2.6043752284256707E-3</v>
      </c>
      <c r="U59" s="14">
        <f>SUMPRODUCT(N59:R59,B59:F59)</f>
        <v>1.1581472242416797E-2</v>
      </c>
      <c r="V59" s="273">
        <f>SUMPRODUCT(N59:R59,B59:F59)-T59</f>
        <v>8.9770970139911276E-3</v>
      </c>
      <c r="W59" s="14"/>
      <c r="X59" s="14">
        <f t="shared" si="1"/>
        <v>1.0437522842567061E-4</v>
      </c>
      <c r="Y59" s="14">
        <f t="shared" si="2"/>
        <v>9.0814722424167969E-3</v>
      </c>
      <c r="Z59" s="14"/>
      <c r="AA59" s="14">
        <f>(N59-H59)*(B59-$T59)</f>
        <v>1.4572584563503168E-4</v>
      </c>
      <c r="AB59" s="14">
        <f>(O59-I59)*(C59-$T59)</f>
        <v>6.7135790537047038E-3</v>
      </c>
      <c r="AC59" s="14">
        <f>(P59-J59)*(D59-$T59)</f>
        <v>1.7730005822083608E-3</v>
      </c>
      <c r="AD59" s="14">
        <f>(Q59-K59)*(E59-$T59)</f>
        <v>9.3953872226683571E-4</v>
      </c>
      <c r="AE59" s="14">
        <f>(R59-L59)*(F59-$T59)</f>
        <v>-5.9474718982380507E-4</v>
      </c>
      <c r="AF59" s="14"/>
      <c r="AG59" s="273">
        <f t="shared" si="3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6">
        <v>45961</v>
      </c>
      <c r="B60" s="277">
        <v>-1.46E-2</v>
      </c>
      <c r="C60" s="277">
        <v>-5.352402956371953E-3</v>
      </c>
      <c r="D60" s="277">
        <v>1.0166666666666666E-3</v>
      </c>
      <c r="E60" s="277">
        <v>-1.2346472579410572E-2</v>
      </c>
      <c r="F60" s="237">
        <v>8.9195655710922427E-4</v>
      </c>
      <c r="G60" s="278"/>
      <c r="H60" s="277">
        <v>0.22136678355487546</v>
      </c>
      <c r="I60" s="277">
        <v>0.18431447073070961</v>
      </c>
      <c r="J60" s="277">
        <v>0.37888932582494061</v>
      </c>
      <c r="K60" s="277">
        <v>6.8028057809600209E-2</v>
      </c>
      <c r="L60" s="277">
        <v>0.14740136207987412</v>
      </c>
      <c r="M60" s="277"/>
      <c r="N60" s="277">
        <v>0.24813259078629799</v>
      </c>
      <c r="O60" s="277">
        <v>0.52264718928792209</v>
      </c>
      <c r="P60" s="277">
        <f t="shared" si="0"/>
        <v>0.21919022315306552</v>
      </c>
      <c r="Q60" s="277">
        <v>0.18266844519620767</v>
      </c>
      <c r="R60" s="277">
        <v>-0.1726384484234933</v>
      </c>
      <c r="S60" s="14"/>
      <c r="T60" s="14">
        <f>SUMPRODUCT(H60:L60,B60:F60)</f>
        <v>-4.5417071489631524E-3</v>
      </c>
      <c r="U60" s="14">
        <f>SUMPRODUCT(N60:R60,B60:F60)</f>
        <v>-8.6066077388442051E-3</v>
      </c>
      <c r="V60" s="273">
        <f>SUMPRODUCT(N60:R60,B60:F60)-T60</f>
        <v>-4.0649005898810526E-3</v>
      </c>
      <c r="W60" s="14"/>
      <c r="X60" s="14">
        <f t="shared" si="1"/>
        <v>-7.0417071489631521E-3</v>
      </c>
      <c r="Y60" s="14">
        <f t="shared" si="2"/>
        <v>-1.1106607738844206E-2</v>
      </c>
      <c r="Z60" s="14"/>
      <c r="AA60" s="14">
        <f>(N60-H60)*(B60-$T60)</f>
        <v>-2.6921832752804754E-4</v>
      </c>
      <c r="AB60" s="14">
        <f>(O60-I60)*(C60-$T60)</f>
        <v>-2.7428491644355388E-4</v>
      </c>
      <c r="AC60" s="14">
        <f>(P60-J60)*(D60-$T60)</f>
        <v>-8.8766731067092862E-4</v>
      </c>
      <c r="AD60" s="14">
        <f>(Q60-K60)*(E60-$T60)</f>
        <v>-8.9474133240809433E-4</v>
      </c>
      <c r="AE60" s="14">
        <f>(R60-L60)*(F60-$T60)</f>
        <v>-1.7389887028304283E-3</v>
      </c>
      <c r="AF60" s="14"/>
      <c r="AG60" s="273">
        <f t="shared" si="3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6">
        <v>45991</v>
      </c>
      <c r="B61" s="277">
        <v>7.0000000000000001E-3</v>
      </c>
      <c r="C61" s="277">
        <v>2.1378394265932729E-2</v>
      </c>
      <c r="D61" s="277">
        <v>5.0666666666666664E-3</v>
      </c>
      <c r="E61" s="277">
        <v>4.740121865198791E-3</v>
      </c>
      <c r="F61" s="237">
        <v>3.4715550032863394E-3</v>
      </c>
      <c r="G61" s="278"/>
      <c r="H61" s="277">
        <v>0.22460750024147272</v>
      </c>
      <c r="I61" s="277">
        <v>0.18160369813454552</v>
      </c>
      <c r="J61" s="277">
        <v>0.38154410968542807</v>
      </c>
      <c r="K61" s="277">
        <v>6.5478760487239551E-2</v>
      </c>
      <c r="L61" s="277">
        <v>0.14676593145131403</v>
      </c>
      <c r="M61" s="277"/>
      <c r="N61" s="277">
        <v>0.23015472786843019</v>
      </c>
      <c r="O61" s="277">
        <v>0.36591396643123103</v>
      </c>
      <c r="P61" s="277">
        <f t="shared" si="0"/>
        <v>0.23268377369772653</v>
      </c>
      <c r="Q61" s="277">
        <v>9.2516959259591747E-2</v>
      </c>
      <c r="R61" s="277">
        <v>7.8730572743020533E-2</v>
      </c>
      <c r="S61" s="14"/>
      <c r="T61" s="14">
        <f>SUMPRODUCT(H61:L61,B61:F61)</f>
        <v>8.2076880909016919E-3</v>
      </c>
      <c r="U61" s="14">
        <f>SUMPRODUCT(N61:R61,B61:F61)</f>
        <v>1.1324526432131349E-2</v>
      </c>
      <c r="V61" s="273">
        <f>SUMPRODUCT(N61:R61,B61:F61)-T61</f>
        <v>3.1168383412296576E-3</v>
      </c>
      <c r="W61" s="14"/>
      <c r="X61" s="14">
        <f t="shared" si="1"/>
        <v>5.7076880909016914E-3</v>
      </c>
      <c r="Y61" s="14">
        <f t="shared" si="2"/>
        <v>8.824526432131349E-3</v>
      </c>
      <c r="Z61" s="14"/>
      <c r="AA61" s="14">
        <f>(N61-H61)*(B61-$T61)</f>
        <v>-6.6993207425973933E-6</v>
      </c>
      <c r="AB61" s="14">
        <f>(O61-I61)*(C61-$T61)</f>
        <v>2.4274963887767832E-3</v>
      </c>
      <c r="AC61" s="14">
        <f>(P61-J61)*(D61-$T61)</f>
        <v>4.6757350455619472E-4</v>
      </c>
      <c r="AD61" s="14">
        <f>(Q61-K61)*(E61-$T61)</f>
        <v>-9.3756744866850113E-5</v>
      </c>
      <c r="AE61" s="14">
        <f>(R61-L61)*(F61-$T61)</f>
        <v>3.2222451350612816E-4</v>
      </c>
      <c r="AF61" s="14"/>
      <c r="AG61" s="273">
        <f t="shared" si="3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6">
        <v>46022</v>
      </c>
      <c r="B62" s="277">
        <v>-3.5000000000000001E-3</v>
      </c>
      <c r="C62" s="277">
        <v>1.5593996872262506E-2</v>
      </c>
      <c r="D62" s="277">
        <v>3.5416666666666669E-3</v>
      </c>
      <c r="E62" s="277">
        <v>5.1963270778583454E-3</v>
      </c>
      <c r="F62" s="237">
        <v>3.3028005629380641E-3</v>
      </c>
      <c r="G62" s="278"/>
      <c r="H62" s="277">
        <v>0.21777208779741808</v>
      </c>
      <c r="I62" s="277">
        <v>0.19096438391370774</v>
      </c>
      <c r="J62" s="277">
        <v>0.38050041155442765</v>
      </c>
      <c r="K62" s="277">
        <v>6.8160596849137542E-2</v>
      </c>
      <c r="L62" s="277">
        <v>0.14260251988530909</v>
      </c>
      <c r="M62" s="277"/>
      <c r="N62" s="277">
        <v>0.2300528503984216</v>
      </c>
      <c r="O62" s="277">
        <v>0.38114191621836813</v>
      </c>
      <c r="P62" s="277">
        <f>1-N62-O62-Q62-R62</f>
        <v>0.21245699057956385</v>
      </c>
      <c r="Q62" s="277">
        <v>0.11511456954040016</v>
      </c>
      <c r="R62" s="277">
        <v>6.1233673263246247E-2</v>
      </c>
      <c r="S62" s="14"/>
      <c r="T62" s="14">
        <f>SUMPRODUCT(H62:L62,B62:F62)</f>
        <v>4.3884737604319409E-3</v>
      </c>
      <c r="U62" s="14">
        <f>SUMPRODUCT(N62:R62,B62:F62)</f>
        <v>6.6912082799222552E-3</v>
      </c>
      <c r="V62" s="273">
        <f>SUMPRODUCT(N62:R62,B62:F62)-T62</f>
        <v>2.3027345194903143E-3</v>
      </c>
      <c r="W62" s="14"/>
      <c r="X62" s="14">
        <f t="shared" si="1"/>
        <v>1.8884737604319408E-3</v>
      </c>
      <c r="Y62" s="14">
        <f t="shared" si="2"/>
        <v>4.1912082799222556E-3</v>
      </c>
      <c r="Z62" s="14"/>
      <c r="AA62" s="14">
        <f>(N62-H62)*(B62-$T62)</f>
        <v>-9.6876473536110225E-5</v>
      </c>
      <c r="AB62" s="14">
        <f>(O62-I62)*(C62-$T62)</f>
        <v>2.1310387335907758E-3</v>
      </c>
      <c r="AC62" s="14">
        <f>(P62-J62)*(D62-$T62)</f>
        <v>1.423003609420989E-4</v>
      </c>
      <c r="AD62" s="14">
        <f>(Q62-K62)*(E62-$T62)</f>
        <v>3.7931922604985302E-5</v>
      </c>
      <c r="AE62" s="14">
        <f>(R62-L62)*(F62-$T62)</f>
        <v>8.8339975888563802E-5</v>
      </c>
      <c r="AF62" s="14"/>
      <c r="AG62" s="273">
        <f t="shared" si="3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50" t="s">
        <v>822</v>
      </c>
      <c r="U64" s="250"/>
      <c r="V64" s="250"/>
      <c r="AA64" s="250" t="s">
        <v>820</v>
      </c>
      <c r="AB64" s="250"/>
      <c r="AC64" s="250"/>
      <c r="AD64" s="250"/>
      <c r="AE64" s="250"/>
    </row>
    <row r="65" spans="19:51">
      <c r="S65" s="1" t="s">
        <v>579</v>
      </c>
      <c r="T65" s="199">
        <f>AVERAGE(T3:T62)</f>
        <v>6.0015964866706817E-3</v>
      </c>
      <c r="U65" s="199">
        <f>AVERAGE(U3:U62)</f>
        <v>9.9004118716199668E-3</v>
      </c>
      <c r="V65" s="244">
        <f>AVERAGE(V3:V62)</f>
        <v>3.8988153849492898E-3</v>
      </c>
      <c r="AA65" s="246" t="s">
        <v>8</v>
      </c>
      <c r="AB65" s="246" t="s">
        <v>9</v>
      </c>
      <c r="AC65" s="246" t="s">
        <v>10</v>
      </c>
      <c r="AD65" s="246" t="s">
        <v>467</v>
      </c>
      <c r="AE65" s="246" t="s">
        <v>468</v>
      </c>
      <c r="AG65" s="246" t="s">
        <v>20</v>
      </c>
    </row>
    <row r="66" spans="19:51">
      <c r="S66" s="1" t="s">
        <v>818</v>
      </c>
      <c r="T66" s="199">
        <f>T65*12</f>
        <v>7.2019157840048184E-2</v>
      </c>
      <c r="U66" s="199">
        <f>U65*12</f>
        <v>0.11880494245943959</v>
      </c>
      <c r="V66" s="244">
        <f>V65*12</f>
        <v>4.6785784619391479E-2</v>
      </c>
      <c r="X66" s="14"/>
      <c r="Z66" s="1" t="s">
        <v>579</v>
      </c>
      <c r="AA66" s="199">
        <f>AVERAGE(AA3:AA62)</f>
        <v>-5.4791854870106017E-5</v>
      </c>
      <c r="AB66" s="199">
        <f>AVERAGE(AB3:AB62)</f>
        <v>3.0218343148934929E-3</v>
      </c>
      <c r="AC66" s="199">
        <f>AVERAGE(AC3:AC62)</f>
        <v>3.0161720393206525E-4</v>
      </c>
      <c r="AD66" s="199">
        <f>AVERAGE(AD3:AD62)</f>
        <v>1.2188748107737852E-4</v>
      </c>
      <c r="AE66" s="199">
        <f>AVERAGE(AE3:AE62)</f>
        <v>5.0826823991645853E-4</v>
      </c>
      <c r="AG66" s="244">
        <f>SUM(AA66:AE66)</f>
        <v>3.8988153849492894E-3</v>
      </c>
      <c r="AS66" s="250"/>
      <c r="AT66" s="250"/>
      <c r="AU66" s="250"/>
      <c r="AV66" s="250"/>
      <c r="AW66" s="250"/>
    </row>
    <row r="67" spans="19:51">
      <c r="T67" s="14"/>
      <c r="U67" s="14"/>
      <c r="V67" s="14"/>
      <c r="X67" s="14"/>
      <c r="Z67" s="1" t="s">
        <v>818</v>
      </c>
      <c r="AA67" s="199">
        <f>AA66*12</f>
        <v>-6.575022584412722E-4</v>
      </c>
      <c r="AB67" s="199">
        <f>AB66*12</f>
        <v>3.6262011778721917E-2</v>
      </c>
      <c r="AC67" s="199">
        <f>AC66*12</f>
        <v>3.6194064471847831E-3</v>
      </c>
      <c r="AD67" s="199">
        <f>AD66*12</f>
        <v>1.4626497729285422E-3</v>
      </c>
      <c r="AE67" s="199">
        <f>AE66*12</f>
        <v>6.0992188789975024E-3</v>
      </c>
      <c r="AG67" s="244">
        <f>SUM(AA67:AE67)</f>
        <v>4.6785784619391473E-2</v>
      </c>
      <c r="AS67" s="3"/>
      <c r="AT67" s="3"/>
      <c r="AU67" s="3"/>
      <c r="AV67" s="3"/>
      <c r="AW67" s="3"/>
    </row>
    <row r="68" spans="19:51">
      <c r="T68" s="274" t="s">
        <v>823</v>
      </c>
      <c r="U68" s="274"/>
      <c r="V68" s="274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579</v>
      </c>
      <c r="T69" s="275">
        <f>INTERCEPT(Y3:Y62,X3:X62)</f>
        <v>2.2732518211335175E-3</v>
      </c>
      <c r="AA69" s="250" t="s">
        <v>821</v>
      </c>
      <c r="AB69" s="250"/>
      <c r="AC69" s="250"/>
      <c r="AD69" s="250"/>
      <c r="AE69" s="250"/>
      <c r="AG69" s="14"/>
      <c r="AS69" s="40"/>
      <c r="AT69" s="40"/>
      <c r="AU69" s="40"/>
      <c r="AV69" s="40"/>
      <c r="AW69" s="40"/>
      <c r="AY69" s="40"/>
    </row>
    <row r="70" spans="19:51">
      <c r="S70" s="1" t="s">
        <v>818</v>
      </c>
      <c r="T70" s="275">
        <f>T69*12</f>
        <v>2.727902185360221E-2</v>
      </c>
      <c r="AA70" s="246" t="s">
        <v>8</v>
      </c>
      <c r="AB70" s="246" t="s">
        <v>9</v>
      </c>
      <c r="AC70" s="246" t="s">
        <v>10</v>
      </c>
      <c r="AD70" s="246" t="s">
        <v>467</v>
      </c>
      <c r="AE70" s="246" t="s">
        <v>468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579</v>
      </c>
      <c r="AA71" s="199">
        <f>INTERCEPT(AA3:AA62,$X$3:$X$62)</f>
        <v>-6.3280927891016725E-5</v>
      </c>
      <c r="AB71" s="199">
        <f>INTERCEPT(AB3:AB62,$X$3:$X$62)</f>
        <v>2.2346518055031978E-3</v>
      </c>
      <c r="AC71" s="199">
        <f>INTERCEPT(AC3:AC62,$X$3:$X$62)</f>
        <v>1.7155095107188945E-4</v>
      </c>
      <c r="AD71" s="199">
        <f>INTERCEPT(AD3:AD62,$X$3:$X$62)</f>
        <v>-8.3861649854842006E-5</v>
      </c>
      <c r="AE71" s="199">
        <f>INTERCEPT(AE3:AE62,$X$3:$X$62)</f>
        <v>1.4191642304293072E-5</v>
      </c>
      <c r="AG71" s="275">
        <f>SUM(AA71:AE71)</f>
        <v>2.2732518211335219E-3</v>
      </c>
    </row>
    <row r="72" spans="19:51">
      <c r="Z72" s="1" t="s">
        <v>818</v>
      </c>
      <c r="AA72" s="199">
        <f>AA71*12</f>
        <v>-7.5937113469220076E-4</v>
      </c>
      <c r="AB72" s="199">
        <f>AB71*12</f>
        <v>2.6815821666038374E-2</v>
      </c>
      <c r="AC72" s="199">
        <f>AC71*12</f>
        <v>2.0586114128626734E-3</v>
      </c>
      <c r="AD72" s="199">
        <f>AD71*12</f>
        <v>-1.0063397982581041E-3</v>
      </c>
      <c r="AE72" s="199">
        <f>AE71*12</f>
        <v>1.7029970765151687E-4</v>
      </c>
      <c r="AG72" s="275">
        <f>SUM(AA72:AE72)</f>
        <v>2.7279021853602259E-2</v>
      </c>
      <c r="AV72" s="40"/>
    </row>
    <row r="74" spans="19:51">
      <c r="AA74" s="250" t="s">
        <v>234</v>
      </c>
      <c r="AB74" s="250"/>
      <c r="AC74" s="250"/>
      <c r="AD74" s="250"/>
      <c r="AE74" s="250"/>
    </row>
    <row r="75" spans="19:51">
      <c r="AA75" s="246" t="s">
        <v>8</v>
      </c>
      <c r="AB75" s="246" t="s">
        <v>9</v>
      </c>
      <c r="AC75" s="246" t="s">
        <v>10</v>
      </c>
      <c r="AD75" s="246" t="s">
        <v>467</v>
      </c>
      <c r="AE75" s="246" t="s">
        <v>468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74:AE74"/>
    <mergeCell ref="AY1:AZ1"/>
    <mergeCell ref="AS66:AW66"/>
    <mergeCell ref="AA64:AE64"/>
    <mergeCell ref="AA69:AE69"/>
    <mergeCell ref="T64:V64"/>
    <mergeCell ref="H1:L1"/>
    <mergeCell ref="N1:R1"/>
    <mergeCell ref="T1:V1"/>
    <mergeCell ref="AA1:AE1"/>
    <mergeCell ref="AG1:AK1"/>
    <mergeCell ref="AM1:AN1"/>
    <mergeCell ref="AP1:AQ1"/>
    <mergeCell ref="B1:F1"/>
    <mergeCell ref="X1:Y1"/>
  </mergeCells>
  <pageMargins left="0.7" right="0.7" top="0.75" bottom="0.75" header="0.3" footer="0.3"/>
  <ignoredErrors>
    <ignoredError sqref="T3:V6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2:C746"/>
  <sheetViews>
    <sheetView tabSelected="1" workbookViewId="0">
      <selection activeCell="M26" sqref="M26"/>
    </sheetView>
  </sheetViews>
  <sheetFormatPr defaultRowHeight="15"/>
  <cols>
    <col min="4" max="4" width="13.7109375" bestFit="1" customWidth="1"/>
  </cols>
  <sheetData>
    <row r="2" spans="1:3">
      <c r="A2" t="s">
        <v>568</v>
      </c>
      <c r="B2" t="s">
        <v>826</v>
      </c>
      <c r="C2" t="s">
        <v>827</v>
      </c>
    </row>
    <row r="3" spans="1:3">
      <c r="A3" t="s">
        <v>828</v>
      </c>
      <c r="B3">
        <v>-1.2037000000000001E-2</v>
      </c>
      <c r="C3">
        <v>1.462E-3</v>
      </c>
    </row>
    <row r="4" spans="1:3">
      <c r="A4" t="s">
        <v>829</v>
      </c>
      <c r="B4">
        <v>4.8301999999999998E-2</v>
      </c>
      <c r="C4">
        <v>1.7467E-2</v>
      </c>
    </row>
    <row r="5" spans="1:3">
      <c r="A5" t="s">
        <v>830</v>
      </c>
      <c r="B5">
        <v>-1.0779E-2</v>
      </c>
      <c r="C5">
        <v>-3.7469999999999999E-3</v>
      </c>
    </row>
    <row r="6" spans="1:3">
      <c r="A6" t="s">
        <v>831</v>
      </c>
      <c r="B6">
        <v>3.9569E-2</v>
      </c>
      <c r="C6">
        <v>1.6622000000000001E-2</v>
      </c>
    </row>
    <row r="7" spans="1:3">
      <c r="A7" t="s">
        <v>832</v>
      </c>
      <c r="B7">
        <v>5.0390000000000001E-3</v>
      </c>
      <c r="C7">
        <v>-4.9620000000000003E-3</v>
      </c>
    </row>
    <row r="8" spans="1:3">
      <c r="A8" t="s">
        <v>833</v>
      </c>
      <c r="B8">
        <v>2.5283E-2</v>
      </c>
      <c r="C8">
        <v>-7.6340000000000002E-3</v>
      </c>
    </row>
    <row r="9" spans="1:3">
      <c r="A9" t="s">
        <v>834</v>
      </c>
      <c r="B9">
        <v>2.9836000000000001E-2</v>
      </c>
      <c r="C9">
        <v>9.8890000000000002E-3</v>
      </c>
    </row>
    <row r="10" spans="1:3">
      <c r="A10" t="s">
        <v>835</v>
      </c>
      <c r="B10">
        <v>1.9550999999999999E-2</v>
      </c>
      <c r="C10">
        <v>2.6557000000000001E-2</v>
      </c>
    </row>
    <row r="11" spans="1:3">
      <c r="A11" t="s">
        <v>836</v>
      </c>
      <c r="B11">
        <v>7.561E-3</v>
      </c>
      <c r="C11">
        <v>1.3082E-2</v>
      </c>
    </row>
    <row r="12" spans="1:3">
      <c r="A12" t="s">
        <v>837</v>
      </c>
      <c r="B12">
        <v>-2.3605999999999999E-2</v>
      </c>
      <c r="C12">
        <v>-1.7521999999999999E-2</v>
      </c>
    </row>
    <row r="13" spans="1:3">
      <c r="A13" t="s">
        <v>838</v>
      </c>
      <c r="B13">
        <v>7.8270000000000006E-3</v>
      </c>
      <c r="C13">
        <v>1.8502999999999999E-2</v>
      </c>
    </row>
    <row r="14" spans="1:3">
      <c r="A14" t="s">
        <v>839</v>
      </c>
      <c r="B14">
        <v>-3.1419999999999998E-3</v>
      </c>
      <c r="C14">
        <v>1.1635E-2</v>
      </c>
    </row>
    <row r="15" spans="1:3">
      <c r="A15" t="s">
        <v>840</v>
      </c>
      <c r="B15">
        <v>5.0727000000000001E-2</v>
      </c>
      <c r="C15">
        <v>1.6785999999999999E-2</v>
      </c>
    </row>
    <row r="16" spans="1:3">
      <c r="A16" t="s">
        <v>841</v>
      </c>
      <c r="B16">
        <v>-1.6236E-2</v>
      </c>
      <c r="C16">
        <v>-1.232E-3</v>
      </c>
    </row>
    <row r="17" spans="1:3">
      <c r="A17" t="s">
        <v>842</v>
      </c>
      <c r="B17">
        <v>3.3932999999999998E-2</v>
      </c>
      <c r="C17">
        <v>1.1355000000000001E-2</v>
      </c>
    </row>
    <row r="18" spans="1:3">
      <c r="A18" t="s">
        <v>843</v>
      </c>
      <c r="B18">
        <v>1.0442999999999999E-2</v>
      </c>
      <c r="C18">
        <v>2.5279999999999999E-3</v>
      </c>
    </row>
    <row r="19" spans="1:3">
      <c r="A19" t="s">
        <v>844</v>
      </c>
      <c r="B19">
        <v>3.5451000000000003E-2</v>
      </c>
      <c r="C19">
        <v>-1.297E-3</v>
      </c>
    </row>
    <row r="20" spans="1:3">
      <c r="A20" t="s">
        <v>845</v>
      </c>
      <c r="B20">
        <v>5.1549999999999999E-3</v>
      </c>
      <c r="C20">
        <v>-1.5498E-2</v>
      </c>
    </row>
    <row r="21" spans="1:3">
      <c r="A21" t="s">
        <v>846</v>
      </c>
      <c r="B21">
        <v>5.7015999999999997E-2</v>
      </c>
      <c r="C21">
        <v>4.709E-2</v>
      </c>
    </row>
    <row r="22" spans="1:3">
      <c r="A22" t="s">
        <v>847</v>
      </c>
      <c r="B22">
        <v>1.7104000000000001E-2</v>
      </c>
      <c r="C22">
        <v>1.2588999999999999E-2</v>
      </c>
    </row>
    <row r="23" spans="1:3">
      <c r="A23" t="s">
        <v>848</v>
      </c>
      <c r="B23">
        <v>-3.2894E-2</v>
      </c>
      <c r="C23">
        <v>8.4489999999999999E-3</v>
      </c>
    </row>
    <row r="24" spans="1:3">
      <c r="A24" t="s">
        <v>849</v>
      </c>
      <c r="B24">
        <v>3.0138000000000002E-2</v>
      </c>
      <c r="C24">
        <v>2.069E-2</v>
      </c>
    </row>
    <row r="25" spans="1:3">
      <c r="A25" t="s">
        <v>850</v>
      </c>
      <c r="B25">
        <v>1.9574000000000001E-2</v>
      </c>
      <c r="C25">
        <v>-1.2086E-2</v>
      </c>
    </row>
    <row r="26" spans="1:3">
      <c r="A26" t="s">
        <v>851</v>
      </c>
      <c r="B26">
        <v>-5.9538000000000001E-2</v>
      </c>
      <c r="C26">
        <v>-4.4817999999999997E-2</v>
      </c>
    </row>
    <row r="27" spans="1:3">
      <c r="A27" t="s">
        <v>852</v>
      </c>
      <c r="B27">
        <v>3.0270000000000002E-3</v>
      </c>
      <c r="C27">
        <v>1.7544000000000001E-2</v>
      </c>
    </row>
    <row r="28" spans="1:3">
      <c r="A28" t="s">
        <v>853</v>
      </c>
      <c r="B28">
        <v>6.1703000000000001E-2</v>
      </c>
      <c r="C28">
        <v>4.0881000000000001E-2</v>
      </c>
    </row>
    <row r="29" spans="1:3">
      <c r="A29" t="s">
        <v>854</v>
      </c>
      <c r="B29">
        <v>5.1063999999999998E-2</v>
      </c>
      <c r="C29">
        <v>1.3635E-2</v>
      </c>
    </row>
    <row r="30" spans="1:3">
      <c r="A30" t="s">
        <v>855</v>
      </c>
      <c r="B30">
        <v>5.1168999999999999E-2</v>
      </c>
      <c r="C30">
        <v>3.9899999999999998E-2</v>
      </c>
    </row>
    <row r="31" spans="1:3">
      <c r="A31" t="s">
        <v>856</v>
      </c>
      <c r="B31">
        <v>2.5279999999999999E-3</v>
      </c>
      <c r="C31">
        <v>2.8906000000000001E-2</v>
      </c>
    </row>
    <row r="32" spans="1:3">
      <c r="A32" t="s">
        <v>857</v>
      </c>
      <c r="B32">
        <v>-7.9489999999999995E-3</v>
      </c>
      <c r="C32">
        <v>2.0965000000000001E-2</v>
      </c>
    </row>
    <row r="33" spans="1:3">
      <c r="A33" t="s">
        <v>858</v>
      </c>
      <c r="B33">
        <v>-2.6152999999999999E-2</v>
      </c>
      <c r="C33">
        <v>2.6629E-2</v>
      </c>
    </row>
    <row r="34" spans="1:3">
      <c r="A34" t="s">
        <v>859</v>
      </c>
      <c r="B34">
        <v>-2.6398000000000001E-2</v>
      </c>
      <c r="C34">
        <v>2.3195E-2</v>
      </c>
    </row>
    <row r="35" spans="1:3">
      <c r="A35" t="s">
        <v>860</v>
      </c>
      <c r="B35">
        <v>1.1131E-2</v>
      </c>
      <c r="C35">
        <v>-2.3089999999999999E-3</v>
      </c>
    </row>
    <row r="36" spans="1:3">
      <c r="A36" t="s">
        <v>861</v>
      </c>
      <c r="B36">
        <v>1.4952E-2</v>
      </c>
      <c r="C36">
        <v>2.9038999999999999E-2</v>
      </c>
    </row>
    <row r="37" spans="1:3">
      <c r="A37" t="s">
        <v>862</v>
      </c>
      <c r="B37">
        <v>-7.1226999999999999E-2</v>
      </c>
      <c r="C37">
        <v>-5.2829000000000001E-2</v>
      </c>
    </row>
    <row r="38" spans="1:3">
      <c r="A38" t="s">
        <v>863</v>
      </c>
      <c r="B38">
        <v>-3.6979999999999999E-3</v>
      </c>
      <c r="C38">
        <v>4.1520000000000003E-3</v>
      </c>
    </row>
    <row r="39" spans="1:3">
      <c r="A39" t="s">
        <v>864</v>
      </c>
      <c r="B39">
        <v>-2.7390000000000001E-3</v>
      </c>
      <c r="C39">
        <v>-2.1489999999999999E-3</v>
      </c>
    </row>
    <row r="40" spans="1:3">
      <c r="A40" t="s">
        <v>865</v>
      </c>
      <c r="B40">
        <v>-8.6647000000000002E-2</v>
      </c>
      <c r="C40">
        <v>-4.8211999999999998E-2</v>
      </c>
    </row>
    <row r="41" spans="1:3">
      <c r="A41" t="s">
        <v>866</v>
      </c>
      <c r="B41">
        <v>3.4039999999999999E-3</v>
      </c>
      <c r="C41">
        <v>-8.3820000000000006E-3</v>
      </c>
    </row>
    <row r="42" spans="1:3">
      <c r="A42" t="s">
        <v>867</v>
      </c>
      <c r="B42">
        <v>9.1039999999999992E-3</v>
      </c>
      <c r="C42">
        <v>-2.8389999999999999E-2</v>
      </c>
    </row>
    <row r="43" spans="1:3">
      <c r="A43" t="s">
        <v>868</v>
      </c>
      <c r="B43">
        <v>5.3116999999999998E-2</v>
      </c>
      <c r="C43">
        <v>9.7970000000000002E-3</v>
      </c>
    </row>
    <row r="44" spans="1:3">
      <c r="A44" t="s">
        <v>869</v>
      </c>
      <c r="B44">
        <v>3.5609999999999999E-3</v>
      </c>
      <c r="C44">
        <v>5.8849999999999996E-3</v>
      </c>
    </row>
    <row r="45" spans="1:3">
      <c r="A45" t="s">
        <v>870</v>
      </c>
      <c r="B45">
        <v>0.113368</v>
      </c>
      <c r="C45">
        <v>9.5596E-2</v>
      </c>
    </row>
    <row r="46" spans="1:3">
      <c r="A46" t="s">
        <v>871</v>
      </c>
      <c r="B46">
        <v>4.1660999999999997E-2</v>
      </c>
      <c r="C46">
        <v>1.4708000000000001E-2</v>
      </c>
    </row>
    <row r="47" spans="1:3">
      <c r="A47" t="s">
        <v>872</v>
      </c>
      <c r="B47">
        <v>4.1534000000000001E-2</v>
      </c>
      <c r="C47">
        <v>3.4077000000000003E-2</v>
      </c>
    </row>
    <row r="48" spans="1:3">
      <c r="A48" t="s">
        <v>873</v>
      </c>
      <c r="B48">
        <v>5.6048000000000001E-2</v>
      </c>
      <c r="C48">
        <v>1.4633E-2</v>
      </c>
    </row>
    <row r="49" spans="1:3">
      <c r="A49" t="s">
        <v>874</v>
      </c>
      <c r="B49">
        <v>-4.4343E-2</v>
      </c>
      <c r="C49">
        <v>-1.6569E-2</v>
      </c>
    </row>
    <row r="50" spans="1:3">
      <c r="A50" t="s">
        <v>875</v>
      </c>
      <c r="B50">
        <v>1.1677999999999999E-2</v>
      </c>
      <c r="C50">
        <v>4.9876999999999998E-2</v>
      </c>
    </row>
    <row r="51" spans="1:3">
      <c r="A51" t="s">
        <v>876</v>
      </c>
      <c r="B51">
        <v>0.103584</v>
      </c>
      <c r="C51">
        <v>5.1223999999999999E-2</v>
      </c>
    </row>
    <row r="52" spans="1:3">
      <c r="A52" t="s">
        <v>877</v>
      </c>
      <c r="B52">
        <v>-6.0720000000000001E-3</v>
      </c>
      <c r="C52">
        <v>8.0169999999999998E-3</v>
      </c>
    </row>
    <row r="53" spans="1:3">
      <c r="A53" t="s">
        <v>878</v>
      </c>
      <c r="B53">
        <v>5.6607999999999999E-2</v>
      </c>
      <c r="C53">
        <v>8.933E-3</v>
      </c>
    </row>
    <row r="54" spans="1:3">
      <c r="A54" t="s">
        <v>879</v>
      </c>
      <c r="B54">
        <v>-2.7092999999999999E-2</v>
      </c>
      <c r="C54">
        <v>-1.9689999999999999E-2</v>
      </c>
    </row>
    <row r="55" spans="1:3">
      <c r="A55" t="s">
        <v>880</v>
      </c>
      <c r="B55">
        <v>1.0514000000000001E-2</v>
      </c>
      <c r="C55">
        <v>-1.8320000000000001E-3</v>
      </c>
    </row>
    <row r="56" spans="1:3">
      <c r="A56" t="s">
        <v>881</v>
      </c>
      <c r="B56">
        <v>5.2419E-2</v>
      </c>
      <c r="C56">
        <v>4.1655999999999999E-2</v>
      </c>
    </row>
    <row r="57" spans="1:3">
      <c r="A57" t="s">
        <v>882</v>
      </c>
      <c r="B57">
        <v>-5.6485E-2</v>
      </c>
      <c r="C57">
        <v>1.8963000000000001E-2</v>
      </c>
    </row>
    <row r="58" spans="1:3">
      <c r="A58" t="s">
        <v>883</v>
      </c>
      <c r="B58">
        <v>-4.2521999999999997E-2</v>
      </c>
      <c r="C58">
        <v>-3.0407E-2</v>
      </c>
    </row>
    <row r="59" spans="1:3">
      <c r="A59" t="s">
        <v>884</v>
      </c>
      <c r="B59">
        <v>-3.5149999999999999E-3</v>
      </c>
      <c r="C59">
        <v>-8.5129999999999997E-3</v>
      </c>
    </row>
    <row r="60" spans="1:3">
      <c r="A60" t="s">
        <v>885</v>
      </c>
      <c r="B60">
        <v>0.115957</v>
      </c>
      <c r="C60">
        <v>8.7545999999999999E-2</v>
      </c>
    </row>
    <row r="61" spans="1:3">
      <c r="A61" t="s">
        <v>886</v>
      </c>
      <c r="B61">
        <v>3.6181999999999999E-2</v>
      </c>
      <c r="C61">
        <v>5.2637000000000003E-2</v>
      </c>
    </row>
    <row r="62" spans="1:3">
      <c r="A62" t="s">
        <v>887</v>
      </c>
      <c r="B62">
        <v>2.5738E-2</v>
      </c>
      <c r="C62">
        <v>8.1609999999999999E-3</v>
      </c>
    </row>
    <row r="63" spans="1:3">
      <c r="A63" t="s">
        <v>888</v>
      </c>
      <c r="B63">
        <v>-6.8749000000000005E-2</v>
      </c>
      <c r="C63">
        <v>-2.2568999999999999E-2</v>
      </c>
    </row>
    <row r="64" spans="1:3">
      <c r="A64" t="s">
        <v>889</v>
      </c>
      <c r="B64">
        <v>1.2227999999999999E-2</v>
      </c>
      <c r="C64">
        <v>1.9210999999999999E-2</v>
      </c>
    </row>
    <row r="65" spans="1:3">
      <c r="A65" t="s">
        <v>890</v>
      </c>
      <c r="B65">
        <v>4.3300999999999999E-2</v>
      </c>
      <c r="C65">
        <v>3.4625999999999997E-2</v>
      </c>
    </row>
    <row r="66" spans="1:3">
      <c r="A66" t="s">
        <v>891</v>
      </c>
      <c r="B66">
        <v>-2.712E-3</v>
      </c>
      <c r="C66">
        <v>9.3620000000000005E-3</v>
      </c>
    </row>
    <row r="67" spans="1:3">
      <c r="A67" t="s">
        <v>892</v>
      </c>
      <c r="B67">
        <v>4.8460999999999997E-2</v>
      </c>
      <c r="C67">
        <v>4.1675999999999998E-2</v>
      </c>
    </row>
    <row r="68" spans="1:3">
      <c r="A68" t="s">
        <v>893</v>
      </c>
      <c r="B68">
        <v>-2.2020000000000001E-2</v>
      </c>
      <c r="C68">
        <v>-2.114E-3</v>
      </c>
    </row>
    <row r="69" spans="1:3">
      <c r="A69" t="s">
        <v>894</v>
      </c>
      <c r="B69">
        <v>-2.2571999999999998E-2</v>
      </c>
      <c r="C69">
        <v>-6.4120000000000002E-3</v>
      </c>
    </row>
    <row r="70" spans="1:3">
      <c r="A70" t="s">
        <v>895</v>
      </c>
      <c r="B70">
        <v>-6.5407999999999994E-2</v>
      </c>
      <c r="C70">
        <v>-5.1168999999999999E-2</v>
      </c>
    </row>
    <row r="71" spans="1:3">
      <c r="A71" t="s">
        <v>896</v>
      </c>
      <c r="B71">
        <v>2.1507999999999999E-2</v>
      </c>
      <c r="C71">
        <v>-7.8270000000000006E-3</v>
      </c>
    </row>
    <row r="72" spans="1:3">
      <c r="A72" t="s">
        <v>897</v>
      </c>
      <c r="B72">
        <v>1.5183E-2</v>
      </c>
      <c r="C72">
        <v>5.4929999999999996E-3</v>
      </c>
    </row>
    <row r="73" spans="1:3">
      <c r="A73" t="s">
        <v>898</v>
      </c>
      <c r="B73">
        <v>-3.9129999999999998E-3</v>
      </c>
      <c r="C73">
        <v>-5.7460000000000002E-3</v>
      </c>
    </row>
    <row r="74" spans="1:3">
      <c r="A74" t="s">
        <v>899</v>
      </c>
      <c r="B74">
        <v>-6.0992999999999999E-2</v>
      </c>
      <c r="C74">
        <v>-4.4221999999999997E-2</v>
      </c>
    </row>
    <row r="75" spans="1:3">
      <c r="A75" t="s">
        <v>900</v>
      </c>
      <c r="B75">
        <v>-5.6909000000000001E-2</v>
      </c>
      <c r="C75">
        <v>-3.8671999999999998E-2</v>
      </c>
    </row>
    <row r="76" spans="1:3">
      <c r="A76" t="s">
        <v>901</v>
      </c>
      <c r="B76">
        <v>7.3601E-2</v>
      </c>
      <c r="C76">
        <v>1.4619E-2</v>
      </c>
    </row>
    <row r="77" spans="1:3">
      <c r="A77" t="s">
        <v>902</v>
      </c>
      <c r="B77">
        <v>3.5944999999999998E-2</v>
      </c>
      <c r="C77">
        <v>-5.999E-3</v>
      </c>
    </row>
    <row r="78" spans="1:3">
      <c r="A78" t="s">
        <v>903</v>
      </c>
      <c r="B78">
        <v>7.3649000000000006E-2</v>
      </c>
      <c r="C78">
        <v>2.6284999999999999E-2</v>
      </c>
    </row>
    <row r="79" spans="1:3">
      <c r="A79" t="s">
        <v>904</v>
      </c>
      <c r="B79">
        <v>-3.1327000000000001E-2</v>
      </c>
      <c r="C79">
        <v>-2.1037E-2</v>
      </c>
    </row>
    <row r="80" spans="1:3">
      <c r="A80" t="s">
        <v>905</v>
      </c>
      <c r="B80">
        <v>-1.2969E-2</v>
      </c>
      <c r="C80">
        <v>-2.9700000000000001E-2</v>
      </c>
    </row>
    <row r="81" spans="1:3">
      <c r="A81" t="s">
        <v>906</v>
      </c>
      <c r="B81">
        <v>-8.4851999999999997E-2</v>
      </c>
      <c r="C81">
        <v>-7.3639999999999999E-3</v>
      </c>
    </row>
    <row r="82" spans="1:3">
      <c r="A82" t="s">
        <v>907</v>
      </c>
      <c r="B82">
        <v>2.8976999999999999E-2</v>
      </c>
      <c r="C82">
        <v>1.4590000000000001E-2</v>
      </c>
    </row>
    <row r="83" spans="1:3">
      <c r="A83" t="s">
        <v>908</v>
      </c>
      <c r="B83">
        <v>-1.8591E-2</v>
      </c>
      <c r="C83">
        <v>-8.7000000000000001E-4</v>
      </c>
    </row>
    <row r="84" spans="1:3">
      <c r="A84" t="s">
        <v>909</v>
      </c>
      <c r="B84">
        <v>-0.12987000000000001</v>
      </c>
      <c r="C84">
        <v>-5.3225000000000001E-2</v>
      </c>
    </row>
    <row r="85" spans="1:3">
      <c r="A85" t="s">
        <v>910</v>
      </c>
      <c r="B85">
        <v>-7.5720999999999997E-2</v>
      </c>
      <c r="C85">
        <v>-4.7715E-2</v>
      </c>
    </row>
    <row r="86" spans="1:3">
      <c r="A86" t="s">
        <v>911</v>
      </c>
      <c r="B86">
        <v>-5.2000999999999999E-2</v>
      </c>
      <c r="C86">
        <v>-3.5635E-2</v>
      </c>
    </row>
    <row r="87" spans="1:3">
      <c r="A87" t="s">
        <v>912</v>
      </c>
      <c r="B87">
        <v>8.4449999999999997E-2</v>
      </c>
      <c r="C87">
        <v>2.7380999999999999E-2</v>
      </c>
    </row>
    <row r="88" spans="1:3">
      <c r="A88" t="s">
        <v>913</v>
      </c>
      <c r="B88">
        <v>5.4523000000000002E-2</v>
      </c>
      <c r="C88">
        <v>3.5201999999999997E-2</v>
      </c>
    </row>
    <row r="89" spans="1:3">
      <c r="A89" t="s">
        <v>914</v>
      </c>
      <c r="B89">
        <v>4.9874000000000002E-2</v>
      </c>
      <c r="C89">
        <v>3.8594999999999997E-2</v>
      </c>
    </row>
    <row r="90" spans="1:3">
      <c r="A90" t="s">
        <v>915</v>
      </c>
      <c r="B90">
        <v>-2.898E-3</v>
      </c>
      <c r="C90">
        <v>-3.8469000000000003E-2</v>
      </c>
    </row>
    <row r="91" spans="1:3">
      <c r="A91" t="s">
        <v>916</v>
      </c>
      <c r="B91">
        <v>6.9506999999999999E-2</v>
      </c>
      <c r="C91">
        <v>9.9600000000000001E-3</v>
      </c>
    </row>
    <row r="92" spans="1:3">
      <c r="A92" t="s">
        <v>917</v>
      </c>
      <c r="B92">
        <v>7.9024999999999998E-2</v>
      </c>
      <c r="C92">
        <v>5.2298999999999998E-2</v>
      </c>
    </row>
    <row r="93" spans="1:3">
      <c r="A93" t="s">
        <v>918</v>
      </c>
      <c r="B93">
        <v>6.5383999999999998E-2</v>
      </c>
      <c r="C93">
        <v>6.1294000000000001E-2</v>
      </c>
    </row>
    <row r="94" spans="1:3">
      <c r="A94" t="s">
        <v>919</v>
      </c>
      <c r="B94">
        <v>3.4162999999999999E-2</v>
      </c>
      <c r="C94">
        <v>1.4255E-2</v>
      </c>
    </row>
    <row r="95" spans="1:3">
      <c r="A95" t="s">
        <v>920</v>
      </c>
      <c r="B95">
        <v>8.1739000000000006E-2</v>
      </c>
      <c r="C95">
        <v>2.3592999999999999E-2</v>
      </c>
    </row>
    <row r="96" spans="1:3">
      <c r="A96" t="s">
        <v>921</v>
      </c>
      <c r="B96">
        <v>2.5975999999999999E-2</v>
      </c>
      <c r="C96">
        <v>9.3679999999999996E-3</v>
      </c>
    </row>
    <row r="97" spans="1:3">
      <c r="A97" t="s">
        <v>922</v>
      </c>
      <c r="B97">
        <v>-1.0374E-2</v>
      </c>
      <c r="C97">
        <v>-2.6579999999999999E-2</v>
      </c>
    </row>
    <row r="98" spans="1:3">
      <c r="A98" t="s">
        <v>923</v>
      </c>
      <c r="B98">
        <v>-2.085E-3</v>
      </c>
      <c r="C98">
        <v>-8.9630000000000005E-3</v>
      </c>
    </row>
    <row r="99" spans="1:3">
      <c r="A99" t="s">
        <v>924</v>
      </c>
      <c r="B99">
        <v>-3.9718000000000003E-2</v>
      </c>
      <c r="C99">
        <v>-1.5694E-2</v>
      </c>
    </row>
    <row r="100" spans="1:3">
      <c r="A100" t="s">
        <v>925</v>
      </c>
      <c r="B100">
        <v>3.918E-2</v>
      </c>
      <c r="C100">
        <v>2.5059000000000001E-2</v>
      </c>
    </row>
    <row r="101" spans="1:3">
      <c r="A101" t="s">
        <v>926</v>
      </c>
      <c r="B101">
        <v>3.0557000000000001E-2</v>
      </c>
      <c r="C101">
        <v>-2.784E-3</v>
      </c>
    </row>
    <row r="102" spans="1:3">
      <c r="A102" t="s">
        <v>927</v>
      </c>
      <c r="B102">
        <v>-4.0001000000000002E-2</v>
      </c>
      <c r="C102">
        <v>-1.9285E-2</v>
      </c>
    </row>
    <row r="103" spans="1:3">
      <c r="A103" t="s">
        <v>928</v>
      </c>
      <c r="B103">
        <v>1.4142999999999999E-2</v>
      </c>
      <c r="C103">
        <v>-1.1070999999999999E-2</v>
      </c>
    </row>
    <row r="104" spans="1:3">
      <c r="A104" t="s">
        <v>929</v>
      </c>
      <c r="B104">
        <v>0.11663800000000001</v>
      </c>
      <c r="C104">
        <v>4.3652999999999997E-2</v>
      </c>
    </row>
    <row r="105" spans="1:3">
      <c r="A105" t="s">
        <v>930</v>
      </c>
      <c r="B105">
        <v>2.3008000000000001E-2</v>
      </c>
      <c r="C105">
        <v>5.4467000000000002E-2</v>
      </c>
    </row>
    <row r="106" spans="1:3">
      <c r="A106" t="s">
        <v>931</v>
      </c>
      <c r="B106">
        <v>5.5765000000000002E-2</v>
      </c>
      <c r="C106">
        <v>1.9495999999999999E-2</v>
      </c>
    </row>
    <row r="107" spans="1:3">
      <c r="A107" t="s">
        <v>932</v>
      </c>
      <c r="B107">
        <v>3.0036E-2</v>
      </c>
      <c r="C107">
        <v>3.0990000000000002E-3</v>
      </c>
    </row>
    <row r="108" spans="1:3">
      <c r="A108" t="s">
        <v>933</v>
      </c>
      <c r="B108">
        <v>-2.9710000000000001E-3</v>
      </c>
      <c r="C108">
        <v>3.081E-3</v>
      </c>
    </row>
    <row r="109" spans="1:3">
      <c r="A109" t="s">
        <v>934</v>
      </c>
      <c r="B109">
        <v>2.9606E-2</v>
      </c>
      <c r="C109">
        <v>-1.2635E-2</v>
      </c>
    </row>
    <row r="110" spans="1:3">
      <c r="A110" t="s">
        <v>935</v>
      </c>
      <c r="B110">
        <v>2.4433E-2</v>
      </c>
      <c r="C110">
        <v>-1.7373E-2</v>
      </c>
    </row>
    <row r="111" spans="1:3">
      <c r="A111" t="s">
        <v>936</v>
      </c>
      <c r="B111">
        <v>-4.2859999999999999E-3</v>
      </c>
      <c r="C111">
        <v>-1.0085E-2</v>
      </c>
    </row>
    <row r="112" spans="1:3">
      <c r="A112" t="s">
        <v>937</v>
      </c>
      <c r="B112">
        <v>2.7309E-2</v>
      </c>
      <c r="C112">
        <v>1.08E-3</v>
      </c>
    </row>
    <row r="113" spans="1:3">
      <c r="A113" t="s">
        <v>938</v>
      </c>
      <c r="B113">
        <v>-7.5459999999999998E-3</v>
      </c>
      <c r="C113">
        <v>-5.0309999999999999E-3</v>
      </c>
    </row>
    <row r="114" spans="1:3">
      <c r="A114" t="s">
        <v>939</v>
      </c>
      <c r="B114">
        <v>-2.3428999999999998E-2</v>
      </c>
      <c r="C114">
        <v>-1.3018999999999999E-2</v>
      </c>
    </row>
    <row r="115" spans="1:3">
      <c r="A115" t="s">
        <v>940</v>
      </c>
      <c r="B115">
        <v>3.3314000000000003E-2</v>
      </c>
      <c r="C115">
        <v>2.0381E-2</v>
      </c>
    </row>
    <row r="116" spans="1:3">
      <c r="A116" t="s">
        <v>941</v>
      </c>
      <c r="B116">
        <v>-2.637E-3</v>
      </c>
      <c r="C116">
        <v>-1.2394000000000001E-2</v>
      </c>
    </row>
    <row r="117" spans="1:3">
      <c r="A117" t="s">
        <v>942</v>
      </c>
      <c r="B117">
        <v>-5.5343999999999997E-2</v>
      </c>
      <c r="C117">
        <v>-1.3079E-2</v>
      </c>
    </row>
    <row r="118" spans="1:3">
      <c r="A118" t="s">
        <v>943</v>
      </c>
      <c r="B118">
        <v>-6.8187999999999999E-2</v>
      </c>
      <c r="C118">
        <v>-3.9378000000000003E-2</v>
      </c>
    </row>
    <row r="119" spans="1:3">
      <c r="A119" t="s">
        <v>944</v>
      </c>
      <c r="B119">
        <v>-4.8517999999999999E-2</v>
      </c>
      <c r="C119">
        <v>-1.7762E-2</v>
      </c>
    </row>
    <row r="120" spans="1:3">
      <c r="A120" t="s">
        <v>945</v>
      </c>
      <c r="B120">
        <v>-0.105602</v>
      </c>
      <c r="C120">
        <v>-3.5257999999999998E-2</v>
      </c>
    </row>
    <row r="121" spans="1:3">
      <c r="A121" t="s">
        <v>946</v>
      </c>
      <c r="B121">
        <v>-4.5421999999999997E-2</v>
      </c>
      <c r="C121">
        <v>-2.5898000000000001E-2</v>
      </c>
    </row>
    <row r="122" spans="1:3">
      <c r="A122" t="s">
        <v>947</v>
      </c>
      <c r="B122">
        <v>-2.3456999999999999E-2</v>
      </c>
      <c r="C122">
        <v>-1.7784000000000001E-2</v>
      </c>
    </row>
    <row r="123" spans="1:3">
      <c r="A123" t="s">
        <v>948</v>
      </c>
      <c r="B123">
        <v>8.3068000000000003E-2</v>
      </c>
      <c r="C123">
        <v>4.0238000000000003E-2</v>
      </c>
    </row>
    <row r="124" spans="1:3">
      <c r="A124" t="s">
        <v>949</v>
      </c>
      <c r="B124">
        <v>-5.9089999999999997E-2</v>
      </c>
      <c r="C124">
        <v>-2.9648999999999998E-2</v>
      </c>
    </row>
    <row r="125" spans="1:3">
      <c r="A125" t="s">
        <v>950</v>
      </c>
      <c r="B125">
        <v>5.8538E-2</v>
      </c>
      <c r="C125">
        <v>4.7044999999999997E-2</v>
      </c>
    </row>
    <row r="126" spans="1:3">
      <c r="A126" t="s">
        <v>951</v>
      </c>
      <c r="B126">
        <v>-1.0718E-2</v>
      </c>
      <c r="C126">
        <v>-6.8450000000000004E-3</v>
      </c>
    </row>
    <row r="127" spans="1:3">
      <c r="A127" t="s">
        <v>952</v>
      </c>
      <c r="B127">
        <v>-0.21271999999999999</v>
      </c>
      <c r="C127">
        <v>-9.8318000000000003E-2</v>
      </c>
    </row>
    <row r="128" spans="1:3">
      <c r="A128" t="s">
        <v>953</v>
      </c>
      <c r="B128">
        <v>-3.2224000000000003E-2</v>
      </c>
      <c r="C128">
        <v>-2.3533999999999999E-2</v>
      </c>
    </row>
    <row r="129" spans="1:3">
      <c r="A129" t="s">
        <v>954</v>
      </c>
      <c r="B129">
        <v>8.2290000000000002E-3</v>
      </c>
      <c r="C129">
        <v>8.2222000000000003E-2</v>
      </c>
    </row>
    <row r="130" spans="1:3">
      <c r="A130" t="s">
        <v>955</v>
      </c>
      <c r="B130">
        <v>-9.0889999999999999E-3</v>
      </c>
      <c r="C130">
        <v>9.1149999999999998E-3</v>
      </c>
    </row>
    <row r="131" spans="1:3">
      <c r="A131" t="s">
        <v>956</v>
      </c>
      <c r="B131">
        <v>3.1122E-2</v>
      </c>
      <c r="C131">
        <v>2.4060999999999999E-2</v>
      </c>
    </row>
    <row r="132" spans="1:3">
      <c r="A132" t="s">
        <v>957</v>
      </c>
      <c r="B132">
        <v>-2.4281E-2</v>
      </c>
      <c r="C132">
        <v>-1.3336000000000001E-2</v>
      </c>
    </row>
    <row r="133" spans="1:3">
      <c r="A133" t="s">
        <v>958</v>
      </c>
      <c r="B133">
        <v>-7.8670000000000007E-3</v>
      </c>
      <c r="C133">
        <v>-3.2288999999999998E-2</v>
      </c>
    </row>
    <row r="134" spans="1:3">
      <c r="A134" t="s">
        <v>959</v>
      </c>
      <c r="B134">
        <v>9.7959999999999992E-3</v>
      </c>
      <c r="C134">
        <v>-6.424E-3</v>
      </c>
    </row>
    <row r="135" spans="1:3">
      <c r="A135" t="s">
        <v>960</v>
      </c>
      <c r="B135">
        <v>-0.118037</v>
      </c>
      <c r="C135">
        <v>-1.6473000000000002E-2</v>
      </c>
    </row>
    <row r="136" spans="1:3">
      <c r="A136" t="s">
        <v>961</v>
      </c>
      <c r="B136">
        <v>-8.6919999999999997E-2</v>
      </c>
      <c r="C136">
        <v>-2.6561999999999999E-2</v>
      </c>
    </row>
    <row r="137" spans="1:3">
      <c r="A137" t="s">
        <v>962</v>
      </c>
      <c r="B137">
        <v>-0.15982499999999999</v>
      </c>
      <c r="C137">
        <v>-2.7961E-2</v>
      </c>
    </row>
    <row r="138" spans="1:3">
      <c r="A138" t="s">
        <v>963</v>
      </c>
      <c r="B138">
        <v>0.20693900000000001</v>
      </c>
      <c r="C138">
        <v>-1.3415E-2</v>
      </c>
    </row>
    <row r="139" spans="1:3">
      <c r="A139" t="s">
        <v>964</v>
      </c>
      <c r="B139">
        <v>-5.5196000000000002E-2</v>
      </c>
      <c r="C139">
        <v>-4.2712E-2</v>
      </c>
    </row>
    <row r="140" spans="1:3">
      <c r="A140" t="s">
        <v>965</v>
      </c>
      <c r="B140">
        <v>-1.7055000000000001E-2</v>
      </c>
      <c r="C140">
        <v>-4.5263999999999999E-2</v>
      </c>
    </row>
    <row r="141" spans="1:3">
      <c r="A141" t="s">
        <v>966</v>
      </c>
      <c r="B141">
        <v>0.15118599999999999</v>
      </c>
      <c r="C141">
        <v>0.15793299999999999</v>
      </c>
    </row>
    <row r="142" spans="1:3">
      <c r="A142" t="s">
        <v>967</v>
      </c>
      <c r="B142">
        <v>8.5261000000000003E-2</v>
      </c>
      <c r="C142">
        <v>9.7429999999999999E-3</v>
      </c>
    </row>
    <row r="143" spans="1:3">
      <c r="A143" t="s">
        <v>968</v>
      </c>
      <c r="B143">
        <v>2.9211000000000001E-2</v>
      </c>
      <c r="C143">
        <v>5.0778999999999998E-2</v>
      </c>
    </row>
    <row r="144" spans="1:3">
      <c r="A144" t="s">
        <v>969</v>
      </c>
      <c r="B144">
        <v>6.3533999999999993E-2</v>
      </c>
      <c r="C144">
        <v>5.862E-3</v>
      </c>
    </row>
    <row r="145" spans="1:3">
      <c r="A145" t="s">
        <v>970</v>
      </c>
      <c r="B145">
        <v>8.3533999999999997E-2</v>
      </c>
      <c r="C145">
        <v>1.8589999999999999E-2</v>
      </c>
    </row>
    <row r="146" spans="1:3">
      <c r="A146" t="s">
        <v>971</v>
      </c>
      <c r="B146">
        <v>3.3266999999999998E-2</v>
      </c>
      <c r="C146">
        <v>2.9523000000000001E-2</v>
      </c>
    </row>
    <row r="147" spans="1:3">
      <c r="A147" t="s">
        <v>972</v>
      </c>
      <c r="B147">
        <v>-5.6748E-2</v>
      </c>
      <c r="C147">
        <v>4.7549999999999997E-3</v>
      </c>
    </row>
    <row r="148" spans="1:3">
      <c r="A148" t="s">
        <v>973</v>
      </c>
      <c r="B148">
        <v>-2.189E-2</v>
      </c>
      <c r="C148">
        <v>-2.0246E-2</v>
      </c>
    </row>
    <row r="149" spans="1:3">
      <c r="A149" t="s">
        <v>974</v>
      </c>
      <c r="B149">
        <v>-3.7506999999999999E-2</v>
      </c>
      <c r="C149">
        <v>-7.4859999999999996E-3</v>
      </c>
    </row>
    <row r="150" spans="1:3">
      <c r="A150" t="s">
        <v>975</v>
      </c>
      <c r="B150">
        <v>8.2897999999999999E-2</v>
      </c>
      <c r="C150">
        <v>1.4469999999999999E-3</v>
      </c>
    </row>
    <row r="151" spans="1:3">
      <c r="A151" t="s">
        <v>976</v>
      </c>
      <c r="B151">
        <v>3.2417000000000001E-2</v>
      </c>
      <c r="C151">
        <v>5.5240000000000003E-3</v>
      </c>
    </row>
    <row r="152" spans="1:3">
      <c r="A152" t="s">
        <v>977</v>
      </c>
      <c r="B152">
        <v>-2.2619E-2</v>
      </c>
      <c r="C152">
        <v>-2.6099999999999999E-3</v>
      </c>
    </row>
    <row r="153" spans="1:3">
      <c r="A153" t="s">
        <v>978</v>
      </c>
      <c r="B153">
        <v>0.12060700000000001</v>
      </c>
      <c r="C153">
        <v>0.110108</v>
      </c>
    </row>
    <row r="154" spans="1:3">
      <c r="A154" t="s">
        <v>979</v>
      </c>
      <c r="B154">
        <v>-1.7459999999999999E-3</v>
      </c>
      <c r="C154">
        <v>7.3467000000000005E-2</v>
      </c>
    </row>
    <row r="155" spans="1:3">
      <c r="A155" t="s">
        <v>980</v>
      </c>
      <c r="B155">
        <v>2.2119E-2</v>
      </c>
      <c r="C155">
        <v>4.5919999999999997E-3</v>
      </c>
    </row>
    <row r="156" spans="1:3">
      <c r="A156" t="s">
        <v>981</v>
      </c>
      <c r="B156">
        <v>-1.3639999999999999E-2</v>
      </c>
      <c r="C156">
        <v>-5.6140000000000001E-3</v>
      </c>
    </row>
    <row r="157" spans="1:3">
      <c r="A157" t="s">
        <v>982</v>
      </c>
      <c r="B157">
        <v>-5.2300000000000003E-3</v>
      </c>
      <c r="C157">
        <v>-6.3619999999999996E-3</v>
      </c>
    </row>
    <row r="158" spans="1:3">
      <c r="A158" t="s">
        <v>983</v>
      </c>
      <c r="B158">
        <v>4.2840000000000003E-2</v>
      </c>
      <c r="C158">
        <v>1.2909E-2</v>
      </c>
    </row>
    <row r="159" spans="1:3">
      <c r="A159" t="s">
        <v>984</v>
      </c>
      <c r="B159">
        <v>-2.6925000000000001E-2</v>
      </c>
      <c r="C159">
        <v>-3.3199999999999999E-4</v>
      </c>
    </row>
    <row r="160" spans="1:3">
      <c r="A160" t="s">
        <v>985</v>
      </c>
      <c r="B160">
        <v>-1.9959000000000001E-2</v>
      </c>
      <c r="C160">
        <v>-9.7990000000000004E-3</v>
      </c>
    </row>
    <row r="161" spans="1:3">
      <c r="A161" t="s">
        <v>986</v>
      </c>
      <c r="B161">
        <v>3.4189999999999998E-2</v>
      </c>
      <c r="C161">
        <v>1.7822999999999999E-2</v>
      </c>
    </row>
    <row r="162" spans="1:3">
      <c r="A162" t="s">
        <v>987</v>
      </c>
      <c r="B162">
        <v>-2.9576999999999999E-2</v>
      </c>
      <c r="C162">
        <v>3.7659999999999998E-3</v>
      </c>
    </row>
    <row r="163" spans="1:3">
      <c r="A163" t="s">
        <v>988</v>
      </c>
      <c r="B163">
        <v>-2.5554E-2</v>
      </c>
      <c r="C163">
        <v>2.6270000000000002E-2</v>
      </c>
    </row>
    <row r="164" spans="1:3">
      <c r="A164" t="s">
        <v>989</v>
      </c>
      <c r="B164">
        <v>8.0572000000000005E-2</v>
      </c>
      <c r="C164">
        <v>5.2319999999999998E-2</v>
      </c>
    </row>
    <row r="165" spans="1:3">
      <c r="A165" t="s">
        <v>990</v>
      </c>
      <c r="B165">
        <v>-4.9508999999999997E-2</v>
      </c>
      <c r="C165">
        <v>2.8347000000000001E-2</v>
      </c>
    </row>
    <row r="166" spans="1:3">
      <c r="A166" t="s">
        <v>991</v>
      </c>
      <c r="B166">
        <v>-2.4774000000000001E-2</v>
      </c>
      <c r="C166">
        <v>-8.3529999999999993E-3</v>
      </c>
    </row>
    <row r="167" spans="1:3">
      <c r="A167" t="s">
        <v>992</v>
      </c>
      <c r="B167">
        <v>-1.0179000000000001E-2</v>
      </c>
      <c r="C167">
        <v>1.0222999999999999E-2</v>
      </c>
    </row>
    <row r="168" spans="1:3">
      <c r="A168" t="s">
        <v>993</v>
      </c>
      <c r="B168">
        <v>-1.627E-2</v>
      </c>
      <c r="C168">
        <v>1.4871000000000001E-2</v>
      </c>
    </row>
    <row r="169" spans="1:3">
      <c r="A169" t="s">
        <v>994</v>
      </c>
      <c r="B169">
        <v>-6.8640000000000003E-3</v>
      </c>
      <c r="C169">
        <v>1.5717999999999999E-2</v>
      </c>
    </row>
    <row r="170" spans="1:3">
      <c r="A170" t="s">
        <v>995</v>
      </c>
      <c r="B170">
        <v>7.2479000000000002E-2</v>
      </c>
      <c r="C170">
        <v>3.3960999999999998E-2</v>
      </c>
    </row>
    <row r="171" spans="1:3">
      <c r="A171" t="s">
        <v>996</v>
      </c>
      <c r="B171">
        <v>-1.4479000000000001E-2</v>
      </c>
      <c r="C171">
        <v>5.6299999999999996E-3</v>
      </c>
    </row>
    <row r="172" spans="1:3">
      <c r="A172" t="s">
        <v>997</v>
      </c>
      <c r="B172">
        <v>7.7130000000000002E-3</v>
      </c>
      <c r="C172">
        <v>-6.6550000000000003E-3</v>
      </c>
    </row>
    <row r="173" spans="1:3">
      <c r="A173" t="s">
        <v>998</v>
      </c>
      <c r="B173">
        <v>1.5866999999999999E-2</v>
      </c>
      <c r="C173">
        <v>1.5945000000000001E-2</v>
      </c>
    </row>
    <row r="174" spans="1:3">
      <c r="A174" t="s">
        <v>999</v>
      </c>
      <c r="B174">
        <v>-6.7280000000000006E-2</v>
      </c>
      <c r="C174">
        <v>-1.7342E-2</v>
      </c>
    </row>
    <row r="175" spans="1:3">
      <c r="A175" t="s">
        <v>1000</v>
      </c>
      <c r="B175">
        <v>7.0223999999999995E-2</v>
      </c>
      <c r="C175">
        <v>2.8433E-2</v>
      </c>
    </row>
    <row r="176" spans="1:3">
      <c r="A176" t="s">
        <v>1001</v>
      </c>
      <c r="B176">
        <v>1.2455000000000001E-2</v>
      </c>
      <c r="C176">
        <v>-1.887E-3</v>
      </c>
    </row>
    <row r="177" spans="1:3">
      <c r="A177" t="s">
        <v>1002</v>
      </c>
      <c r="B177">
        <v>-7.5014999999999998E-2</v>
      </c>
      <c r="C177">
        <v>-5.5079999999999999E-3</v>
      </c>
    </row>
    <row r="178" spans="1:3">
      <c r="A178" t="s">
        <v>1003</v>
      </c>
      <c r="B178">
        <v>1.6123999999999999E-2</v>
      </c>
      <c r="C178">
        <v>2.0619999999999999E-2</v>
      </c>
    </row>
    <row r="179" spans="1:3">
      <c r="A179" t="s">
        <v>1004</v>
      </c>
      <c r="B179">
        <v>4.8145E-2</v>
      </c>
      <c r="C179">
        <v>4.3688999999999999E-2</v>
      </c>
    </row>
    <row r="180" spans="1:3">
      <c r="A180" t="s">
        <v>1005</v>
      </c>
      <c r="B180">
        <v>0.14990600000000001</v>
      </c>
      <c r="C180">
        <v>2.945E-2</v>
      </c>
    </row>
    <row r="181" spans="1:3">
      <c r="A181" t="s">
        <v>1006</v>
      </c>
      <c r="B181">
        <v>4.3769000000000002E-2</v>
      </c>
      <c r="C181">
        <v>3.6935999999999997E-2</v>
      </c>
    </row>
    <row r="182" spans="1:3">
      <c r="A182" t="s">
        <v>1007</v>
      </c>
      <c r="B182">
        <v>-1.0662E-2</v>
      </c>
      <c r="C182">
        <v>-1.567E-3</v>
      </c>
    </row>
    <row r="183" spans="1:3">
      <c r="A183" t="s">
        <v>1008</v>
      </c>
      <c r="B183">
        <v>7.4311000000000002E-2</v>
      </c>
      <c r="C183">
        <v>2.0732E-2</v>
      </c>
    </row>
    <row r="184" spans="1:3">
      <c r="A184" t="s">
        <v>1009</v>
      </c>
      <c r="B184">
        <v>8.8224999999999998E-2</v>
      </c>
      <c r="C184">
        <v>4.2986000000000003E-2</v>
      </c>
    </row>
    <row r="185" spans="1:3">
      <c r="A185" t="s">
        <v>1010</v>
      </c>
      <c r="B185">
        <v>-1.7527000000000001E-2</v>
      </c>
      <c r="C185">
        <v>-2.091E-3</v>
      </c>
    </row>
    <row r="186" spans="1:3">
      <c r="A186" t="s">
        <v>1011</v>
      </c>
      <c r="B186">
        <v>-0.17313100000000001</v>
      </c>
      <c r="C186">
        <v>-0.10245600000000001</v>
      </c>
    </row>
    <row r="187" spans="1:3">
      <c r="A187" t="s">
        <v>1012</v>
      </c>
      <c r="B187">
        <v>3.9864999999999998E-2</v>
      </c>
      <c r="C187">
        <v>1.8879E-2</v>
      </c>
    </row>
    <row r="188" spans="1:3">
      <c r="A188" t="s">
        <v>1013</v>
      </c>
      <c r="B188">
        <v>2.8504999999999999E-2</v>
      </c>
      <c r="C188">
        <v>6.3879999999999996E-3</v>
      </c>
    </row>
    <row r="189" spans="1:3">
      <c r="A189" t="s">
        <v>1014</v>
      </c>
      <c r="B189">
        <v>5.2496000000000001E-2</v>
      </c>
      <c r="C189">
        <v>3.1465E-2</v>
      </c>
    </row>
    <row r="190" spans="1:3">
      <c r="A190" t="s">
        <v>1015</v>
      </c>
      <c r="B190">
        <v>-5.1007999999999998E-2</v>
      </c>
      <c r="C190">
        <v>-1.6125E-2</v>
      </c>
    </row>
    <row r="191" spans="1:3">
      <c r="A191" t="s">
        <v>1016</v>
      </c>
      <c r="B191">
        <v>8.9427000000000006E-2</v>
      </c>
      <c r="C191">
        <v>4.9581E-2</v>
      </c>
    </row>
    <row r="192" spans="1:3">
      <c r="A192" t="s">
        <v>1017</v>
      </c>
      <c r="B192">
        <v>3.1482000000000003E-2</v>
      </c>
      <c r="C192">
        <v>2.4541E-2</v>
      </c>
    </row>
    <row r="193" spans="1:3">
      <c r="A193" t="s">
        <v>1018</v>
      </c>
      <c r="B193">
        <v>-4.4511000000000002E-2</v>
      </c>
      <c r="C193">
        <v>-7.1830000000000001E-3</v>
      </c>
    </row>
    <row r="194" spans="1:3">
      <c r="A194" t="s">
        <v>1019</v>
      </c>
      <c r="B194">
        <v>2.9405000000000001E-2</v>
      </c>
      <c r="C194">
        <v>1.2694E-2</v>
      </c>
    </row>
    <row r="195" spans="1:3">
      <c r="A195" t="s">
        <v>1020</v>
      </c>
      <c r="B195">
        <v>1.4760000000000001E-2</v>
      </c>
      <c r="C195">
        <v>1.1634E-2</v>
      </c>
    </row>
    <row r="196" spans="1:3">
      <c r="A196" t="s">
        <v>1021</v>
      </c>
      <c r="B196">
        <v>7.7446000000000001E-2</v>
      </c>
      <c r="C196">
        <v>4.0396000000000001E-2</v>
      </c>
    </row>
    <row r="197" spans="1:3">
      <c r="A197" t="s">
        <v>1022</v>
      </c>
      <c r="B197">
        <v>1.2071E-2</v>
      </c>
      <c r="C197">
        <v>-8.0490000000000006E-3</v>
      </c>
    </row>
    <row r="198" spans="1:3">
      <c r="A198" t="s">
        <v>1023</v>
      </c>
      <c r="B198">
        <v>-8.1231999999999999E-2</v>
      </c>
      <c r="C198">
        <v>-5.8582000000000002E-2</v>
      </c>
    </row>
    <row r="199" spans="1:3">
      <c r="A199" t="s">
        <v>1024</v>
      </c>
      <c r="B199">
        <v>7.4188000000000004E-2</v>
      </c>
      <c r="C199">
        <v>2.8409E-2</v>
      </c>
    </row>
    <row r="200" spans="1:3">
      <c r="A200" t="s">
        <v>1025</v>
      </c>
      <c r="B200">
        <v>2.3163E-2</v>
      </c>
      <c r="C200">
        <v>2.9728000000000001E-2</v>
      </c>
    </row>
    <row r="201" spans="1:3">
      <c r="A201" t="s">
        <v>1026</v>
      </c>
      <c r="B201">
        <v>6.6603999999999997E-2</v>
      </c>
      <c r="C201">
        <v>4.0773999999999998E-2</v>
      </c>
    </row>
    <row r="202" spans="1:3">
      <c r="A202" t="s">
        <v>1027</v>
      </c>
      <c r="B202">
        <v>-2.0060000000000001E-2</v>
      </c>
      <c r="C202">
        <v>-1.2411999999999999E-2</v>
      </c>
    </row>
    <row r="203" spans="1:3">
      <c r="A203" t="s">
        <v>1028</v>
      </c>
      <c r="B203">
        <v>-0.167269</v>
      </c>
      <c r="C203">
        <v>-9.3731999999999996E-2</v>
      </c>
    </row>
    <row r="204" spans="1:3">
      <c r="A204" t="s">
        <v>1029</v>
      </c>
      <c r="B204">
        <v>2.0438999999999999E-2</v>
      </c>
      <c r="C204">
        <v>1.9023999999999999E-2</v>
      </c>
    </row>
    <row r="205" spans="1:3">
      <c r="A205" t="s">
        <v>1030</v>
      </c>
      <c r="B205">
        <v>6.4392000000000005E-2</v>
      </c>
      <c r="C205">
        <v>3.8352999999999998E-2</v>
      </c>
    </row>
    <row r="206" spans="1:3">
      <c r="A206" t="s">
        <v>1031</v>
      </c>
      <c r="B206">
        <v>4.6920999999999997E-2</v>
      </c>
      <c r="C206">
        <v>1.5336000000000001E-2</v>
      </c>
    </row>
    <row r="207" spans="1:3">
      <c r="A207" t="s">
        <v>1032</v>
      </c>
      <c r="B207">
        <v>0.16569300000000001</v>
      </c>
      <c r="C207">
        <v>4.2027000000000002E-2</v>
      </c>
    </row>
    <row r="208" spans="1:3">
      <c r="A208" t="s">
        <v>1033</v>
      </c>
      <c r="B208">
        <v>8.2808000000000007E-2</v>
      </c>
      <c r="C208">
        <v>3.7060000000000003E-2</v>
      </c>
    </row>
    <row r="209" spans="1:3">
      <c r="A209" t="s">
        <v>1034</v>
      </c>
      <c r="B209">
        <v>6.0343000000000001E-2</v>
      </c>
      <c r="C209">
        <v>1.5257E-2</v>
      </c>
    </row>
    <row r="210" spans="1:3">
      <c r="A210" t="s">
        <v>1035</v>
      </c>
      <c r="B210">
        <v>4.9093999999999999E-2</v>
      </c>
      <c r="C210">
        <v>4.2420000000000001E-3</v>
      </c>
    </row>
    <row r="211" spans="1:3">
      <c r="A211" t="s">
        <v>1036</v>
      </c>
      <c r="B211">
        <v>0.12703100000000001</v>
      </c>
      <c r="C211">
        <v>6.2290000000000002E-3</v>
      </c>
    </row>
    <row r="212" spans="1:3">
      <c r="A212" t="s">
        <v>1037</v>
      </c>
      <c r="B212">
        <v>-5.8256000000000002E-2</v>
      </c>
      <c r="C212">
        <v>-2.4393000000000001E-2</v>
      </c>
    </row>
    <row r="213" spans="1:3">
      <c r="A213" t="s">
        <v>1038</v>
      </c>
      <c r="B213">
        <v>-5.7679000000000001E-2</v>
      </c>
      <c r="C213">
        <v>1.0977000000000001E-2</v>
      </c>
    </row>
    <row r="214" spans="1:3">
      <c r="A214" t="s">
        <v>1039</v>
      </c>
      <c r="B214">
        <v>2.8244999999999999E-2</v>
      </c>
      <c r="C214">
        <v>2.7130000000000001E-3</v>
      </c>
    </row>
    <row r="215" spans="1:3">
      <c r="A215" t="s">
        <v>1040</v>
      </c>
      <c r="B215">
        <v>2.6183000000000001E-2</v>
      </c>
      <c r="C215">
        <v>3.6173999999999998E-2</v>
      </c>
    </row>
    <row r="216" spans="1:3">
      <c r="A216" t="s">
        <v>1041</v>
      </c>
      <c r="B216">
        <v>6.5880000000000001E-3</v>
      </c>
      <c r="C216">
        <v>3.4563999999999998E-2</v>
      </c>
    </row>
    <row r="217" spans="1:3">
      <c r="A217" t="s">
        <v>1042</v>
      </c>
      <c r="B217">
        <v>1.0233000000000001E-2</v>
      </c>
      <c r="C217">
        <v>7.1250000000000003E-3</v>
      </c>
    </row>
    <row r="218" spans="1:3">
      <c r="A218" t="s">
        <v>1043</v>
      </c>
      <c r="B218">
        <v>-4.6179999999999999E-2</v>
      </c>
      <c r="C218">
        <v>7.3889999999999997E-3</v>
      </c>
    </row>
    <row r="219" spans="1:3">
      <c r="A219" t="s">
        <v>1044</v>
      </c>
      <c r="B219">
        <v>-3.456E-2</v>
      </c>
      <c r="C219">
        <v>-2.7314999999999999E-2</v>
      </c>
    </row>
    <row r="220" spans="1:3">
      <c r="A220" t="s">
        <v>1045</v>
      </c>
      <c r="B220">
        <v>-0.102053</v>
      </c>
      <c r="C220">
        <v>-2.0544E-2</v>
      </c>
    </row>
    <row r="221" spans="1:3">
      <c r="A221" t="s">
        <v>1046</v>
      </c>
      <c r="B221">
        <v>-0.11158</v>
      </c>
      <c r="C221">
        <v>-1.4467000000000001E-2</v>
      </c>
    </row>
    <row r="222" spans="1:3">
      <c r="A222" t="s">
        <v>1047</v>
      </c>
      <c r="B222">
        <v>8.0998000000000001E-2</v>
      </c>
      <c r="C222">
        <v>3.3223999999999997E-2</v>
      </c>
    </row>
    <row r="223" spans="1:3">
      <c r="A223" t="s">
        <v>1048</v>
      </c>
      <c r="B223">
        <v>5.1623000000000002E-2</v>
      </c>
      <c r="C223">
        <v>1.5798E-2</v>
      </c>
    </row>
    <row r="224" spans="1:3">
      <c r="A224" t="s">
        <v>1049</v>
      </c>
      <c r="B224">
        <v>-2.2169999999999999E-2</v>
      </c>
      <c r="C224">
        <v>1.536E-3</v>
      </c>
    </row>
    <row r="225" spans="1:3">
      <c r="A225" t="s">
        <v>1050</v>
      </c>
      <c r="B225">
        <v>-4.7933000000000003E-2</v>
      </c>
      <c r="C225">
        <v>-1.4392E-2</v>
      </c>
    </row>
    <row r="226" spans="1:3">
      <c r="A226" t="s">
        <v>1051</v>
      </c>
      <c r="B226">
        <v>-8.1838999999999995E-2</v>
      </c>
      <c r="C226">
        <v>-1.0527E-2</v>
      </c>
    </row>
    <row r="227" spans="1:3">
      <c r="A227" t="s">
        <v>1052</v>
      </c>
      <c r="B227">
        <v>-2.0735E-2</v>
      </c>
      <c r="C227">
        <v>-7.4710000000000002E-3</v>
      </c>
    </row>
    <row r="228" spans="1:3">
      <c r="A228" t="s">
        <v>1053</v>
      </c>
      <c r="B228">
        <v>7.3155999999999999E-2</v>
      </c>
      <c r="C228">
        <v>2.0532999999999999E-2</v>
      </c>
    </row>
    <row r="229" spans="1:3">
      <c r="A229" t="s">
        <v>1054</v>
      </c>
      <c r="B229">
        <v>-4.1745999999999998E-2</v>
      </c>
      <c r="C229">
        <v>-8.1539999999999998E-3</v>
      </c>
    </row>
    <row r="230" spans="1:3">
      <c r="A230" t="s">
        <v>1055</v>
      </c>
      <c r="B230">
        <v>-3.2832E-2</v>
      </c>
      <c r="C230">
        <v>-2.5270000000000002E-3</v>
      </c>
    </row>
    <row r="231" spans="1:3">
      <c r="A231" t="s">
        <v>1056</v>
      </c>
      <c r="B231">
        <v>-1.0776000000000001E-2</v>
      </c>
      <c r="C231">
        <v>-2.82E-3</v>
      </c>
    </row>
    <row r="232" spans="1:3">
      <c r="A232" t="s">
        <v>1057</v>
      </c>
      <c r="B232">
        <v>0.11018500000000001</v>
      </c>
      <c r="C232">
        <v>1.3454000000000001E-2</v>
      </c>
    </row>
    <row r="233" spans="1:3">
      <c r="A233" t="s">
        <v>1058</v>
      </c>
      <c r="B233">
        <v>4.7065999999999997E-2</v>
      </c>
      <c r="C233">
        <v>2.8806999999999999E-2</v>
      </c>
    </row>
    <row r="234" spans="1:3">
      <c r="A234" t="s">
        <v>1059</v>
      </c>
      <c r="B234">
        <v>0.13628599999999999</v>
      </c>
      <c r="C234">
        <v>4.1692E-2</v>
      </c>
    </row>
    <row r="235" spans="1:3">
      <c r="A235" t="s">
        <v>1060</v>
      </c>
      <c r="B235">
        <v>5.2925E-2</v>
      </c>
      <c r="C235">
        <v>3.9255999999999999E-2</v>
      </c>
    </row>
    <row r="236" spans="1:3">
      <c r="A236" t="s">
        <v>1061</v>
      </c>
      <c r="B236">
        <v>1.0644000000000001E-2</v>
      </c>
      <c r="C236">
        <v>8.6799999999999996E-4</v>
      </c>
    </row>
    <row r="237" spans="1:3">
      <c r="A237" t="s">
        <v>1062</v>
      </c>
      <c r="B237">
        <v>5.357E-2</v>
      </c>
      <c r="C237">
        <v>1.9952000000000001E-2</v>
      </c>
    </row>
    <row r="238" spans="1:3">
      <c r="A238" t="s">
        <v>1063</v>
      </c>
      <c r="B238">
        <v>4.6205000000000003E-2</v>
      </c>
      <c r="C238">
        <v>2.6619E-2</v>
      </c>
    </row>
    <row r="239" spans="1:3">
      <c r="A239" t="s">
        <v>1064</v>
      </c>
      <c r="B239">
        <v>5.3164000000000003E-2</v>
      </c>
      <c r="C239">
        <v>2.6773999999999999E-2</v>
      </c>
    </row>
    <row r="240" spans="1:3">
      <c r="A240" t="s">
        <v>1065</v>
      </c>
      <c r="B240">
        <v>8.1233E-2</v>
      </c>
      <c r="C240">
        <v>3.4263000000000002E-2</v>
      </c>
    </row>
    <row r="241" spans="1:3">
      <c r="A241" t="s">
        <v>1066</v>
      </c>
      <c r="B241">
        <v>6.613E-3</v>
      </c>
      <c r="C241">
        <v>2.8104000000000001E-2</v>
      </c>
    </row>
    <row r="242" spans="1:3">
      <c r="A242" t="s">
        <v>1067</v>
      </c>
      <c r="B242">
        <v>6.2643000000000004E-2</v>
      </c>
      <c r="C242">
        <v>1.4335000000000001E-2</v>
      </c>
    </row>
    <row r="243" spans="1:3">
      <c r="A243" t="s">
        <v>1068</v>
      </c>
      <c r="B243">
        <v>-4.7178999999999999E-2</v>
      </c>
      <c r="C243">
        <v>1.1089E-2</v>
      </c>
    </row>
    <row r="244" spans="1:3">
      <c r="A244" t="s">
        <v>1069</v>
      </c>
      <c r="B244">
        <v>-1.5806000000000001E-2</v>
      </c>
      <c r="C244">
        <v>6.3480000000000003E-3</v>
      </c>
    </row>
    <row r="245" spans="1:3">
      <c r="A245" t="s">
        <v>1070</v>
      </c>
      <c r="B245">
        <v>1.7425E-2</v>
      </c>
      <c r="C245">
        <v>1.2234999999999999E-2</v>
      </c>
    </row>
    <row r="246" spans="1:3">
      <c r="A246" t="s">
        <v>1071</v>
      </c>
      <c r="B246">
        <v>-4.9607999999999999E-2</v>
      </c>
      <c r="C246">
        <v>-3.8455000000000003E-2</v>
      </c>
    </row>
    <row r="247" spans="1:3">
      <c r="A247" t="s">
        <v>1072</v>
      </c>
      <c r="B247">
        <v>3.0603000000000002E-2</v>
      </c>
      <c r="C247">
        <v>8.8140000000000007E-3</v>
      </c>
    </row>
    <row r="248" spans="1:3">
      <c r="A248" t="s">
        <v>1073</v>
      </c>
      <c r="B248">
        <v>-9.01E-4</v>
      </c>
      <c r="C248">
        <v>-6.7699999999999998E-4</v>
      </c>
    </row>
    <row r="249" spans="1:3">
      <c r="A249" t="s">
        <v>1074</v>
      </c>
      <c r="B249">
        <v>-4.9246999999999999E-2</v>
      </c>
      <c r="C249">
        <v>2.1288000000000001E-2</v>
      </c>
    </row>
    <row r="250" spans="1:3">
      <c r="A250" t="s">
        <v>1075</v>
      </c>
      <c r="B250">
        <v>-5.4287000000000002E-2</v>
      </c>
      <c r="C250">
        <v>-5.208E-3</v>
      </c>
    </row>
    <row r="251" spans="1:3">
      <c r="A251" t="s">
        <v>1076</v>
      </c>
      <c r="B251">
        <v>2.2693000000000001E-2</v>
      </c>
      <c r="C251">
        <v>-2.9260000000000002E-3</v>
      </c>
    </row>
    <row r="252" spans="1:3">
      <c r="A252" t="s">
        <v>1077</v>
      </c>
      <c r="B252">
        <v>3.5992000000000003E-2</v>
      </c>
      <c r="C252">
        <v>1.1237E-2</v>
      </c>
    </row>
    <row r="253" spans="1:3">
      <c r="A253" t="s">
        <v>1078</v>
      </c>
      <c r="B253">
        <v>-5.6925999999999997E-2</v>
      </c>
      <c r="C253">
        <v>-1.3764999999999999E-2</v>
      </c>
    </row>
    <row r="254" spans="1:3">
      <c r="A254" t="s">
        <v>1079</v>
      </c>
      <c r="B254">
        <v>3.1028E-2</v>
      </c>
      <c r="C254">
        <v>3.2200000000000002E-3</v>
      </c>
    </row>
    <row r="255" spans="1:3">
      <c r="A255" t="s">
        <v>1080</v>
      </c>
      <c r="B255">
        <v>-1.355E-2</v>
      </c>
      <c r="C255">
        <v>-1.0507000000000001E-2</v>
      </c>
    </row>
    <row r="256" spans="1:3">
      <c r="A256" t="s">
        <v>1081</v>
      </c>
      <c r="B256">
        <v>0.127916</v>
      </c>
      <c r="C256">
        <v>3.2573999999999999E-2</v>
      </c>
    </row>
    <row r="257" spans="1:3">
      <c r="A257" t="s">
        <v>1082</v>
      </c>
      <c r="B257">
        <v>-1.2179999999999999E-3</v>
      </c>
      <c r="C257">
        <v>1.38E-2</v>
      </c>
    </row>
    <row r="258" spans="1:3">
      <c r="A258" t="s">
        <v>1083</v>
      </c>
      <c r="B258">
        <v>-1.8068000000000001E-2</v>
      </c>
      <c r="C258">
        <v>-4.6750000000000003E-3</v>
      </c>
    </row>
    <row r="259" spans="1:3">
      <c r="A259" t="s">
        <v>1084</v>
      </c>
      <c r="B259">
        <v>-3.026E-3</v>
      </c>
      <c r="C259">
        <v>1.0118E-2</v>
      </c>
    </row>
    <row r="260" spans="1:3">
      <c r="A260" t="s">
        <v>1085</v>
      </c>
      <c r="B260">
        <v>3.8059999999999999E-3</v>
      </c>
      <c r="C260">
        <v>-3.6930000000000001E-3</v>
      </c>
    </row>
    <row r="261" spans="1:3">
      <c r="A261" t="s">
        <v>1086</v>
      </c>
      <c r="B261">
        <v>9.1206999999999996E-2</v>
      </c>
      <c r="C261">
        <v>3.0720000000000001E-2</v>
      </c>
    </row>
    <row r="262" spans="1:3">
      <c r="A262" t="s">
        <v>1087</v>
      </c>
      <c r="B262">
        <v>3.3659000000000001E-2</v>
      </c>
      <c r="C262">
        <v>2.1239000000000001E-2</v>
      </c>
    </row>
    <row r="263" spans="1:3">
      <c r="A263" t="s">
        <v>1088</v>
      </c>
      <c r="B263">
        <v>6.5960000000000003E-3</v>
      </c>
      <c r="C263">
        <v>1.4362E-2</v>
      </c>
    </row>
    <row r="264" spans="1:3">
      <c r="A264" t="s">
        <v>1089</v>
      </c>
      <c r="B264">
        <v>-1.2453000000000001E-2</v>
      </c>
      <c r="C264">
        <v>6.6439999999999997E-3</v>
      </c>
    </row>
    <row r="265" spans="1:3">
      <c r="A265" t="s">
        <v>1090</v>
      </c>
      <c r="B265">
        <v>8.3709000000000006E-2</v>
      </c>
      <c r="C265">
        <v>4.5120000000000004E-3</v>
      </c>
    </row>
    <row r="266" spans="1:3">
      <c r="A266" t="s">
        <v>1091</v>
      </c>
      <c r="B266">
        <v>2.4656999999999998E-2</v>
      </c>
      <c r="C266">
        <v>1.3465E-2</v>
      </c>
    </row>
    <row r="267" spans="1:3">
      <c r="A267" t="s">
        <v>1092</v>
      </c>
      <c r="B267">
        <v>3.2759999999999998E-3</v>
      </c>
      <c r="C267">
        <v>1.3918E-2</v>
      </c>
    </row>
    <row r="268" spans="1:3">
      <c r="A268" t="s">
        <v>1093</v>
      </c>
      <c r="B268">
        <v>-2.5790000000000001E-3</v>
      </c>
      <c r="C268">
        <v>1.4289E-2</v>
      </c>
    </row>
    <row r="269" spans="1:3">
      <c r="A269" t="s">
        <v>1094</v>
      </c>
      <c r="B269">
        <v>-4.5671000000000003E-2</v>
      </c>
      <c r="C269">
        <v>-1.8012E-2</v>
      </c>
    </row>
    <row r="270" spans="1:3">
      <c r="A270" t="s">
        <v>1095</v>
      </c>
      <c r="B270">
        <v>3.0478999999999999E-2</v>
      </c>
      <c r="C270">
        <v>1.9671999999999999E-2</v>
      </c>
    </row>
    <row r="271" spans="1:3">
      <c r="A271" t="s">
        <v>1096</v>
      </c>
      <c r="B271">
        <v>8.5262000000000004E-2</v>
      </c>
      <c r="C271">
        <v>1.4701000000000001E-2</v>
      </c>
    </row>
    <row r="272" spans="1:3">
      <c r="A272" t="s">
        <v>1097</v>
      </c>
      <c r="B272">
        <v>4.5966E-2</v>
      </c>
      <c r="C272">
        <v>8.6510000000000007E-3</v>
      </c>
    </row>
    <row r="273" spans="1:3">
      <c r="A273" t="s">
        <v>1098</v>
      </c>
      <c r="B273">
        <v>-1.7358999999999999E-2</v>
      </c>
      <c r="C273">
        <v>6.2500000000000003E-3</v>
      </c>
    </row>
    <row r="274" spans="1:3">
      <c r="A274" t="s">
        <v>1099</v>
      </c>
      <c r="B274">
        <v>9.4294000000000003E-2</v>
      </c>
      <c r="C274">
        <v>3.56E-2</v>
      </c>
    </row>
    <row r="275" spans="1:3">
      <c r="A275" t="s">
        <v>1100</v>
      </c>
      <c r="B275">
        <v>8.0923999999999996E-2</v>
      </c>
      <c r="C275">
        <v>3.0813E-2</v>
      </c>
    </row>
    <row r="276" spans="1:3">
      <c r="A276" t="s">
        <v>1101</v>
      </c>
      <c r="B276">
        <v>4.2005000000000001E-2</v>
      </c>
      <c r="C276">
        <v>1.052E-2</v>
      </c>
    </row>
    <row r="277" spans="1:3">
      <c r="A277" t="s">
        <v>1102</v>
      </c>
      <c r="B277">
        <v>8.5473999999999994E-2</v>
      </c>
      <c r="C277">
        <v>1.3733E-2</v>
      </c>
    </row>
    <row r="278" spans="1:3">
      <c r="A278" t="s">
        <v>1103</v>
      </c>
      <c r="B278">
        <v>3.6139999999999999E-2</v>
      </c>
      <c r="C278">
        <v>2.0906000000000001E-2</v>
      </c>
    </row>
    <row r="279" spans="1:3">
      <c r="A279" t="s">
        <v>1104</v>
      </c>
      <c r="B279">
        <v>-0.11494699999999999</v>
      </c>
      <c r="C279">
        <v>-4.7038999999999997E-2</v>
      </c>
    </row>
    <row r="280" spans="1:3">
      <c r="A280" t="s">
        <v>1105</v>
      </c>
      <c r="B280">
        <v>3.4611999999999997E-2</v>
      </c>
      <c r="C280">
        <v>4.0850000000000001E-3</v>
      </c>
    </row>
    <row r="281" spans="1:3">
      <c r="A281" t="s">
        <v>1106</v>
      </c>
      <c r="B281">
        <v>-8.0709000000000003E-2</v>
      </c>
      <c r="C281">
        <v>-1.2749999999999999E-2</v>
      </c>
    </row>
    <row r="282" spans="1:3">
      <c r="A282" t="s">
        <v>1107</v>
      </c>
      <c r="B282">
        <v>6.4473000000000003E-2</v>
      </c>
      <c r="C282">
        <v>9.5130000000000006E-3</v>
      </c>
    </row>
    <row r="283" spans="1:3">
      <c r="A283" t="s">
        <v>1108</v>
      </c>
      <c r="B283">
        <v>1.3889E-2</v>
      </c>
      <c r="C283">
        <v>-1.1180000000000001E-3</v>
      </c>
    </row>
    <row r="284" spans="1:3">
      <c r="A284" t="s">
        <v>1109</v>
      </c>
      <c r="B284">
        <v>-2.0306000000000001E-2</v>
      </c>
      <c r="C284">
        <v>-4.0109999999999998E-3</v>
      </c>
    </row>
    <row r="285" spans="1:3">
      <c r="A285" t="s">
        <v>1110</v>
      </c>
      <c r="B285">
        <v>0.15517500000000001</v>
      </c>
      <c r="C285">
        <v>3.1300000000000001E-2</v>
      </c>
    </row>
    <row r="286" spans="1:3">
      <c r="A286" t="s">
        <v>1111</v>
      </c>
      <c r="B286">
        <v>5.2298999999999998E-2</v>
      </c>
      <c r="C286">
        <v>1.2822999999999999E-2</v>
      </c>
    </row>
    <row r="287" spans="1:3">
      <c r="A287" t="s">
        <v>1112</v>
      </c>
      <c r="B287">
        <v>6.3472000000000001E-2</v>
      </c>
      <c r="C287">
        <v>2.6313E-2</v>
      </c>
    </row>
    <row r="288" spans="1:3">
      <c r="A288" t="s">
        <v>1113</v>
      </c>
      <c r="B288">
        <v>-2.622E-2</v>
      </c>
      <c r="C288">
        <v>-2.5461999999999999E-2</v>
      </c>
    </row>
    <row r="289" spans="1:3">
      <c r="A289" t="s">
        <v>1114</v>
      </c>
      <c r="B289">
        <v>-6.3599999999999996E-4</v>
      </c>
      <c r="C289">
        <v>-5.5370000000000003E-3</v>
      </c>
    </row>
    <row r="290" spans="1:3">
      <c r="A290" t="s">
        <v>1115</v>
      </c>
      <c r="B290">
        <v>6.5318000000000001E-2</v>
      </c>
      <c r="C290">
        <v>1.1096E-2</v>
      </c>
    </row>
    <row r="291" spans="1:3">
      <c r="A291" t="s">
        <v>1116</v>
      </c>
      <c r="B291">
        <v>3.7379000000000003E-2</v>
      </c>
      <c r="C291">
        <v>9.5759999999999994E-3</v>
      </c>
    </row>
    <row r="292" spans="1:3">
      <c r="A292" t="s">
        <v>1117</v>
      </c>
      <c r="B292">
        <v>6.2634999999999996E-2</v>
      </c>
      <c r="C292">
        <v>7.5969999999999996E-3</v>
      </c>
    </row>
    <row r="293" spans="1:3">
      <c r="A293" t="s">
        <v>1118</v>
      </c>
      <c r="B293">
        <v>-2.9652999999999999E-2</v>
      </c>
      <c r="C293">
        <v>-7.8689999999999993E-3</v>
      </c>
    </row>
    <row r="294" spans="1:3">
      <c r="A294" t="s">
        <v>1119</v>
      </c>
      <c r="B294">
        <v>-0.27103100000000002</v>
      </c>
      <c r="C294">
        <v>-0.10299899999999999</v>
      </c>
    </row>
    <row r="295" spans="1:3">
      <c r="A295" t="s">
        <v>1120</v>
      </c>
      <c r="B295">
        <v>-0.110459</v>
      </c>
      <c r="C295">
        <v>-1.3679999999999999E-2</v>
      </c>
    </row>
    <row r="296" spans="1:3">
      <c r="A296" t="s">
        <v>1121</v>
      </c>
      <c r="B296">
        <v>0.121889</v>
      </c>
      <c r="C296">
        <v>2.9447000000000001E-2</v>
      </c>
    </row>
    <row r="297" spans="1:3">
      <c r="A297" t="s">
        <v>1122</v>
      </c>
      <c r="B297">
        <v>2.1583000000000001E-2</v>
      </c>
      <c r="C297">
        <v>2.3796999999999999E-2</v>
      </c>
    </row>
    <row r="298" spans="1:3">
      <c r="A298" t="s">
        <v>1123</v>
      </c>
      <c r="B298">
        <v>0.104159</v>
      </c>
      <c r="C298">
        <v>4.7413999999999998E-2</v>
      </c>
    </row>
    <row r="299" spans="1:3">
      <c r="A299" t="s">
        <v>1124</v>
      </c>
      <c r="B299">
        <v>7.783E-3</v>
      </c>
      <c r="C299">
        <v>2.4159E-2</v>
      </c>
    </row>
    <row r="300" spans="1:3">
      <c r="A300" t="s">
        <v>1125</v>
      </c>
      <c r="B300">
        <v>1.6497000000000001E-2</v>
      </c>
      <c r="C300">
        <v>2.0261000000000001E-2</v>
      </c>
    </row>
    <row r="301" spans="1:3">
      <c r="A301" t="s">
        <v>1126</v>
      </c>
      <c r="B301">
        <v>-2.1711000000000001E-2</v>
      </c>
      <c r="C301">
        <v>-9.5270000000000007E-3</v>
      </c>
    </row>
    <row r="302" spans="1:3">
      <c r="A302" t="s">
        <v>1127</v>
      </c>
      <c r="B302">
        <v>4.8085999999999997E-2</v>
      </c>
      <c r="C302">
        <v>3.2539999999999999E-2</v>
      </c>
    </row>
    <row r="303" spans="1:3">
      <c r="A303" t="s">
        <v>1128</v>
      </c>
      <c r="B303">
        <v>-2.9596999999999998E-2</v>
      </c>
      <c r="C303">
        <v>-7.5500000000000003E-3</v>
      </c>
    </row>
    <row r="304" spans="1:3">
      <c r="A304" t="s">
        <v>1129</v>
      </c>
      <c r="B304">
        <v>-4.4311000000000003E-2</v>
      </c>
      <c r="C304">
        <v>-1.1475000000000001E-2</v>
      </c>
    </row>
    <row r="305" spans="1:3">
      <c r="A305" t="s">
        <v>1130</v>
      </c>
      <c r="B305">
        <v>5.6617000000000001E-2</v>
      </c>
      <c r="C305">
        <v>1.7385999999999999E-2</v>
      </c>
    </row>
    <row r="306" spans="1:3">
      <c r="A306" t="s">
        <v>1131</v>
      </c>
      <c r="B306">
        <v>2.3057999999999999E-2</v>
      </c>
      <c r="C306">
        <v>-9.7149999999999997E-3</v>
      </c>
    </row>
    <row r="307" spans="1:3">
      <c r="A307" t="s">
        <v>1132</v>
      </c>
      <c r="B307">
        <v>-2.6026000000000001E-2</v>
      </c>
      <c r="C307">
        <v>-1.6395E-2</v>
      </c>
    </row>
    <row r="308" spans="1:3">
      <c r="A308" t="s">
        <v>1133</v>
      </c>
      <c r="B308">
        <v>5.3516000000000001E-2</v>
      </c>
      <c r="C308">
        <v>1.7184999999999999E-2</v>
      </c>
    </row>
    <row r="309" spans="1:3">
      <c r="A309" t="s">
        <v>1134</v>
      </c>
      <c r="B309">
        <v>4.3568000000000003E-2</v>
      </c>
      <c r="C309">
        <v>2.0542000000000001E-2</v>
      </c>
    </row>
    <row r="310" spans="1:3">
      <c r="A310" t="s">
        <v>1135</v>
      </c>
      <c r="B310">
        <v>-7.4809999999999998E-3</v>
      </c>
      <c r="C310">
        <v>1.6022000000000002E-2</v>
      </c>
    </row>
    <row r="311" spans="1:3">
      <c r="A311" t="s">
        <v>1136</v>
      </c>
      <c r="B311">
        <v>2.9065000000000001E-2</v>
      </c>
      <c r="C311">
        <v>2.0608999999999999E-2</v>
      </c>
    </row>
    <row r="312" spans="1:3">
      <c r="A312" t="s">
        <v>1137</v>
      </c>
      <c r="B312">
        <v>7.8445000000000001E-2</v>
      </c>
      <c r="C312">
        <v>8.0979999999999993E-3</v>
      </c>
    </row>
    <row r="313" spans="1:3">
      <c r="A313" t="s">
        <v>1138</v>
      </c>
      <c r="B313">
        <v>5.1034000000000003E-2</v>
      </c>
      <c r="C313">
        <v>1.2748000000000001E-2</v>
      </c>
    </row>
    <row r="314" spans="1:3">
      <c r="A314" t="s">
        <v>1139</v>
      </c>
      <c r="B314">
        <v>-1.1183999999999999E-2</v>
      </c>
      <c r="C314">
        <v>-7.3600000000000002E-3</v>
      </c>
    </row>
    <row r="315" spans="1:3">
      <c r="A315" t="s">
        <v>1140</v>
      </c>
      <c r="B315">
        <v>0.12690799999999999</v>
      </c>
      <c r="C315">
        <v>1.444E-3</v>
      </c>
    </row>
    <row r="316" spans="1:3">
      <c r="A316" t="s">
        <v>1141</v>
      </c>
      <c r="B316">
        <v>2.3989E-2</v>
      </c>
      <c r="C316">
        <v>1.1949E-2</v>
      </c>
    </row>
    <row r="317" spans="1:3">
      <c r="A317" t="s">
        <v>1142</v>
      </c>
      <c r="B317">
        <v>2.8254999999999999E-2</v>
      </c>
      <c r="C317">
        <v>-2.4499999999999999E-3</v>
      </c>
    </row>
    <row r="318" spans="1:3">
      <c r="A318" t="s">
        <v>1143</v>
      </c>
      <c r="B318">
        <v>-4.7822999999999997E-2</v>
      </c>
      <c r="C318">
        <v>-2.9774999999999999E-2</v>
      </c>
    </row>
    <row r="319" spans="1:3">
      <c r="A319" t="s">
        <v>1144</v>
      </c>
      <c r="B319">
        <v>2.4816000000000001E-2</v>
      </c>
      <c r="C319">
        <v>-8.1209999999999997E-3</v>
      </c>
    </row>
    <row r="320" spans="1:3">
      <c r="A320" t="s">
        <v>1145</v>
      </c>
      <c r="B320">
        <v>3.9789999999999999E-3</v>
      </c>
      <c r="C320">
        <v>-9.6950000000000005E-3</v>
      </c>
    </row>
    <row r="321" spans="1:3">
      <c r="A321" t="s">
        <v>1146</v>
      </c>
      <c r="B321">
        <v>-0.106359</v>
      </c>
      <c r="C321">
        <v>-4.4364000000000001E-2</v>
      </c>
    </row>
    <row r="322" spans="1:3">
      <c r="A322" t="s">
        <v>1147</v>
      </c>
      <c r="B322">
        <v>1.6445999999999999E-2</v>
      </c>
      <c r="C322">
        <v>2.0036999999999999E-2</v>
      </c>
    </row>
    <row r="323" spans="1:3">
      <c r="A323" t="s">
        <v>1148</v>
      </c>
      <c r="B323">
        <v>4.0977E-2</v>
      </c>
      <c r="C323">
        <v>1.9073E-2</v>
      </c>
    </row>
    <row r="324" spans="1:3">
      <c r="A324" t="s">
        <v>1149</v>
      </c>
      <c r="B324">
        <v>-1.3043000000000001E-2</v>
      </c>
      <c r="C324">
        <v>-1.8926999999999999E-2</v>
      </c>
    </row>
    <row r="325" spans="1:3">
      <c r="A325" t="s">
        <v>1150</v>
      </c>
      <c r="B325">
        <v>0.122866</v>
      </c>
      <c r="C325">
        <v>5.4299999999999999E-3</v>
      </c>
    </row>
    <row r="326" spans="1:3">
      <c r="A326" t="s">
        <v>1151</v>
      </c>
      <c r="B326">
        <v>-3.7680000000000001E-3</v>
      </c>
      <c r="C326">
        <v>-2.1389999999999998E-3</v>
      </c>
    </row>
    <row r="327" spans="1:3">
      <c r="A327" t="s">
        <v>1152</v>
      </c>
      <c r="B327">
        <v>-1.7972999999999999E-2</v>
      </c>
      <c r="C327">
        <v>-2.4899000000000001E-2</v>
      </c>
    </row>
    <row r="328" spans="1:3">
      <c r="A328" t="s">
        <v>1153</v>
      </c>
      <c r="B328">
        <v>-0.13753699999999999</v>
      </c>
      <c r="C328">
        <v>-5.1866000000000002E-2</v>
      </c>
    </row>
    <row r="329" spans="1:3">
      <c r="A329" t="s">
        <v>1154</v>
      </c>
      <c r="B329">
        <v>-4.1041000000000001E-2</v>
      </c>
      <c r="C329">
        <v>-4.1224999999999998E-2</v>
      </c>
    </row>
    <row r="330" spans="1:3">
      <c r="A330" t="s">
        <v>1155</v>
      </c>
      <c r="B330">
        <v>-4.7060000000000001E-3</v>
      </c>
      <c r="C330">
        <v>-1.6899000000000001E-2</v>
      </c>
    </row>
    <row r="331" spans="1:3">
      <c r="A331" t="s">
        <v>1156</v>
      </c>
      <c r="B331">
        <v>6.4649999999999999E-2</v>
      </c>
      <c r="C331">
        <v>1.3827000000000001E-2</v>
      </c>
    </row>
    <row r="332" spans="1:3">
      <c r="A332" t="s">
        <v>1157</v>
      </c>
      <c r="B332">
        <v>6.9192000000000004E-2</v>
      </c>
      <c r="C332">
        <v>2.6914E-2</v>
      </c>
    </row>
    <row r="333" spans="1:3">
      <c r="A333" t="s">
        <v>1158</v>
      </c>
      <c r="B333">
        <v>5.8411999999999999E-2</v>
      </c>
      <c r="C333">
        <v>4.3568000000000003E-2</v>
      </c>
    </row>
    <row r="334" spans="1:3">
      <c r="A334" t="s">
        <v>1159</v>
      </c>
      <c r="B334">
        <v>8.1992999999999996E-2</v>
      </c>
      <c r="C334">
        <v>4.2386E-2</v>
      </c>
    </row>
    <row r="335" spans="1:3">
      <c r="A335" t="s">
        <v>1160</v>
      </c>
      <c r="B335">
        <v>3.6986999999999999E-2</v>
      </c>
      <c r="C335">
        <v>2.4736000000000001E-2</v>
      </c>
    </row>
    <row r="336" spans="1:3">
      <c r="A336" t="s">
        <v>1161</v>
      </c>
      <c r="B336">
        <v>1.3871E-2</v>
      </c>
      <c r="C336">
        <v>1.8176999999999999E-2</v>
      </c>
    </row>
    <row r="337" spans="1:3">
      <c r="A337" t="s">
        <v>1162</v>
      </c>
      <c r="B337">
        <v>4.5872999999999997E-2</v>
      </c>
      <c r="C337">
        <v>2.1451999999999999E-2</v>
      </c>
    </row>
    <row r="338" spans="1:3">
      <c r="A338" t="s">
        <v>1163</v>
      </c>
      <c r="B338">
        <v>-4.1093999999999999E-2</v>
      </c>
      <c r="C338">
        <v>-1.0241999999999999E-2</v>
      </c>
    </row>
    <row r="339" spans="1:3">
      <c r="A339" t="s">
        <v>1164</v>
      </c>
      <c r="B339">
        <v>5.5863999999999997E-2</v>
      </c>
      <c r="C339">
        <v>1.2522E-2</v>
      </c>
    </row>
    <row r="340" spans="1:3">
      <c r="A340" t="s">
        <v>1165</v>
      </c>
      <c r="B340">
        <v>6.0224E-2</v>
      </c>
      <c r="C340">
        <v>2.5378999999999999E-2</v>
      </c>
    </row>
    <row r="341" spans="1:3">
      <c r="A341" t="s">
        <v>1166</v>
      </c>
      <c r="B341">
        <v>-9.7640000000000001E-3</v>
      </c>
      <c r="C341">
        <v>-5.457E-3</v>
      </c>
    </row>
    <row r="342" spans="1:3">
      <c r="A342" t="s">
        <v>1167</v>
      </c>
      <c r="B342">
        <v>-1.3853000000000001E-2</v>
      </c>
      <c r="C342">
        <v>9.0200000000000002E-4</v>
      </c>
    </row>
    <row r="343" spans="1:3">
      <c r="A343" t="s">
        <v>1168</v>
      </c>
      <c r="B343">
        <v>-1.0347E-2</v>
      </c>
      <c r="C343">
        <v>-3.3280999999999998E-2</v>
      </c>
    </row>
    <row r="344" spans="1:3">
      <c r="A344" t="s">
        <v>1169</v>
      </c>
      <c r="B344">
        <v>0.152536</v>
      </c>
      <c r="C344">
        <v>3.7884000000000001E-2</v>
      </c>
    </row>
    <row r="345" spans="1:3">
      <c r="A345" t="s">
        <v>1170</v>
      </c>
      <c r="B345">
        <v>3.3179E-2</v>
      </c>
      <c r="C345">
        <v>5.9781000000000001E-2</v>
      </c>
    </row>
    <row r="346" spans="1:3">
      <c r="A346" t="s">
        <v>1171</v>
      </c>
      <c r="B346">
        <v>-1.1261999999999999E-2</v>
      </c>
      <c r="C346">
        <v>4.0559999999999999E-2</v>
      </c>
    </row>
    <row r="347" spans="1:3">
      <c r="A347" t="s">
        <v>1172</v>
      </c>
      <c r="B347">
        <v>-2.5739999999999999E-2</v>
      </c>
      <c r="C347">
        <v>-1.3240999999999999E-2</v>
      </c>
    </row>
    <row r="348" spans="1:3">
      <c r="A348" t="s">
        <v>1173</v>
      </c>
      <c r="B348">
        <v>5.2709999999999996E-3</v>
      </c>
      <c r="C348">
        <v>-1.1395000000000001E-2</v>
      </c>
    </row>
    <row r="349" spans="1:3">
      <c r="A349" t="s">
        <v>1174</v>
      </c>
      <c r="B349">
        <v>-5.7980000000000002E-3</v>
      </c>
      <c r="C349">
        <v>-2.6359999999999999E-3</v>
      </c>
    </row>
    <row r="350" spans="1:3">
      <c r="A350" t="s">
        <v>1175</v>
      </c>
      <c r="B350">
        <v>-3.5902000000000003E-2</v>
      </c>
      <c r="C350">
        <v>-1.0331E-2</v>
      </c>
    </row>
    <row r="351" spans="1:3">
      <c r="A351" t="s">
        <v>1176</v>
      </c>
      <c r="B351">
        <v>4.5866999999999998E-2</v>
      </c>
      <c r="C351">
        <v>1.0194999999999999E-2</v>
      </c>
    </row>
    <row r="352" spans="1:3">
      <c r="A352" t="s">
        <v>1177</v>
      </c>
      <c r="B352">
        <v>5.169E-3</v>
      </c>
      <c r="C352">
        <v>1.2620000000000001E-3</v>
      </c>
    </row>
    <row r="353" spans="1:3">
      <c r="A353" t="s">
        <v>1178</v>
      </c>
      <c r="B353">
        <v>3.3045999999999999E-2</v>
      </c>
      <c r="C353">
        <v>2.3217000000000002E-2</v>
      </c>
    </row>
    <row r="354" spans="1:3">
      <c r="A354" t="s">
        <v>1179</v>
      </c>
      <c r="B354">
        <v>4.9132000000000002E-2</v>
      </c>
      <c r="C354">
        <v>1.5268E-2</v>
      </c>
    </row>
    <row r="355" spans="1:3">
      <c r="A355" t="s">
        <v>1180</v>
      </c>
      <c r="B355">
        <v>6.7433000000000007E-2</v>
      </c>
      <c r="C355">
        <v>2.6197000000000002E-2</v>
      </c>
    </row>
    <row r="356" spans="1:3">
      <c r="A356" t="s">
        <v>1181</v>
      </c>
      <c r="B356">
        <v>3.1477999999999999E-2</v>
      </c>
      <c r="C356">
        <v>2.0791E-2</v>
      </c>
    </row>
    <row r="357" spans="1:3">
      <c r="A357" t="s">
        <v>1182</v>
      </c>
      <c r="B357">
        <v>-5.1110000000000001E-3</v>
      </c>
      <c r="C357">
        <v>2.2350999999999999E-2</v>
      </c>
    </row>
    <row r="358" spans="1:3">
      <c r="A358" t="s">
        <v>1183</v>
      </c>
      <c r="B358">
        <v>-7.8600000000000007E-3</v>
      </c>
      <c r="C358">
        <v>6.9979999999999999E-3</v>
      </c>
    </row>
    <row r="359" spans="1:3">
      <c r="A359" t="s">
        <v>1184</v>
      </c>
      <c r="B359">
        <v>2.3022000000000001E-2</v>
      </c>
      <c r="C359">
        <v>1.7718000000000001E-2</v>
      </c>
    </row>
    <row r="360" spans="1:3">
      <c r="A360" t="s">
        <v>1185</v>
      </c>
      <c r="B360">
        <v>-8.3848000000000006E-2</v>
      </c>
      <c r="C360">
        <v>-2.0972999999999999E-2</v>
      </c>
    </row>
    <row r="361" spans="1:3">
      <c r="A361" t="s">
        <v>1186</v>
      </c>
      <c r="B361">
        <v>4.0363999999999997E-2</v>
      </c>
      <c r="C361">
        <v>4.8650000000000004E-3</v>
      </c>
    </row>
    <row r="362" spans="1:3">
      <c r="A362" t="s">
        <v>1187</v>
      </c>
      <c r="B362">
        <v>-9.894E-3</v>
      </c>
      <c r="C362">
        <v>-5.8300000000000001E-3</v>
      </c>
    </row>
    <row r="363" spans="1:3">
      <c r="A363" t="s">
        <v>1188</v>
      </c>
      <c r="B363">
        <v>-1.3990000000000001E-2</v>
      </c>
      <c r="C363">
        <v>5.555E-3</v>
      </c>
    </row>
    <row r="364" spans="1:3">
      <c r="A364" t="s">
        <v>1189</v>
      </c>
      <c r="B364">
        <v>3.2009999999999997E-2</v>
      </c>
      <c r="C364">
        <v>7.8840000000000004E-3</v>
      </c>
    </row>
    <row r="365" spans="1:3">
      <c r="A365" t="s">
        <v>1190</v>
      </c>
      <c r="B365">
        <v>1.8608E-2</v>
      </c>
      <c r="C365">
        <v>1.1853000000000001E-2</v>
      </c>
    </row>
    <row r="366" spans="1:3">
      <c r="A366" t="s">
        <v>1191</v>
      </c>
      <c r="B366">
        <v>3.9819E-2</v>
      </c>
      <c r="C366">
        <v>6.071E-3</v>
      </c>
    </row>
    <row r="367" spans="1:3">
      <c r="A367" t="s">
        <v>1192</v>
      </c>
      <c r="B367">
        <v>1.1485E-2</v>
      </c>
      <c r="C367">
        <v>-1.2225E-2</v>
      </c>
    </row>
    <row r="368" spans="1:3">
      <c r="A368" t="s">
        <v>1193</v>
      </c>
      <c r="B368">
        <v>3.6784999999999998E-2</v>
      </c>
      <c r="C368">
        <v>2.4365000000000001E-2</v>
      </c>
    </row>
    <row r="369" spans="1:3">
      <c r="A369" t="s">
        <v>1194</v>
      </c>
      <c r="B369">
        <v>3.8578000000000001E-2</v>
      </c>
      <c r="C369">
        <v>-2.843E-3</v>
      </c>
    </row>
    <row r="370" spans="1:3">
      <c r="A370" t="s">
        <v>1195</v>
      </c>
      <c r="B370">
        <v>5.3800000000000002E-3</v>
      </c>
      <c r="C370">
        <v>5.3449999999999999E-3</v>
      </c>
    </row>
    <row r="371" spans="1:3">
      <c r="A371" t="s">
        <v>1196</v>
      </c>
      <c r="B371">
        <v>-5.7279999999999998E-2</v>
      </c>
      <c r="C371">
        <v>-1.0952E-2</v>
      </c>
    </row>
    <row r="372" spans="1:3">
      <c r="A372" t="s">
        <v>1197</v>
      </c>
      <c r="B372">
        <v>1.5806000000000001E-2</v>
      </c>
      <c r="C372">
        <v>-6.0419999999999996E-3</v>
      </c>
    </row>
    <row r="373" spans="1:3">
      <c r="A373" t="s">
        <v>1198</v>
      </c>
      <c r="B373">
        <v>-2.2228999999999999E-2</v>
      </c>
      <c r="C373">
        <v>-8.6280000000000003E-3</v>
      </c>
    </row>
    <row r="374" spans="1:3">
      <c r="A374" t="s">
        <v>1199</v>
      </c>
      <c r="B374">
        <v>-1.9415999999999999E-2</v>
      </c>
      <c r="C374">
        <v>-4.0819999999999997E-3</v>
      </c>
    </row>
    <row r="375" spans="1:3">
      <c r="A375" t="s">
        <v>1200</v>
      </c>
      <c r="B375">
        <v>2.1111000000000001E-2</v>
      </c>
      <c r="C375">
        <v>-3.1000000000000001E-5</v>
      </c>
    </row>
    <row r="376" spans="1:3">
      <c r="A376" t="s">
        <v>1201</v>
      </c>
      <c r="B376">
        <v>7.9208000000000001E-2</v>
      </c>
      <c r="C376">
        <v>3.0373000000000001E-2</v>
      </c>
    </row>
    <row r="377" spans="1:3">
      <c r="A377" t="s">
        <v>1202</v>
      </c>
      <c r="B377">
        <v>-7.7340000000000004E-3</v>
      </c>
      <c r="C377">
        <v>4.8419999999999999E-3</v>
      </c>
    </row>
    <row r="378" spans="1:3">
      <c r="A378" t="s">
        <v>1203</v>
      </c>
      <c r="B378">
        <v>1.6962000000000001E-2</v>
      </c>
      <c r="C378">
        <v>-1.7052000000000001E-2</v>
      </c>
    </row>
    <row r="379" spans="1:3">
      <c r="A379" t="s">
        <v>1204</v>
      </c>
      <c r="B379">
        <v>-4.3686000000000003E-2</v>
      </c>
      <c r="C379">
        <v>-1.908E-2</v>
      </c>
    </row>
    <row r="380" spans="1:3">
      <c r="A380" t="s">
        <v>1205</v>
      </c>
      <c r="B380">
        <v>8.3580000000000008E-3</v>
      </c>
      <c r="C380">
        <v>5.0699999999999999E-3</v>
      </c>
    </row>
    <row r="381" spans="1:3">
      <c r="A381" t="s">
        <v>1206</v>
      </c>
      <c r="B381">
        <v>-1.9167E-2</v>
      </c>
      <c r="C381">
        <v>-9.0109999999999999E-3</v>
      </c>
    </row>
    <row r="382" spans="1:3">
      <c r="A382" t="s">
        <v>1207</v>
      </c>
      <c r="B382">
        <v>2.9956E-2</v>
      </c>
      <c r="C382">
        <v>7.319E-3</v>
      </c>
    </row>
    <row r="383" spans="1:3">
      <c r="A383" t="s">
        <v>1208</v>
      </c>
      <c r="B383">
        <v>5.1066E-2</v>
      </c>
      <c r="C383">
        <v>-5.9480000000000002E-3</v>
      </c>
    </row>
    <row r="384" spans="1:3">
      <c r="A384" t="s">
        <v>1209</v>
      </c>
      <c r="B384">
        <v>3.9095999999999999E-2</v>
      </c>
      <c r="C384">
        <v>1.2713E-2</v>
      </c>
    </row>
    <row r="385" spans="1:3">
      <c r="A385" t="s">
        <v>1210</v>
      </c>
      <c r="B385">
        <v>7.4419999999999998E-3</v>
      </c>
      <c r="C385">
        <v>1.6990000000000002E-2</v>
      </c>
    </row>
    <row r="386" spans="1:3">
      <c r="A386" t="s">
        <v>1211</v>
      </c>
      <c r="B386">
        <v>3.4529999999999998E-2</v>
      </c>
      <c r="C386">
        <v>1.4415000000000001E-2</v>
      </c>
    </row>
    <row r="387" spans="1:3">
      <c r="A387" t="s">
        <v>1212</v>
      </c>
      <c r="B387">
        <v>5.6096E-2</v>
      </c>
      <c r="C387">
        <v>1.8484E-2</v>
      </c>
    </row>
    <row r="388" spans="1:3">
      <c r="A388" t="s">
        <v>1213</v>
      </c>
      <c r="B388">
        <v>3.47E-3</v>
      </c>
      <c r="C388">
        <v>8.9619999999999995E-3</v>
      </c>
    </row>
    <row r="389" spans="1:3">
      <c r="A389" t="s">
        <v>1214</v>
      </c>
      <c r="B389">
        <v>3.6814E-2</v>
      </c>
      <c r="C389">
        <v>1.435E-2</v>
      </c>
    </row>
    <row r="390" spans="1:3">
      <c r="A390" t="s">
        <v>1215</v>
      </c>
      <c r="B390">
        <v>-1.1814E-2</v>
      </c>
      <c r="C390">
        <v>-2.2102E-2</v>
      </c>
    </row>
    <row r="391" spans="1:3">
      <c r="A391" t="s">
        <v>1216</v>
      </c>
      <c r="B391">
        <v>3.3105999999999997E-2</v>
      </c>
      <c r="C391">
        <v>1.4593E-2</v>
      </c>
    </row>
    <row r="392" spans="1:3">
      <c r="A392" t="s">
        <v>1217</v>
      </c>
      <c r="B392">
        <v>3.8789999999999998E-2</v>
      </c>
      <c r="C392">
        <v>8.8590000000000006E-3</v>
      </c>
    </row>
    <row r="393" spans="1:3">
      <c r="A393" t="s">
        <v>1218</v>
      </c>
      <c r="B393">
        <v>6.8719000000000002E-2</v>
      </c>
      <c r="C393">
        <v>-6.3530000000000001E-3</v>
      </c>
    </row>
    <row r="394" spans="1:3">
      <c r="A394" t="s">
        <v>1219</v>
      </c>
      <c r="B394">
        <v>1.4677000000000001E-2</v>
      </c>
      <c r="C394">
        <v>1.2786E-2</v>
      </c>
    </row>
    <row r="395" spans="1:3">
      <c r="A395" t="s">
        <v>1220</v>
      </c>
      <c r="B395">
        <v>-1.423E-3</v>
      </c>
      <c r="C395">
        <v>1.2459E-2</v>
      </c>
    </row>
    <row r="396" spans="1:3">
      <c r="A396" t="s">
        <v>1221</v>
      </c>
      <c r="B396">
        <v>5.3415999999999998E-2</v>
      </c>
      <c r="C396">
        <v>2.4500999999999998E-2</v>
      </c>
    </row>
    <row r="397" spans="1:3">
      <c r="A397" t="s">
        <v>1222</v>
      </c>
      <c r="B397">
        <v>5.9311000000000003E-2</v>
      </c>
      <c r="C397">
        <v>3.3098000000000002E-2</v>
      </c>
    </row>
    <row r="398" spans="1:3">
      <c r="A398" t="s">
        <v>1223</v>
      </c>
      <c r="B398">
        <v>2.5387E-2</v>
      </c>
      <c r="C398">
        <v>1.1155E-2</v>
      </c>
    </row>
    <row r="399" spans="1:3">
      <c r="A399" t="s">
        <v>1224</v>
      </c>
      <c r="B399">
        <v>-5.5944000000000001E-2</v>
      </c>
      <c r="C399">
        <v>-2.1982000000000002E-2</v>
      </c>
    </row>
    <row r="400" spans="1:3">
      <c r="A400" t="s">
        <v>1225</v>
      </c>
      <c r="B400">
        <v>2.8129999999999999E-2</v>
      </c>
      <c r="C400">
        <v>2.7518999999999998E-2</v>
      </c>
    </row>
    <row r="401" spans="1:3">
      <c r="A401" t="s">
        <v>1226</v>
      </c>
      <c r="B401">
        <v>7.0238999999999996E-2</v>
      </c>
      <c r="C401">
        <v>1.1702000000000001E-2</v>
      </c>
    </row>
    <row r="402" spans="1:3">
      <c r="A402" t="s">
        <v>1227</v>
      </c>
      <c r="B402">
        <v>2.0663999999999998E-2</v>
      </c>
      <c r="C402">
        <v>-3.1120000000000002E-3</v>
      </c>
    </row>
    <row r="403" spans="1:3">
      <c r="A403" t="s">
        <v>1228</v>
      </c>
      <c r="B403">
        <v>8.2150000000000001E-2</v>
      </c>
      <c r="C403">
        <v>1.5296000000000001E-2</v>
      </c>
    </row>
    <row r="404" spans="1:3">
      <c r="A404" t="s">
        <v>1229</v>
      </c>
      <c r="B404">
        <v>-7.3130000000000001E-3</v>
      </c>
      <c r="C404">
        <v>2.6768E-2</v>
      </c>
    </row>
    <row r="405" spans="1:3">
      <c r="A405" t="s">
        <v>1230</v>
      </c>
      <c r="B405">
        <v>7.1647000000000002E-2</v>
      </c>
      <c r="C405">
        <v>5.6800000000000002E-3</v>
      </c>
    </row>
    <row r="406" spans="1:3">
      <c r="A406" t="s">
        <v>1231</v>
      </c>
      <c r="B406">
        <v>-8.9549999999999994E-3</v>
      </c>
      <c r="C406">
        <v>8.6689999999999996E-3</v>
      </c>
    </row>
    <row r="407" spans="1:3">
      <c r="A407" t="s">
        <v>1232</v>
      </c>
      <c r="B407">
        <v>-6.3404000000000002E-2</v>
      </c>
      <c r="C407">
        <v>-1.023E-2</v>
      </c>
    </row>
    <row r="408" spans="1:3">
      <c r="A408" t="s">
        <v>1233</v>
      </c>
      <c r="B408">
        <v>6.1053000000000003E-2</v>
      </c>
      <c r="C408">
        <v>-3.5010000000000002E-3</v>
      </c>
    </row>
    <row r="409" spans="1:3">
      <c r="A409" t="s">
        <v>1234</v>
      </c>
      <c r="B409">
        <v>9.8303000000000001E-2</v>
      </c>
      <c r="C409">
        <v>3.1382E-2</v>
      </c>
    </row>
    <row r="410" spans="1:3">
      <c r="A410" t="s">
        <v>1235</v>
      </c>
      <c r="B410">
        <v>4.3709999999999999E-2</v>
      </c>
      <c r="C410">
        <v>3.0981000000000002E-2</v>
      </c>
    </row>
    <row r="411" spans="1:3">
      <c r="A411" t="s">
        <v>1236</v>
      </c>
      <c r="B411">
        <v>6.9682999999999995E-2</v>
      </c>
      <c r="C411">
        <v>1.4236E-2</v>
      </c>
    </row>
    <row r="412" spans="1:3">
      <c r="A412" t="s">
        <v>1237</v>
      </c>
      <c r="B412">
        <v>-4.4162E-2</v>
      </c>
      <c r="C412">
        <v>2.4544E-2</v>
      </c>
    </row>
    <row r="413" spans="1:3">
      <c r="A413" t="s">
        <v>1238</v>
      </c>
      <c r="B413">
        <v>2.0091000000000001E-2</v>
      </c>
      <c r="C413">
        <v>2.4757999999999999E-2</v>
      </c>
    </row>
    <row r="414" spans="1:3">
      <c r="A414" t="s">
        <v>1239</v>
      </c>
      <c r="B414">
        <v>-3.6701999999999999E-2</v>
      </c>
      <c r="C414">
        <v>-6.9880000000000003E-3</v>
      </c>
    </row>
    <row r="415" spans="1:3">
      <c r="A415" t="s">
        <v>1240</v>
      </c>
      <c r="B415">
        <v>6.0478999999999998E-2</v>
      </c>
      <c r="C415">
        <v>-3.3969999999999998E-3</v>
      </c>
    </row>
    <row r="416" spans="1:3">
      <c r="A416" t="s">
        <v>1241</v>
      </c>
      <c r="B416">
        <v>2.0105999999999999E-2</v>
      </c>
      <c r="C416">
        <v>8.8489999999999992E-3</v>
      </c>
    </row>
    <row r="417" spans="1:3">
      <c r="A417" t="s">
        <v>1242</v>
      </c>
      <c r="B417">
        <v>2.0427000000000001E-2</v>
      </c>
      <c r="C417">
        <v>-1.3674E-2</v>
      </c>
    </row>
    <row r="418" spans="1:3">
      <c r="A418" t="s">
        <v>1243</v>
      </c>
      <c r="B418">
        <v>6.6188999999999998E-2</v>
      </c>
      <c r="C418">
        <v>2.6988000000000002E-2</v>
      </c>
    </row>
    <row r="419" spans="1:3">
      <c r="A419" t="s">
        <v>1244</v>
      </c>
      <c r="B419">
        <v>3.3881000000000001E-2</v>
      </c>
      <c r="C419">
        <v>1.7998E-2</v>
      </c>
    </row>
    <row r="420" spans="1:3">
      <c r="A420" t="s">
        <v>1245</v>
      </c>
      <c r="B420">
        <v>-4.9500000000000004E-3</v>
      </c>
      <c r="C420">
        <v>-9.4260000000000004E-3</v>
      </c>
    </row>
    <row r="421" spans="1:3">
      <c r="A421" t="s">
        <v>1246</v>
      </c>
      <c r="B421">
        <v>-3.7198000000000002E-2</v>
      </c>
      <c r="C421">
        <v>-4.6410000000000002E-3</v>
      </c>
    </row>
    <row r="422" spans="1:3">
      <c r="A422" t="s">
        <v>1247</v>
      </c>
      <c r="B422">
        <v>1.09E-3</v>
      </c>
      <c r="C422">
        <v>-2.3973000000000001E-2</v>
      </c>
    </row>
    <row r="423" spans="1:3">
      <c r="A423" t="s">
        <v>1248</v>
      </c>
      <c r="B423">
        <v>-1.3671000000000001E-2</v>
      </c>
      <c r="C423">
        <v>-4.1078000000000003E-2</v>
      </c>
    </row>
    <row r="424" spans="1:3">
      <c r="A424" t="s">
        <v>1249</v>
      </c>
      <c r="B424">
        <v>-0.14546100000000001</v>
      </c>
      <c r="C424">
        <v>-5.7224999999999998E-2</v>
      </c>
    </row>
    <row r="425" spans="1:3">
      <c r="A425" t="s">
        <v>1250</v>
      </c>
      <c r="B425">
        <v>5.0384999999999999E-2</v>
      </c>
      <c r="C425">
        <v>-6.0730000000000003E-3</v>
      </c>
    </row>
    <row r="426" spans="1:3">
      <c r="A426" t="s">
        <v>1251</v>
      </c>
      <c r="B426">
        <v>9.6687999999999996E-2</v>
      </c>
      <c r="C426">
        <v>1.6840000000000001E-2</v>
      </c>
    </row>
    <row r="427" spans="1:3">
      <c r="A427" t="s">
        <v>1252</v>
      </c>
      <c r="B427">
        <v>7.6343999999999995E-2</v>
      </c>
      <c r="C427">
        <v>5.6099999999999998E-4</v>
      </c>
    </row>
    <row r="428" spans="1:3">
      <c r="A428" t="s">
        <v>1253</v>
      </c>
      <c r="B428">
        <v>6.8906999999999996E-2</v>
      </c>
      <c r="C428">
        <v>-2.0501999999999999E-2</v>
      </c>
    </row>
    <row r="429" spans="1:3">
      <c r="A429" t="s">
        <v>1254</v>
      </c>
      <c r="B429">
        <v>-9.0650000000000001E-3</v>
      </c>
      <c r="C429">
        <v>-2.0688000000000002E-2</v>
      </c>
    </row>
    <row r="430" spans="1:3">
      <c r="A430" t="s">
        <v>1255</v>
      </c>
      <c r="B430">
        <v>-4.3484000000000002E-2</v>
      </c>
      <c r="C430">
        <v>-5.0823E-2</v>
      </c>
    </row>
    <row r="431" spans="1:3">
      <c r="A431" t="s">
        <v>1256</v>
      </c>
      <c r="B431">
        <v>-6.319E-3</v>
      </c>
      <c r="C431">
        <v>-3.6913000000000001E-2</v>
      </c>
    </row>
    <row r="432" spans="1:3">
      <c r="A432" t="s">
        <v>1257</v>
      </c>
      <c r="B432">
        <v>3.0179999999999998E-2</v>
      </c>
      <c r="C432">
        <v>3.7583999999999999E-2</v>
      </c>
    </row>
    <row r="433" spans="1:3">
      <c r="A433" t="s">
        <v>1258</v>
      </c>
      <c r="B433">
        <v>5.6870000000000002E-3</v>
      </c>
      <c r="C433">
        <v>2.5305000000000001E-2</v>
      </c>
    </row>
    <row r="434" spans="1:3">
      <c r="A434" t="s">
        <v>1259</v>
      </c>
      <c r="B434">
        <v>6.8316000000000002E-2</v>
      </c>
      <c r="C434">
        <v>2.6006000000000001E-2</v>
      </c>
    </row>
    <row r="435" spans="1:3">
      <c r="A435" t="s">
        <v>1260</v>
      </c>
      <c r="B435">
        <v>1.0593E-2</v>
      </c>
      <c r="C435">
        <v>5.7679999999999997E-3</v>
      </c>
    </row>
    <row r="436" spans="1:3">
      <c r="A436" t="s">
        <v>1261</v>
      </c>
      <c r="B436">
        <v>-5.6160000000000003E-3</v>
      </c>
      <c r="C436">
        <v>-2.3052E-2</v>
      </c>
    </row>
    <row r="437" spans="1:3">
      <c r="A437" t="s">
        <v>1262</v>
      </c>
      <c r="B437">
        <v>-3.6053000000000002E-2</v>
      </c>
      <c r="C437">
        <v>-1.2579E-2</v>
      </c>
    </row>
    <row r="438" spans="1:3">
      <c r="A438" t="s">
        <v>1263</v>
      </c>
      <c r="B438">
        <v>3.8092000000000001E-2</v>
      </c>
      <c r="C438">
        <v>-3.6207999999999997E-2</v>
      </c>
    </row>
    <row r="439" spans="1:3">
      <c r="A439" t="s">
        <v>1264</v>
      </c>
      <c r="B439">
        <v>5.3754000000000003E-2</v>
      </c>
      <c r="C439">
        <v>8.1620000000000009E-3</v>
      </c>
    </row>
    <row r="440" spans="1:3">
      <c r="A440" t="s">
        <v>1265</v>
      </c>
      <c r="B440">
        <v>1.3223E-2</v>
      </c>
      <c r="C440">
        <v>7.4669999999999997E-3</v>
      </c>
    </row>
    <row r="441" spans="1:3">
      <c r="A441" t="s">
        <v>669</v>
      </c>
      <c r="B441">
        <v>-6.8242999999999998E-2</v>
      </c>
      <c r="C441">
        <v>-2.3484999999999999E-2</v>
      </c>
    </row>
    <row r="442" spans="1:3">
      <c r="A442" t="s">
        <v>1266</v>
      </c>
      <c r="B442">
        <v>-5.8082000000000002E-2</v>
      </c>
      <c r="C442">
        <v>1.5970000000000002E-2</v>
      </c>
    </row>
    <row r="443" spans="1:3">
      <c r="A443" t="s">
        <v>1267</v>
      </c>
      <c r="B443">
        <v>9.2376E-2</v>
      </c>
      <c r="C443">
        <v>4.9200000000000003E-4</v>
      </c>
    </row>
    <row r="444" spans="1:3">
      <c r="A444" t="s">
        <v>1268</v>
      </c>
      <c r="B444">
        <v>6.9909999999999998E-3</v>
      </c>
      <c r="C444">
        <v>-7.3000000000000001E-3</v>
      </c>
    </row>
    <row r="445" spans="1:3">
      <c r="A445" t="s">
        <v>1269</v>
      </c>
      <c r="B445">
        <v>-3.1739000000000003E-2</v>
      </c>
      <c r="C445">
        <v>-7.3660000000000002E-3</v>
      </c>
    </row>
    <row r="446" spans="1:3">
      <c r="A446" t="s">
        <v>1270</v>
      </c>
      <c r="B446">
        <v>9.0229999999999998E-3</v>
      </c>
      <c r="C446">
        <v>2.4694000000000001E-2</v>
      </c>
    </row>
    <row r="447" spans="1:3">
      <c r="A447" t="s">
        <v>1271</v>
      </c>
      <c r="B447">
        <v>-8.3359999999999997E-3</v>
      </c>
      <c r="C447">
        <v>3.3161999999999997E-2</v>
      </c>
    </row>
    <row r="448" spans="1:3">
      <c r="A448" t="s">
        <v>1272</v>
      </c>
      <c r="B448">
        <v>7.2690000000000005E-2</v>
      </c>
      <c r="C448">
        <v>1.1327E-2</v>
      </c>
    </row>
    <row r="449" spans="1:3">
      <c r="A449" t="s">
        <v>1273</v>
      </c>
      <c r="B449">
        <v>-3.2356000000000003E-2</v>
      </c>
      <c r="C449">
        <v>1.7520999999999998E-2</v>
      </c>
    </row>
    <row r="450" spans="1:3">
      <c r="A450" t="s">
        <v>1274</v>
      </c>
      <c r="B450">
        <v>6.2060999999999998E-2</v>
      </c>
      <c r="C450">
        <v>3.2978E-2</v>
      </c>
    </row>
    <row r="451" spans="1:3">
      <c r="A451" t="s">
        <v>1275</v>
      </c>
      <c r="B451">
        <v>-3.96E-3</v>
      </c>
      <c r="C451">
        <v>5.7499000000000001E-2</v>
      </c>
    </row>
    <row r="452" spans="1:3">
      <c r="A452" t="s">
        <v>1276</v>
      </c>
      <c r="B452">
        <v>5.4941999999999998E-2</v>
      </c>
      <c r="C452">
        <v>5.8430999999999997E-2</v>
      </c>
    </row>
    <row r="453" spans="1:3">
      <c r="A453" t="s">
        <v>1277</v>
      </c>
      <c r="B453">
        <v>2.1549999999999998E-3</v>
      </c>
      <c r="C453">
        <v>6.6140000000000001E-3</v>
      </c>
    </row>
    <row r="454" spans="1:3">
      <c r="A454" t="s">
        <v>670</v>
      </c>
      <c r="B454">
        <v>-2.4396999999999999E-2</v>
      </c>
      <c r="C454">
        <v>4.9967999999999999E-2</v>
      </c>
    </row>
    <row r="455" spans="1:3">
      <c r="A455" t="s">
        <v>1278</v>
      </c>
      <c r="B455">
        <v>-4.6164999999999998E-2</v>
      </c>
      <c r="C455">
        <v>2.2072000000000001E-2</v>
      </c>
    </row>
    <row r="456" spans="1:3">
      <c r="A456" t="s">
        <v>1279</v>
      </c>
      <c r="B456">
        <v>5.9859999999999997E-2</v>
      </c>
      <c r="C456">
        <v>-1.3984999999999999E-2</v>
      </c>
    </row>
    <row r="457" spans="1:3">
      <c r="A457" t="s">
        <v>1280</v>
      </c>
      <c r="B457">
        <v>3.6435000000000002E-2</v>
      </c>
      <c r="C457">
        <v>3.4775E-2</v>
      </c>
    </row>
    <row r="458" spans="1:3">
      <c r="A458" t="s">
        <v>1281</v>
      </c>
      <c r="B458">
        <v>1.0435E-2</v>
      </c>
      <c r="C458">
        <v>2.911E-2</v>
      </c>
    </row>
    <row r="459" spans="1:3">
      <c r="A459" t="s">
        <v>1282</v>
      </c>
      <c r="B459">
        <v>4.8422E-2</v>
      </c>
      <c r="C459">
        <v>2.3715E-2</v>
      </c>
    </row>
    <row r="460" spans="1:3">
      <c r="A460" t="s">
        <v>1283</v>
      </c>
      <c r="B460">
        <v>1.3148E-2</v>
      </c>
      <c r="C460">
        <v>1.7454000000000001E-2</v>
      </c>
    </row>
    <row r="461" spans="1:3">
      <c r="A461" t="s">
        <v>1284</v>
      </c>
      <c r="B461">
        <v>-5.0125000000000003E-2</v>
      </c>
      <c r="C461">
        <v>-3.2212999999999999E-2</v>
      </c>
    </row>
    <row r="462" spans="1:3">
      <c r="A462" t="s">
        <v>1285</v>
      </c>
      <c r="B462">
        <v>4.4630000000000003E-2</v>
      </c>
      <c r="C462">
        <v>1.3910000000000001E-3</v>
      </c>
    </row>
    <row r="463" spans="1:3">
      <c r="A463" t="s">
        <v>1286</v>
      </c>
      <c r="B463">
        <v>4.9654999999999998E-2</v>
      </c>
      <c r="C463">
        <v>1.2466E-2</v>
      </c>
    </row>
    <row r="464" spans="1:3">
      <c r="A464" t="s">
        <v>1287</v>
      </c>
      <c r="B464">
        <v>1.5812E-2</v>
      </c>
      <c r="C464">
        <v>2.7838000000000002E-2</v>
      </c>
    </row>
    <row r="465" spans="1:3">
      <c r="A465" t="s">
        <v>1288</v>
      </c>
      <c r="B465">
        <v>4.6094999999999997E-2</v>
      </c>
      <c r="C465">
        <v>3.3778000000000002E-2</v>
      </c>
    </row>
    <row r="466" spans="1:3">
      <c r="A466" t="s">
        <v>1289</v>
      </c>
      <c r="B466">
        <v>8.9875999999999998E-2</v>
      </c>
      <c r="C466">
        <v>3.0828999999999999E-2</v>
      </c>
    </row>
    <row r="467" spans="1:3">
      <c r="A467" t="s">
        <v>671</v>
      </c>
      <c r="B467">
        <v>3.6568999999999997E-2</v>
      </c>
      <c r="C467">
        <v>4.3059E-2</v>
      </c>
    </row>
    <row r="468" spans="1:3">
      <c r="A468" t="s">
        <v>1290</v>
      </c>
      <c r="B468">
        <v>2.3139E-2</v>
      </c>
      <c r="C468">
        <v>5.9921000000000002E-2</v>
      </c>
    </row>
    <row r="469" spans="1:3">
      <c r="A469" t="s">
        <v>1291</v>
      </c>
      <c r="B469">
        <v>1.6299999999999999E-2</v>
      </c>
      <c r="C469">
        <v>-2.9139999999999999E-3</v>
      </c>
    </row>
    <row r="470" spans="1:3">
      <c r="A470" t="s">
        <v>1292</v>
      </c>
      <c r="B470">
        <v>-1.6080000000000001E-3</v>
      </c>
      <c r="C470">
        <v>7.5630000000000003E-3</v>
      </c>
    </row>
    <row r="471" spans="1:3">
      <c r="A471" t="s">
        <v>1293</v>
      </c>
      <c r="B471">
        <v>-5.9095000000000002E-2</v>
      </c>
      <c r="C471">
        <v>-7.4468999999999994E-2</v>
      </c>
    </row>
    <row r="472" spans="1:3">
      <c r="A472" t="s">
        <v>1294</v>
      </c>
      <c r="B472">
        <v>-1.585E-2</v>
      </c>
      <c r="C472">
        <v>4.8890000000000001E-3</v>
      </c>
    </row>
    <row r="473" spans="1:3">
      <c r="A473" t="s">
        <v>1295</v>
      </c>
      <c r="B473">
        <v>-0.117483</v>
      </c>
      <c r="C473">
        <v>-1.3868999999999999E-2</v>
      </c>
    </row>
    <row r="474" spans="1:3">
      <c r="A474" t="s">
        <v>1296</v>
      </c>
      <c r="B474">
        <v>6.0491000000000003E-2</v>
      </c>
      <c r="C474">
        <v>-1.6766E-2</v>
      </c>
    </row>
    <row r="475" spans="1:3">
      <c r="A475" t="s">
        <v>1297</v>
      </c>
      <c r="B475">
        <v>5.8715000000000003E-2</v>
      </c>
      <c r="C475">
        <v>4.3600000000000002E-3</v>
      </c>
    </row>
    <row r="476" spans="1:3">
      <c r="A476" t="s">
        <v>1298</v>
      </c>
      <c r="B476">
        <v>-3.4974999999999999E-2</v>
      </c>
      <c r="C476">
        <v>1.4363000000000001E-2</v>
      </c>
    </row>
    <row r="477" spans="1:3">
      <c r="A477" t="s">
        <v>1299</v>
      </c>
      <c r="B477">
        <v>-3.2746999999999998E-2</v>
      </c>
      <c r="C477">
        <v>-1.4577E-2</v>
      </c>
    </row>
    <row r="478" spans="1:3">
      <c r="A478" t="s">
        <v>1300</v>
      </c>
      <c r="B478">
        <v>-8.7749999999999998E-3</v>
      </c>
      <c r="C478">
        <v>-2.5457E-2</v>
      </c>
    </row>
    <row r="479" spans="1:3">
      <c r="A479" t="s">
        <v>1301</v>
      </c>
      <c r="B479">
        <v>3.9869000000000002E-2</v>
      </c>
      <c r="C479">
        <v>1.2670000000000001E-2</v>
      </c>
    </row>
    <row r="480" spans="1:3">
      <c r="A480" t="s">
        <v>672</v>
      </c>
      <c r="B480">
        <v>5.8645000000000003E-2</v>
      </c>
      <c r="C480">
        <v>4.0917000000000002E-2</v>
      </c>
    </row>
    <row r="481" spans="1:3">
      <c r="A481" t="s">
        <v>1302</v>
      </c>
      <c r="B481">
        <v>4.9848000000000003E-2</v>
      </c>
      <c r="C481">
        <v>3.4119999999999998E-2</v>
      </c>
    </row>
    <row r="482" spans="1:3">
      <c r="A482" t="s">
        <v>1303</v>
      </c>
      <c r="B482">
        <v>2.0132000000000001E-2</v>
      </c>
      <c r="C482">
        <v>8.0110000000000008E-3</v>
      </c>
    </row>
    <row r="483" spans="1:3">
      <c r="A483" t="s">
        <v>1304</v>
      </c>
      <c r="B483">
        <v>1.7153999999999999E-2</v>
      </c>
      <c r="C483">
        <v>8.1620000000000009E-3</v>
      </c>
    </row>
    <row r="484" spans="1:3">
      <c r="A484" t="s">
        <v>1305</v>
      </c>
      <c r="B484">
        <v>2.3026000000000001E-2</v>
      </c>
      <c r="C484">
        <v>3.1064000000000001E-2</v>
      </c>
    </row>
    <row r="485" spans="1:3">
      <c r="A485" t="s">
        <v>1306</v>
      </c>
      <c r="B485">
        <v>2.4260000000000002E-3</v>
      </c>
      <c r="C485">
        <v>2.0669999999999998E-3</v>
      </c>
    </row>
    <row r="486" spans="1:3">
      <c r="A486" t="s">
        <v>1307</v>
      </c>
      <c r="B486">
        <v>6.0617999999999998E-2</v>
      </c>
      <c r="C486">
        <v>4.2792999999999998E-2</v>
      </c>
    </row>
    <row r="487" spans="1:3">
      <c r="A487" t="s">
        <v>1308</v>
      </c>
      <c r="B487">
        <v>2.1999999999999999E-2</v>
      </c>
      <c r="C487">
        <v>2.349E-2</v>
      </c>
    </row>
    <row r="488" spans="1:3">
      <c r="A488" t="s">
        <v>1309</v>
      </c>
      <c r="B488">
        <v>4.0822999999999998E-2</v>
      </c>
      <c r="C488">
        <v>1.5713000000000001E-2</v>
      </c>
    </row>
    <row r="489" spans="1:3">
      <c r="A489" t="s">
        <v>1310</v>
      </c>
      <c r="B489">
        <v>2.3428000000000001E-2</v>
      </c>
      <c r="C489">
        <v>2.0811E-2</v>
      </c>
    </row>
    <row r="490" spans="1:3">
      <c r="A490" t="s">
        <v>1311</v>
      </c>
      <c r="B490">
        <v>3.6166999999999998E-2</v>
      </c>
      <c r="C490">
        <v>3.0490000000000001E-3</v>
      </c>
    </row>
    <row r="491" spans="1:3">
      <c r="A491" t="s">
        <v>1312</v>
      </c>
      <c r="B491">
        <v>1.269E-2</v>
      </c>
      <c r="C491">
        <v>1.0673E-2</v>
      </c>
    </row>
    <row r="492" spans="1:3">
      <c r="A492" t="s">
        <v>1313</v>
      </c>
      <c r="B492">
        <v>-5.2950000000000002E-3</v>
      </c>
      <c r="C492">
        <v>-2.0060000000000001E-2</v>
      </c>
    </row>
    <row r="493" spans="1:3">
      <c r="A493" t="s">
        <v>673</v>
      </c>
      <c r="B493">
        <v>-1.624E-3</v>
      </c>
      <c r="C493">
        <v>-5.7419999999999997E-3</v>
      </c>
    </row>
    <row r="494" spans="1:3">
      <c r="A494" t="s">
        <v>1314</v>
      </c>
      <c r="B494">
        <v>2.137E-2</v>
      </c>
      <c r="C494">
        <v>3.4814999999999999E-2</v>
      </c>
    </row>
    <row r="495" spans="1:3">
      <c r="A495" t="s">
        <v>1315</v>
      </c>
      <c r="B495">
        <v>-1.7693E-2</v>
      </c>
      <c r="C495">
        <v>-1.0096000000000001E-2</v>
      </c>
    </row>
    <row r="496" spans="1:3">
      <c r="A496" t="s">
        <v>1316</v>
      </c>
      <c r="B496">
        <v>-1.0831E-2</v>
      </c>
      <c r="C496">
        <v>-2.6099999999999999E-3</v>
      </c>
    </row>
    <row r="497" spans="1:3">
      <c r="A497" t="s">
        <v>1317</v>
      </c>
      <c r="B497">
        <v>1.256E-3</v>
      </c>
      <c r="C497">
        <v>2.7744999999999999E-2</v>
      </c>
    </row>
    <row r="498" spans="1:3">
      <c r="A498" t="s">
        <v>1318</v>
      </c>
      <c r="B498">
        <v>1.5628E-2</v>
      </c>
      <c r="C498">
        <v>1.4527E-2</v>
      </c>
    </row>
    <row r="499" spans="1:3">
      <c r="A499" t="s">
        <v>1319</v>
      </c>
      <c r="B499">
        <v>5.5102999999999999E-2</v>
      </c>
      <c r="C499">
        <v>5.6696999999999997E-2</v>
      </c>
    </row>
    <row r="500" spans="1:3">
      <c r="A500" t="s">
        <v>1320</v>
      </c>
      <c r="B500">
        <v>2.7397000000000001E-2</v>
      </c>
      <c r="C500">
        <v>1.133E-2</v>
      </c>
    </row>
    <row r="501" spans="1:3">
      <c r="A501" t="s">
        <v>1321</v>
      </c>
      <c r="B501">
        <v>-3.6304000000000003E-2</v>
      </c>
      <c r="C501">
        <v>3.3470000000000001E-3</v>
      </c>
    </row>
    <row r="502" spans="1:3">
      <c r="A502" t="s">
        <v>1322</v>
      </c>
      <c r="B502">
        <v>1.8520999999999999E-2</v>
      </c>
      <c r="C502">
        <v>1.0233000000000001E-2</v>
      </c>
    </row>
    <row r="503" spans="1:3">
      <c r="A503" t="s">
        <v>1323</v>
      </c>
      <c r="B503">
        <v>-4.3957999999999997E-2</v>
      </c>
      <c r="C503">
        <v>-1.1070999999999999E-2</v>
      </c>
    </row>
    <row r="504" spans="1:3">
      <c r="A504" t="s">
        <v>1324</v>
      </c>
      <c r="B504">
        <v>-3.5718E-2</v>
      </c>
      <c r="C504">
        <v>-3.9972000000000001E-2</v>
      </c>
    </row>
    <row r="505" spans="1:3">
      <c r="A505" t="s">
        <v>1325</v>
      </c>
      <c r="B505">
        <v>5.8158000000000001E-2</v>
      </c>
      <c r="C505">
        <v>2.8605999999999999E-2</v>
      </c>
    </row>
    <row r="506" spans="1:3">
      <c r="A506" t="s">
        <v>674</v>
      </c>
      <c r="B506">
        <v>1.6747000000000001E-2</v>
      </c>
      <c r="C506">
        <v>3.7548999999999999E-2</v>
      </c>
    </row>
    <row r="507" spans="1:3">
      <c r="A507" t="s">
        <v>1326</v>
      </c>
      <c r="B507">
        <v>5.9552000000000001E-2</v>
      </c>
      <c r="C507">
        <v>2.7944E-2</v>
      </c>
    </row>
    <row r="508" spans="1:3">
      <c r="A508" t="s">
        <v>1327</v>
      </c>
      <c r="B508">
        <v>-2.9139000000000002E-2</v>
      </c>
      <c r="C508">
        <v>-1.5838999999999999E-2</v>
      </c>
    </row>
    <row r="509" spans="1:3">
      <c r="A509" t="s">
        <v>1328</v>
      </c>
      <c r="B509">
        <v>-4.37E-4</v>
      </c>
      <c r="C509">
        <v>5.62E-4</v>
      </c>
    </row>
    <row r="510" spans="1:3">
      <c r="A510" t="s">
        <v>1329</v>
      </c>
      <c r="B510">
        <v>-4.1540000000000001E-2</v>
      </c>
      <c r="C510">
        <v>-1.4206E-2</v>
      </c>
    </row>
    <row r="511" spans="1:3">
      <c r="A511" t="s">
        <v>1330</v>
      </c>
      <c r="B511">
        <v>3.3000000000000002E-2</v>
      </c>
      <c r="C511">
        <v>6.0099999999999997E-3</v>
      </c>
    </row>
    <row r="512" spans="1:3">
      <c r="A512" t="s">
        <v>1331</v>
      </c>
      <c r="B512">
        <v>1.0015E-2</v>
      </c>
      <c r="C512">
        <v>1.5799999999999999E-4</v>
      </c>
    </row>
    <row r="513" spans="1:3">
      <c r="A513" t="s">
        <v>1332</v>
      </c>
      <c r="B513">
        <v>3.8220999999999998E-2</v>
      </c>
      <c r="C513">
        <v>5.4477999999999999E-2</v>
      </c>
    </row>
    <row r="514" spans="1:3">
      <c r="A514" t="s">
        <v>1333</v>
      </c>
      <c r="B514">
        <v>-1.1004999999999999E-2</v>
      </c>
      <c r="C514">
        <v>-1.848E-3</v>
      </c>
    </row>
    <row r="515" spans="1:3">
      <c r="A515" t="s">
        <v>1334</v>
      </c>
      <c r="B515">
        <v>2.3028E-2</v>
      </c>
      <c r="C515">
        <v>2.9902999999999999E-2</v>
      </c>
    </row>
    <row r="516" spans="1:3">
      <c r="A516" t="s">
        <v>1335</v>
      </c>
      <c r="B516">
        <v>1.2846E-2</v>
      </c>
      <c r="C516">
        <v>1.4897000000000001E-2</v>
      </c>
    </row>
    <row r="517" spans="1:3">
      <c r="A517" t="s">
        <v>1336</v>
      </c>
      <c r="B517">
        <v>-5.1894000000000003E-2</v>
      </c>
      <c r="C517">
        <v>-1.6615000000000001E-2</v>
      </c>
    </row>
    <row r="518" spans="1:3">
      <c r="A518" t="s">
        <v>1337</v>
      </c>
      <c r="B518">
        <v>1.0004000000000001E-2</v>
      </c>
      <c r="C518">
        <v>4.1190000000000003E-3</v>
      </c>
    </row>
    <row r="519" spans="1:3">
      <c r="A519" t="s">
        <v>675</v>
      </c>
      <c r="B519">
        <v>3.1329999999999999E-3</v>
      </c>
      <c r="C519">
        <v>-1.9508000000000001E-2</v>
      </c>
    </row>
    <row r="520" spans="1:3">
      <c r="A520" t="s">
        <v>1338</v>
      </c>
      <c r="B520">
        <v>2.9828E-2</v>
      </c>
      <c r="C520">
        <v>-1.1308E-2</v>
      </c>
    </row>
    <row r="521" spans="1:3">
      <c r="A521" t="s">
        <v>1339</v>
      </c>
      <c r="B521">
        <v>4.0127999999999997E-2</v>
      </c>
      <c r="C521">
        <v>4.4289999999999998E-3</v>
      </c>
    </row>
    <row r="522" spans="1:3">
      <c r="A522" t="s">
        <v>1340</v>
      </c>
      <c r="B522">
        <v>6.0003000000000001E-2</v>
      </c>
      <c r="C522">
        <v>2.2259000000000001E-2</v>
      </c>
    </row>
    <row r="523" spans="1:3">
      <c r="A523" t="s">
        <v>1341</v>
      </c>
      <c r="B523">
        <v>1.0366E-2</v>
      </c>
      <c r="C523">
        <v>2.1618999999999999E-2</v>
      </c>
    </row>
    <row r="524" spans="1:3">
      <c r="A524" t="s">
        <v>1342</v>
      </c>
      <c r="B524">
        <v>2.5399999999999999E-4</v>
      </c>
      <c r="C524">
        <v>6.9300000000000004E-3</v>
      </c>
    </row>
    <row r="525" spans="1:3">
      <c r="A525" t="s">
        <v>1343</v>
      </c>
      <c r="B525">
        <v>1.8287000000000001E-2</v>
      </c>
      <c r="C525">
        <v>1.7760000000000001E-2</v>
      </c>
    </row>
    <row r="526" spans="1:3">
      <c r="A526" t="s">
        <v>1344</v>
      </c>
      <c r="B526">
        <v>-3.3029000000000003E-2</v>
      </c>
      <c r="C526">
        <v>-7.7949999999999998E-3</v>
      </c>
    </row>
    <row r="527" spans="1:3">
      <c r="A527" t="s">
        <v>1345</v>
      </c>
      <c r="B527">
        <v>1.6244999999999999E-2</v>
      </c>
      <c r="C527">
        <v>1.1296E-2</v>
      </c>
    </row>
    <row r="528" spans="1:3">
      <c r="A528" t="s">
        <v>1346</v>
      </c>
      <c r="B528">
        <v>7.9949999999999993E-2</v>
      </c>
      <c r="C528">
        <v>5.986E-3</v>
      </c>
    </row>
    <row r="529" spans="1:3">
      <c r="A529" t="s">
        <v>1347</v>
      </c>
      <c r="B529">
        <v>4.3527999999999997E-2</v>
      </c>
      <c r="C529">
        <v>2.6044000000000001E-2</v>
      </c>
    </row>
    <row r="530" spans="1:3">
      <c r="A530" t="s">
        <v>1348</v>
      </c>
      <c r="B530">
        <v>-2.2178E-2</v>
      </c>
      <c r="C530">
        <v>-9.7219999999999997E-3</v>
      </c>
    </row>
    <row r="531" spans="1:3">
      <c r="A531" t="s">
        <v>1349</v>
      </c>
      <c r="B531">
        <v>-6.7969000000000002E-2</v>
      </c>
      <c r="C531">
        <v>-4.8906999999999999E-2</v>
      </c>
    </row>
    <row r="532" spans="1:3">
      <c r="A532" t="s">
        <v>676</v>
      </c>
      <c r="B532">
        <v>-1.4200000000000001E-4</v>
      </c>
      <c r="C532">
        <v>-1.2546E-2</v>
      </c>
    </row>
    <row r="533" spans="1:3">
      <c r="A533" t="s">
        <v>1350</v>
      </c>
      <c r="B533">
        <v>2.7959999999999999E-3</v>
      </c>
      <c r="C533">
        <v>-3.9639999999999996E-3</v>
      </c>
    </row>
    <row r="534" spans="1:3">
      <c r="A534" t="s">
        <v>1351</v>
      </c>
      <c r="B534">
        <v>4.0673000000000001E-2</v>
      </c>
      <c r="C534">
        <v>3.0200000000000002E-4</v>
      </c>
    </row>
    <row r="535" spans="1:3">
      <c r="A535" t="s">
        <v>1352</v>
      </c>
      <c r="B535">
        <v>-4.0060999999999999E-2</v>
      </c>
      <c r="C535">
        <v>-2.5562999999999999E-2</v>
      </c>
    </row>
    <row r="536" spans="1:3">
      <c r="A536" t="s">
        <v>1353</v>
      </c>
      <c r="B536">
        <v>-2.0249E-2</v>
      </c>
      <c r="C536">
        <v>-7.7650000000000002E-3</v>
      </c>
    </row>
    <row r="537" spans="1:3">
      <c r="A537" t="s">
        <v>1354</v>
      </c>
      <c r="B537">
        <v>-5.5155000000000003E-2</v>
      </c>
      <c r="C537">
        <v>3.6280000000000001E-3</v>
      </c>
    </row>
    <row r="538" spans="1:3">
      <c r="A538" t="s">
        <v>1355</v>
      </c>
      <c r="B538">
        <v>-3.1718999999999997E-2</v>
      </c>
      <c r="C538">
        <v>-7.3419999999999996E-3</v>
      </c>
    </row>
    <row r="539" spans="1:3">
      <c r="A539" t="s">
        <v>1356</v>
      </c>
      <c r="B539">
        <v>2.317E-3</v>
      </c>
      <c r="C539">
        <v>1.1919999999999999E-3</v>
      </c>
    </row>
    <row r="540" spans="1:3">
      <c r="A540" t="s">
        <v>1357</v>
      </c>
      <c r="B540">
        <v>5.0634999999999999E-2</v>
      </c>
      <c r="C540">
        <v>8.9960000000000005E-3</v>
      </c>
    </row>
    <row r="541" spans="1:3">
      <c r="A541" t="s">
        <v>1358</v>
      </c>
      <c r="B541">
        <v>6.3715999999999995E-2</v>
      </c>
      <c r="C541">
        <v>2.4825E-2</v>
      </c>
    </row>
    <row r="542" spans="1:3">
      <c r="A542" t="s">
        <v>1359</v>
      </c>
      <c r="B542">
        <v>-2.9586000000000001E-2</v>
      </c>
      <c r="C542">
        <v>-1.1603E-2</v>
      </c>
    </row>
    <row r="543" spans="1:3">
      <c r="A543" t="s">
        <v>1360</v>
      </c>
      <c r="B543">
        <v>-2.9024000000000001E-2</v>
      </c>
      <c r="C543">
        <v>2.9430999999999999E-2</v>
      </c>
    </row>
    <row r="544" spans="1:3">
      <c r="A544" t="s">
        <v>1361</v>
      </c>
      <c r="B544">
        <v>5.8012000000000001E-2</v>
      </c>
      <c r="C544">
        <v>4.2226E-2</v>
      </c>
    </row>
    <row r="545" spans="1:3">
      <c r="A545" t="s">
        <v>677</v>
      </c>
      <c r="B545">
        <v>-0.102133</v>
      </c>
      <c r="C545">
        <v>-1.3787000000000001E-2</v>
      </c>
    </row>
    <row r="546" spans="1:3">
      <c r="A546" t="s">
        <v>1362</v>
      </c>
      <c r="B546">
        <v>-0.15986</v>
      </c>
      <c r="C546">
        <v>-7.2467000000000004E-2</v>
      </c>
    </row>
    <row r="547" spans="1:3">
      <c r="A547" t="s">
        <v>1363</v>
      </c>
      <c r="B547">
        <v>9.41E-3</v>
      </c>
      <c r="C547">
        <v>-4.5303999999999997E-2</v>
      </c>
    </row>
    <row r="548" spans="1:3">
      <c r="A548" t="s">
        <v>1364</v>
      </c>
      <c r="B548">
        <v>1.7849E-2</v>
      </c>
      <c r="C548">
        <v>3.1224999999999999E-2</v>
      </c>
    </row>
    <row r="549" spans="1:3">
      <c r="A549" t="s">
        <v>1365</v>
      </c>
      <c r="B549">
        <v>-5.6689999999999997E-2</v>
      </c>
      <c r="C549">
        <v>-8.5250000000000006E-2</v>
      </c>
    </row>
    <row r="550" spans="1:3">
      <c r="A550" t="s">
        <v>1366</v>
      </c>
      <c r="B550">
        <v>-6.0345000000000003E-2</v>
      </c>
      <c r="C550">
        <v>-5.8063999999999998E-2</v>
      </c>
    </row>
    <row r="551" spans="1:3">
      <c r="A551" t="s">
        <v>1367</v>
      </c>
      <c r="B551">
        <v>5.7382000000000002E-2</v>
      </c>
      <c r="C551">
        <v>3.1101E-2</v>
      </c>
    </row>
    <row r="552" spans="1:3">
      <c r="A552" t="s">
        <v>1368</v>
      </c>
      <c r="B552">
        <v>0.11922000000000001</v>
      </c>
      <c r="C552">
        <v>0.113914</v>
      </c>
    </row>
    <row r="553" spans="1:3">
      <c r="A553" t="s">
        <v>1369</v>
      </c>
      <c r="B553">
        <v>2.0296999999999999E-2</v>
      </c>
      <c r="C553">
        <v>-4.1310000000000001E-3</v>
      </c>
    </row>
    <row r="554" spans="1:3">
      <c r="A554" t="s">
        <v>1370</v>
      </c>
      <c r="B554">
        <v>3.1830000000000001E-3</v>
      </c>
      <c r="C554">
        <v>-1.6000000000000001E-4</v>
      </c>
    </row>
    <row r="555" spans="1:3">
      <c r="A555" t="s">
        <v>1371</v>
      </c>
      <c r="B555">
        <v>8.3326999999999998E-2</v>
      </c>
      <c r="C555">
        <v>6.6603999999999997E-2</v>
      </c>
    </row>
    <row r="556" spans="1:3">
      <c r="A556" t="s">
        <v>1372</v>
      </c>
      <c r="B556">
        <v>1.596E-3</v>
      </c>
      <c r="C556">
        <v>2.1190000000000001E-2</v>
      </c>
    </row>
    <row r="557" spans="1:3">
      <c r="A557" t="s">
        <v>1373</v>
      </c>
      <c r="B557">
        <v>8.2916000000000004E-2</v>
      </c>
      <c r="C557">
        <v>2.9593999999999999E-2</v>
      </c>
    </row>
    <row r="558" spans="1:3">
      <c r="A558" t="s">
        <v>678</v>
      </c>
      <c r="B558">
        <v>1.6043000000000002E-2</v>
      </c>
      <c r="C558">
        <v>-3.9528000000000001E-2</v>
      </c>
    </row>
    <row r="559" spans="1:3">
      <c r="A559" t="s">
        <v>1374</v>
      </c>
      <c r="B559">
        <v>8.8342000000000004E-2</v>
      </c>
      <c r="C559">
        <v>5.5040000000000002E-3</v>
      </c>
    </row>
    <row r="560" spans="1:3">
      <c r="A560" t="s">
        <v>1375</v>
      </c>
      <c r="B560">
        <v>5.7138000000000001E-2</v>
      </c>
      <c r="C560">
        <v>4.7454000000000003E-2</v>
      </c>
    </row>
    <row r="561" spans="1:3">
      <c r="A561" t="s">
        <v>1376</v>
      </c>
      <c r="B561">
        <v>-4.1668999999999998E-2</v>
      </c>
      <c r="C561">
        <v>-1.3082E-2</v>
      </c>
    </row>
    <row r="562" spans="1:3">
      <c r="A562" t="s">
        <v>1377</v>
      </c>
      <c r="B562">
        <v>2.9655000000000001E-2</v>
      </c>
      <c r="C562">
        <v>3.1827000000000001E-2</v>
      </c>
    </row>
    <row r="563" spans="1:3">
      <c r="A563" t="s">
        <v>1378</v>
      </c>
      <c r="B563">
        <v>8.0664E-2</v>
      </c>
      <c r="C563">
        <v>4.2346000000000002E-2</v>
      </c>
    </row>
    <row r="564" spans="1:3">
      <c r="A564" t="s">
        <v>1379</v>
      </c>
      <c r="B564">
        <v>5.6772000000000003E-2</v>
      </c>
      <c r="C564">
        <v>4.5538000000000002E-2</v>
      </c>
    </row>
    <row r="565" spans="1:3">
      <c r="A565" t="s">
        <v>1380</v>
      </c>
      <c r="B565">
        <v>-5.8575000000000002E-2</v>
      </c>
      <c r="C565">
        <v>-3.6378000000000001E-2</v>
      </c>
    </row>
    <row r="566" spans="1:3">
      <c r="A566" t="s">
        <v>1381</v>
      </c>
      <c r="B566">
        <v>-4.7746999999999998E-2</v>
      </c>
      <c r="C566">
        <v>-5.0511E-2</v>
      </c>
    </row>
    <row r="567" spans="1:3">
      <c r="A567" t="s">
        <v>1382</v>
      </c>
      <c r="B567">
        <v>0.10498</v>
      </c>
      <c r="C567">
        <v>2.3362000000000001E-2</v>
      </c>
    </row>
    <row r="568" spans="1:3">
      <c r="A568" t="s">
        <v>1383</v>
      </c>
      <c r="B568">
        <v>-5.2254000000000002E-2</v>
      </c>
      <c r="C568">
        <v>-4.8835999999999997E-2</v>
      </c>
    </row>
    <row r="569" spans="1:3">
      <c r="A569" t="s">
        <v>1384</v>
      </c>
      <c r="B569">
        <v>0.16267300000000001</v>
      </c>
      <c r="C569">
        <v>5.0234000000000001E-2</v>
      </c>
    </row>
    <row r="570" spans="1:3">
      <c r="A570" t="s">
        <v>1385</v>
      </c>
      <c r="B570">
        <v>8.1533999999999995E-2</v>
      </c>
      <c r="C570">
        <v>3.0547000000000001E-2</v>
      </c>
    </row>
    <row r="571" spans="1:3">
      <c r="A571" t="s">
        <v>679</v>
      </c>
      <c r="B571">
        <v>3.1541E-2</v>
      </c>
      <c r="C571">
        <v>3.6922999999999997E-2</v>
      </c>
    </row>
    <row r="572" spans="1:3">
      <c r="A572" t="s">
        <v>1386</v>
      </c>
      <c r="B572">
        <v>6.3200999999999993E-2</v>
      </c>
      <c r="C572">
        <v>1.8939000000000001E-2</v>
      </c>
    </row>
    <row r="573" spans="1:3">
      <c r="A573" t="s">
        <v>1387</v>
      </c>
      <c r="B573">
        <v>1.9439000000000001E-2</v>
      </c>
      <c r="C573">
        <v>-8.7259999999999994E-3</v>
      </c>
    </row>
    <row r="574" spans="1:3">
      <c r="A574" t="s">
        <v>1388</v>
      </c>
      <c r="B574">
        <v>2.4986000000000001E-2</v>
      </c>
      <c r="C574">
        <v>1.9820999999999998E-2</v>
      </c>
    </row>
    <row r="575" spans="1:3">
      <c r="A575" t="s">
        <v>1389</v>
      </c>
      <c r="B575">
        <v>3.3774999999999999E-2</v>
      </c>
      <c r="C575">
        <v>1.7566999999999999E-2</v>
      </c>
    </row>
    <row r="576" spans="1:3">
      <c r="A576" t="s">
        <v>1390</v>
      </c>
      <c r="B576">
        <v>4.6299E-2</v>
      </c>
      <c r="C576">
        <v>4.2069999999999998E-3</v>
      </c>
    </row>
    <row r="577" spans="1:3">
      <c r="A577" t="s">
        <v>1391</v>
      </c>
      <c r="B577">
        <v>1.4711E-2</v>
      </c>
      <c r="C577">
        <v>-1.2548999999999999E-2</v>
      </c>
    </row>
    <row r="578" spans="1:3">
      <c r="A578" t="s">
        <v>1392</v>
      </c>
      <c r="B578">
        <v>-5.0229999999999997E-3</v>
      </c>
      <c r="C578">
        <v>-9.5500000000000001E-4</v>
      </c>
    </row>
    <row r="579" spans="1:3">
      <c r="A579" t="s">
        <v>1393</v>
      </c>
      <c r="B579">
        <v>5.1370000000000001E-3</v>
      </c>
      <c r="C579">
        <v>-1.6990000000000002E-2</v>
      </c>
    </row>
    <row r="580" spans="1:3">
      <c r="A580" t="s">
        <v>1394</v>
      </c>
      <c r="B580">
        <v>-4.9078999999999998E-2</v>
      </c>
      <c r="C580">
        <v>-4.6193999999999999E-2</v>
      </c>
    </row>
    <row r="581" spans="1:3">
      <c r="A581" t="s">
        <v>1395</v>
      </c>
      <c r="B581">
        <v>-6.3455999999999999E-2</v>
      </c>
      <c r="C581">
        <v>-5.4597E-2</v>
      </c>
    </row>
    <row r="582" spans="1:3">
      <c r="A582" t="s">
        <v>1396</v>
      </c>
      <c r="B582">
        <v>0.13517699999999999</v>
      </c>
      <c r="C582">
        <v>5.5065999999999997E-2</v>
      </c>
    </row>
    <row r="583" spans="1:3">
      <c r="A583" t="s">
        <v>1397</v>
      </c>
      <c r="B583">
        <v>5.2847999999999999E-2</v>
      </c>
      <c r="C583">
        <v>8.4189999999999994E-3</v>
      </c>
    </row>
    <row r="584" spans="1:3">
      <c r="A584" t="s">
        <v>680</v>
      </c>
      <c r="B584">
        <v>2.9434999999999999E-2</v>
      </c>
      <c r="C584">
        <v>2.6547999999999999E-2</v>
      </c>
    </row>
    <row r="585" spans="1:3">
      <c r="A585" t="s">
        <v>1398</v>
      </c>
      <c r="B585">
        <v>5.7027000000000001E-2</v>
      </c>
      <c r="C585">
        <v>1.5591000000000001E-2</v>
      </c>
    </row>
    <row r="586" spans="1:3">
      <c r="A586" t="s">
        <v>1399</v>
      </c>
      <c r="B586">
        <v>5.4852999999999999E-2</v>
      </c>
      <c r="C586">
        <v>1.304E-2</v>
      </c>
    </row>
    <row r="587" spans="1:3">
      <c r="A587" t="s">
        <v>1400</v>
      </c>
      <c r="B587">
        <v>4.3701999999999998E-2</v>
      </c>
      <c r="C587">
        <v>1.0884E-2</v>
      </c>
    </row>
    <row r="588" spans="1:3">
      <c r="A588" t="s">
        <v>1401</v>
      </c>
      <c r="B588">
        <v>1.7250999999999999E-2</v>
      </c>
      <c r="C588">
        <v>-5.1910000000000003E-3</v>
      </c>
    </row>
    <row r="589" spans="1:3">
      <c r="A589" t="s">
        <v>1402</v>
      </c>
      <c r="B589">
        <v>-1.3735000000000001E-2</v>
      </c>
      <c r="C589">
        <v>-1.3575E-2</v>
      </c>
    </row>
    <row r="590" spans="1:3">
      <c r="A590" t="s">
        <v>1403</v>
      </c>
      <c r="B590">
        <v>5.1665000000000003E-2</v>
      </c>
      <c r="C590">
        <v>1.7815000000000001E-2</v>
      </c>
    </row>
    <row r="591" spans="1:3">
      <c r="A591" t="s">
        <v>1404</v>
      </c>
      <c r="B591">
        <v>8.9800000000000001E-3</v>
      </c>
      <c r="C591">
        <v>-1.4444E-2</v>
      </c>
    </row>
    <row r="592" spans="1:3">
      <c r="A592" t="s">
        <v>1405</v>
      </c>
      <c r="B592">
        <v>-2.249E-2</v>
      </c>
      <c r="C592">
        <v>5.1409999999999997E-3</v>
      </c>
    </row>
    <row r="593" spans="1:3">
      <c r="A593" t="s">
        <v>1406</v>
      </c>
      <c r="B593">
        <v>4.0079999999999998E-2</v>
      </c>
      <c r="C593">
        <v>9.5829999999999995E-3</v>
      </c>
    </row>
    <row r="594" spans="1:3">
      <c r="A594" t="s">
        <v>1407</v>
      </c>
      <c r="B594">
        <v>-2.2523999999999999E-2</v>
      </c>
      <c r="C594">
        <v>-1.1128000000000001E-2</v>
      </c>
    </row>
    <row r="595" spans="1:3">
      <c r="A595" t="s">
        <v>1408</v>
      </c>
      <c r="B595">
        <v>3.7373000000000003E-2</v>
      </c>
      <c r="C595">
        <v>7.8709999999999995E-3</v>
      </c>
    </row>
    <row r="596" spans="1:3">
      <c r="A596" t="s">
        <v>1409</v>
      </c>
      <c r="B596">
        <v>-1.2075000000000001E-2</v>
      </c>
      <c r="C596">
        <v>2.172E-2</v>
      </c>
    </row>
    <row r="597" spans="1:3">
      <c r="A597" t="s">
        <v>1410</v>
      </c>
      <c r="B597">
        <v>5.4460000000000001E-2</v>
      </c>
      <c r="C597">
        <v>1.4507000000000001E-2</v>
      </c>
    </row>
    <row r="598" spans="1:3">
      <c r="A598" t="s">
        <v>1411</v>
      </c>
      <c r="B598">
        <v>3.6699999999999998E-4</v>
      </c>
      <c r="C598">
        <v>-6.5209999999999999E-3</v>
      </c>
    </row>
    <row r="599" spans="1:3">
      <c r="A599" t="s">
        <v>1412</v>
      </c>
      <c r="B599">
        <v>8.7073999999999999E-2</v>
      </c>
      <c r="C599">
        <v>2.8818E-2</v>
      </c>
    </row>
    <row r="600" spans="1:3">
      <c r="A600" t="s">
        <v>1413</v>
      </c>
      <c r="B600">
        <v>1.9439000000000001E-2</v>
      </c>
      <c r="C600">
        <v>-5.1679999999999999E-3</v>
      </c>
    </row>
    <row r="601" spans="1:3">
      <c r="A601" t="s">
        <v>1414</v>
      </c>
      <c r="B601">
        <v>6.633E-3</v>
      </c>
      <c r="C601">
        <v>2.1604999999999999E-2</v>
      </c>
    </row>
    <row r="602" spans="1:3">
      <c r="A602" t="s">
        <v>1415</v>
      </c>
      <c r="B602">
        <v>-1.3195E-2</v>
      </c>
      <c r="C602">
        <v>1.983E-3</v>
      </c>
    </row>
    <row r="603" spans="1:3">
      <c r="A603" t="s">
        <v>1416</v>
      </c>
      <c r="B603">
        <v>4.0690999999999998E-2</v>
      </c>
      <c r="C603">
        <v>2.9083999999999999E-2</v>
      </c>
    </row>
    <row r="604" spans="1:3">
      <c r="A604" t="s">
        <v>1417</v>
      </c>
      <c r="B604">
        <v>-1.7503999999999999E-2</v>
      </c>
      <c r="C604">
        <v>-2.4136999999999999E-2</v>
      </c>
    </row>
    <row r="605" spans="1:3">
      <c r="A605" t="s">
        <v>1418</v>
      </c>
      <c r="B605">
        <v>5.8270000000000002E-2</v>
      </c>
      <c r="C605">
        <v>3.0766000000000002E-2</v>
      </c>
    </row>
    <row r="606" spans="1:3">
      <c r="A606" t="s">
        <v>1419</v>
      </c>
      <c r="B606">
        <v>9.5783999999999994E-2</v>
      </c>
      <c r="C606">
        <v>2.9559999999999999E-2</v>
      </c>
    </row>
    <row r="607" spans="1:3">
      <c r="A607" t="s">
        <v>1420</v>
      </c>
      <c r="B607">
        <v>4.5848E-2</v>
      </c>
      <c r="C607">
        <v>2.3519000000000002E-2</v>
      </c>
    </row>
    <row r="608" spans="1:3">
      <c r="A608" t="s">
        <v>1421</v>
      </c>
      <c r="B608">
        <v>2.5557E-2</v>
      </c>
      <c r="C608">
        <v>-9.3670000000000003E-3</v>
      </c>
    </row>
    <row r="609" spans="1:3">
      <c r="A609" t="s">
        <v>1422</v>
      </c>
      <c r="B609">
        <v>-7.4496999999999994E-2</v>
      </c>
      <c r="C609">
        <v>-3.2613000000000003E-2</v>
      </c>
    </row>
    <row r="610" spans="1:3">
      <c r="A610" t="s">
        <v>1423</v>
      </c>
      <c r="B610">
        <v>4.4046000000000002E-2</v>
      </c>
      <c r="C610">
        <v>1.7061E-2</v>
      </c>
    </row>
    <row r="611" spans="1:3">
      <c r="A611" t="s">
        <v>1424</v>
      </c>
      <c r="B611">
        <v>4.2319999999999997E-3</v>
      </c>
      <c r="C611">
        <v>2.3195E-2</v>
      </c>
    </row>
    <row r="612" spans="1:3">
      <c r="A612" t="s">
        <v>1425</v>
      </c>
      <c r="B612">
        <v>3.0193000000000001E-2</v>
      </c>
      <c r="C612">
        <v>-4.1609999999999998E-3</v>
      </c>
    </row>
    <row r="613" spans="1:3">
      <c r="A613" t="s">
        <v>1426</v>
      </c>
      <c r="B613">
        <v>1.0765E-2</v>
      </c>
      <c r="C613">
        <v>2.5929999999999998E-3</v>
      </c>
    </row>
    <row r="614" spans="1:3">
      <c r="A614" t="s">
        <v>1427</v>
      </c>
      <c r="B614">
        <v>6.9449999999999998E-3</v>
      </c>
      <c r="C614">
        <v>1.6150000000000001E-2</v>
      </c>
    </row>
    <row r="615" spans="1:3">
      <c r="A615" t="s">
        <v>1428</v>
      </c>
      <c r="B615">
        <v>-1.5459000000000001E-2</v>
      </c>
      <c r="C615">
        <v>-4.3547000000000002E-2</v>
      </c>
    </row>
    <row r="616" spans="1:3">
      <c r="A616" t="s">
        <v>1429</v>
      </c>
      <c r="B616">
        <v>4.2145000000000002E-2</v>
      </c>
      <c r="C616">
        <v>2.4552000000000001E-2</v>
      </c>
    </row>
    <row r="617" spans="1:3">
      <c r="A617" t="s">
        <v>1430</v>
      </c>
      <c r="B617">
        <v>8.3400000000000002E-3</v>
      </c>
      <c r="C617">
        <v>-1.8308000000000001E-2</v>
      </c>
    </row>
    <row r="618" spans="1:3">
      <c r="A618" t="s">
        <v>1431</v>
      </c>
      <c r="B618">
        <v>4.9022999999999997E-2</v>
      </c>
      <c r="C618">
        <v>2.9163000000000001E-2</v>
      </c>
    </row>
    <row r="619" spans="1:3">
      <c r="A619" t="s">
        <v>1432</v>
      </c>
      <c r="B619">
        <v>7.8349000000000002E-2</v>
      </c>
      <c r="C619">
        <v>-1.6150000000000001E-2</v>
      </c>
    </row>
    <row r="620" spans="1:3">
      <c r="A620" t="s">
        <v>1433</v>
      </c>
      <c r="B620">
        <v>1.1609999999999999E-3</v>
      </c>
      <c r="C620">
        <v>2.4228E-2</v>
      </c>
    </row>
    <row r="621" spans="1:3">
      <c r="A621" t="s">
        <v>1434</v>
      </c>
      <c r="B621">
        <v>-5.1349999999999998E-3</v>
      </c>
      <c r="C621">
        <v>-2.3921999999999999E-2</v>
      </c>
    </row>
    <row r="622" spans="1:3">
      <c r="A622" t="s">
        <v>1435</v>
      </c>
      <c r="B622">
        <v>6.5317E-2</v>
      </c>
      <c r="C622">
        <v>7.8460000000000005E-3</v>
      </c>
    </row>
    <row r="623" spans="1:3">
      <c r="A623" t="s">
        <v>1436</v>
      </c>
      <c r="B623">
        <v>-4.8079999999999998E-3</v>
      </c>
      <c r="C623">
        <v>1.6959999999999999E-2</v>
      </c>
    </row>
    <row r="624" spans="1:3">
      <c r="A624" t="s">
        <v>1437</v>
      </c>
      <c r="B624">
        <v>-1.4598E-2</v>
      </c>
      <c r="C624">
        <v>5.1659999999999996E-3</v>
      </c>
    </row>
    <row r="625" spans="1:3">
      <c r="A625" t="s">
        <v>1438</v>
      </c>
      <c r="B625">
        <v>-2.5149999999999999E-3</v>
      </c>
      <c r="C625">
        <v>1.4200000000000001E-4</v>
      </c>
    </row>
    <row r="626" spans="1:3">
      <c r="A626" t="s">
        <v>1439</v>
      </c>
      <c r="B626">
        <v>-8.3820000000000006E-3</v>
      </c>
      <c r="C626">
        <v>8.541E-3</v>
      </c>
    </row>
    <row r="627" spans="1:3">
      <c r="A627" t="s">
        <v>1440</v>
      </c>
      <c r="B627">
        <v>2.4022000000000002E-2</v>
      </c>
      <c r="C627">
        <v>-4.1406999999999999E-2</v>
      </c>
    </row>
    <row r="628" spans="1:3">
      <c r="A628" t="s">
        <v>1441</v>
      </c>
      <c r="B628">
        <v>-9.0881000000000003E-2</v>
      </c>
      <c r="C628">
        <v>-1.2648E-2</v>
      </c>
    </row>
    <row r="629" spans="1:3">
      <c r="A629" t="s">
        <v>1442</v>
      </c>
      <c r="B629">
        <v>-4.5158999999999998E-2</v>
      </c>
      <c r="C629">
        <v>-9.5759999999999994E-3</v>
      </c>
    </row>
    <row r="630" spans="1:3">
      <c r="A630" t="s">
        <v>1443</v>
      </c>
      <c r="B630">
        <v>9.5797999999999994E-2</v>
      </c>
      <c r="C630">
        <v>1.9914999999999999E-2</v>
      </c>
    </row>
    <row r="631" spans="1:3">
      <c r="A631" t="s">
        <v>1444</v>
      </c>
      <c r="B631">
        <v>-7.45E-3</v>
      </c>
      <c r="C631">
        <v>5.855E-3</v>
      </c>
    </row>
    <row r="632" spans="1:3">
      <c r="A632" t="s">
        <v>1445</v>
      </c>
      <c r="B632">
        <v>-5.4599999999999996E-3</v>
      </c>
      <c r="C632">
        <v>-3.5617000000000003E-2</v>
      </c>
    </row>
    <row r="633" spans="1:3">
      <c r="A633" t="s">
        <v>1446</v>
      </c>
      <c r="B633">
        <v>-3.7279E-2</v>
      </c>
      <c r="C633">
        <v>-2.1218000000000001E-2</v>
      </c>
    </row>
    <row r="634" spans="1:3">
      <c r="A634" t="s">
        <v>1447</v>
      </c>
      <c r="B634">
        <v>7.4371999999999994E-2</v>
      </c>
      <c r="C634">
        <v>1.1742000000000001E-2</v>
      </c>
    </row>
    <row r="635" spans="1:3">
      <c r="A635" t="s">
        <v>1448</v>
      </c>
      <c r="B635">
        <v>8.5233000000000003E-2</v>
      </c>
      <c r="C635">
        <v>4.3011000000000001E-2</v>
      </c>
    </row>
    <row r="636" spans="1:3">
      <c r="A636" t="s">
        <v>1449</v>
      </c>
      <c r="B636">
        <v>-9.1730000000000006E-3</v>
      </c>
      <c r="C636">
        <v>6.1900000000000002E-3</v>
      </c>
    </row>
    <row r="637" spans="1:3">
      <c r="A637" t="s">
        <v>1450</v>
      </c>
      <c r="B637">
        <v>6.2119999999999996E-3</v>
      </c>
      <c r="C637">
        <v>-4.457E-3</v>
      </c>
    </row>
    <row r="638" spans="1:3">
      <c r="A638" t="s">
        <v>1451</v>
      </c>
      <c r="B638">
        <v>4.2944999999999997E-2</v>
      </c>
      <c r="C638">
        <v>1.5945000000000001E-2</v>
      </c>
    </row>
    <row r="639" spans="1:3">
      <c r="A639" t="s">
        <v>1452</v>
      </c>
      <c r="B639">
        <v>7.8302999999999998E-2</v>
      </c>
      <c r="C639">
        <v>2.7824000000000002E-2</v>
      </c>
    </row>
    <row r="640" spans="1:3">
      <c r="A640" t="s">
        <v>1453</v>
      </c>
      <c r="B640">
        <v>-3.0813E-2</v>
      </c>
      <c r="C640">
        <v>1.5724999999999999E-2</v>
      </c>
    </row>
    <row r="641" spans="1:3">
      <c r="A641" t="s">
        <v>1454</v>
      </c>
      <c r="B641">
        <v>-3.166E-3</v>
      </c>
      <c r="C641">
        <v>4.8900000000000002E-3</v>
      </c>
    </row>
    <row r="642" spans="1:3">
      <c r="A642" t="s">
        <v>1455</v>
      </c>
      <c r="B642">
        <v>-4.4521999999999999E-2</v>
      </c>
      <c r="C642">
        <v>-1.1448E-2</v>
      </c>
    </row>
    <row r="643" spans="1:3">
      <c r="A643" t="s">
        <v>1456</v>
      </c>
      <c r="B643">
        <v>7.0823999999999998E-2</v>
      </c>
      <c r="C643">
        <v>9.1991000000000003E-2</v>
      </c>
    </row>
    <row r="644" spans="1:3">
      <c r="A644" t="s">
        <v>1457</v>
      </c>
      <c r="B644">
        <v>2.9194000000000001E-2</v>
      </c>
      <c r="C644">
        <v>3.2821999999999997E-2</v>
      </c>
    </row>
    <row r="645" spans="1:3">
      <c r="A645" t="s">
        <v>99</v>
      </c>
      <c r="B645">
        <v>1.6191000000000001E-2</v>
      </c>
      <c r="C645">
        <v>-2.6858E-2</v>
      </c>
    </row>
    <row r="646" spans="1:3">
      <c r="A646" t="s">
        <v>102</v>
      </c>
      <c r="B646">
        <v>2.2187999999999999E-2</v>
      </c>
      <c r="C646">
        <v>-4.9740000000000001E-3</v>
      </c>
    </row>
    <row r="647" spans="1:3">
      <c r="A647" t="s">
        <v>105</v>
      </c>
      <c r="B647">
        <v>3.1671999999999999E-2</v>
      </c>
      <c r="C647">
        <v>-8.8789999999999997E-3</v>
      </c>
    </row>
    <row r="648" spans="1:3">
      <c r="A648" t="s">
        <v>106</v>
      </c>
      <c r="B648">
        <v>1.2148000000000001E-2</v>
      </c>
      <c r="C648">
        <v>8.6370000000000006E-3</v>
      </c>
    </row>
    <row r="649" spans="1:3">
      <c r="A649" t="s">
        <v>107</v>
      </c>
      <c r="B649">
        <v>2.5304E-2</v>
      </c>
      <c r="C649">
        <v>-1.4546999999999999E-2</v>
      </c>
    </row>
    <row r="650" spans="1:3">
      <c r="A650" t="s">
        <v>108</v>
      </c>
      <c r="B650">
        <v>-5.8019999999999999E-3</v>
      </c>
      <c r="C650">
        <v>1.5370999999999999E-2</v>
      </c>
    </row>
    <row r="651" spans="1:3">
      <c r="A651" t="s">
        <v>109</v>
      </c>
      <c r="B651">
        <v>-4.496E-3</v>
      </c>
      <c r="C651">
        <v>-9.4079999999999997E-3</v>
      </c>
    </row>
    <row r="652" spans="1:3">
      <c r="A652" t="s">
        <v>110</v>
      </c>
      <c r="B652">
        <v>-1.5403E-2</v>
      </c>
      <c r="C652">
        <v>-1.448E-2</v>
      </c>
    </row>
    <row r="653" spans="1:3">
      <c r="A653" t="s">
        <v>111</v>
      </c>
      <c r="B653">
        <v>2.4246E-2</v>
      </c>
      <c r="C653">
        <v>5.7779999999999998E-2</v>
      </c>
    </row>
    <row r="654" spans="1:3">
      <c r="A654" t="s">
        <v>112</v>
      </c>
      <c r="B654">
        <v>3.3050000000000002E-3</v>
      </c>
      <c r="C654">
        <v>-2.7430000000000002E-3</v>
      </c>
    </row>
    <row r="655" spans="1:3">
      <c r="A655" t="s">
        <v>113</v>
      </c>
      <c r="B655">
        <v>7.1082000000000006E-2</v>
      </c>
      <c r="C655">
        <v>2.1753999999999999E-2</v>
      </c>
    </row>
    <row r="656" spans="1:3">
      <c r="A656" t="s">
        <v>114</v>
      </c>
      <c r="B656">
        <v>3.9709000000000001E-2</v>
      </c>
      <c r="C656">
        <v>5.6800000000000002E-3</v>
      </c>
    </row>
    <row r="657" spans="1:3">
      <c r="A657" t="s">
        <v>115</v>
      </c>
      <c r="B657">
        <v>5.8111000000000003E-2</v>
      </c>
      <c r="C657">
        <v>-5.4990000000000004E-3</v>
      </c>
    </row>
    <row r="658" spans="1:3">
      <c r="A658" t="s">
        <v>116</v>
      </c>
      <c r="B658">
        <v>-6.4797999999999994E-2</v>
      </c>
      <c r="C658">
        <v>-1.0102999999999999E-2</v>
      </c>
    </row>
    <row r="659" spans="1:3">
      <c r="A659" t="s">
        <v>117</v>
      </c>
      <c r="B659">
        <v>-4.0879999999999996E-3</v>
      </c>
      <c r="C659">
        <v>3.2230000000000002E-3</v>
      </c>
    </row>
    <row r="660" spans="1:3">
      <c r="A660" t="s">
        <v>118</v>
      </c>
      <c r="B660">
        <v>-1.0215999999999999E-2</v>
      </c>
      <c r="C660">
        <v>-3.5339999999999998E-3</v>
      </c>
    </row>
    <row r="661" spans="1:3">
      <c r="A661" t="s">
        <v>119</v>
      </c>
      <c r="B661">
        <v>2.9914E-2</v>
      </c>
      <c r="C661">
        <v>5.5830000000000003E-3</v>
      </c>
    </row>
    <row r="662" spans="1:3">
      <c r="A662" t="s">
        <v>120</v>
      </c>
      <c r="B662">
        <v>4.6439000000000001E-2</v>
      </c>
      <c r="C662">
        <v>3.6879999999999999E-3</v>
      </c>
    </row>
    <row r="663" spans="1:3">
      <c r="A663" t="s">
        <v>121</v>
      </c>
      <c r="B663">
        <v>4.5501E-2</v>
      </c>
      <c r="C663">
        <v>1.0584E-2</v>
      </c>
    </row>
    <row r="664" spans="1:3">
      <c r="A664" t="s">
        <v>122</v>
      </c>
      <c r="B664">
        <v>3.5076999999999997E-2</v>
      </c>
      <c r="C664">
        <v>-2.0209999999999998E-3</v>
      </c>
    </row>
    <row r="665" spans="1:3">
      <c r="A665" t="s">
        <v>123</v>
      </c>
      <c r="B665">
        <v>5.8710000000000004E-3</v>
      </c>
      <c r="C665">
        <v>-2.0712999999999999E-2</v>
      </c>
    </row>
    <row r="666" spans="1:3">
      <c r="A666" t="s">
        <v>124</v>
      </c>
      <c r="B666">
        <v>-6.6720000000000002E-2</v>
      </c>
      <c r="C666">
        <v>-3.7257999999999999E-2</v>
      </c>
    </row>
    <row r="667" spans="1:3">
      <c r="A667" t="s">
        <v>125</v>
      </c>
      <c r="B667">
        <v>-1.4940000000000001E-3</v>
      </c>
      <c r="C667">
        <v>1.7382000000000002E-2</v>
      </c>
    </row>
    <row r="668" spans="1:3">
      <c r="A668" t="s">
        <v>126</v>
      </c>
      <c r="B668">
        <v>-0.119834</v>
      </c>
      <c r="C668">
        <v>-6.8385000000000001E-2</v>
      </c>
    </row>
    <row r="669" spans="1:3">
      <c r="A669" t="s">
        <v>127</v>
      </c>
      <c r="B669">
        <v>7.0872000000000004E-2</v>
      </c>
      <c r="C669">
        <v>4.8003999999999998E-2</v>
      </c>
    </row>
    <row r="670" spans="1:3">
      <c r="A670" t="s">
        <v>128</v>
      </c>
      <c r="B670">
        <v>4.8911000000000003E-2</v>
      </c>
      <c r="C670">
        <v>1.3948E-2</v>
      </c>
    </row>
    <row r="671" spans="1:3">
      <c r="A671" t="s">
        <v>129</v>
      </c>
      <c r="B671">
        <v>1.2574999999999999E-2</v>
      </c>
      <c r="C671">
        <v>-4.1648999999999999E-2</v>
      </c>
    </row>
    <row r="672" spans="1:3">
      <c r="A672" t="s">
        <v>130</v>
      </c>
      <c r="B672">
        <v>4.2777999999999997E-2</v>
      </c>
      <c r="C672">
        <v>2.5080000000000002E-2</v>
      </c>
    </row>
    <row r="673" spans="1:3">
      <c r="A673" t="s">
        <v>131</v>
      </c>
      <c r="B673">
        <v>-6.5914E-2</v>
      </c>
      <c r="C673">
        <v>-4.3725E-2</v>
      </c>
    </row>
    <row r="674" spans="1:3">
      <c r="A674" t="s">
        <v>132</v>
      </c>
      <c r="B674">
        <v>8.4517999999999996E-2</v>
      </c>
      <c r="C674">
        <v>2.6713000000000001E-2</v>
      </c>
    </row>
    <row r="675" spans="1:3">
      <c r="A675" t="s">
        <v>133</v>
      </c>
      <c r="B675">
        <v>1.4963000000000001E-2</v>
      </c>
      <c r="C675">
        <v>-5.3200000000000001E-3</v>
      </c>
    </row>
    <row r="676" spans="1:3">
      <c r="A676" t="s">
        <v>134</v>
      </c>
      <c r="B676">
        <v>-1.9734999999999999E-2</v>
      </c>
      <c r="C676">
        <v>-4.623E-2</v>
      </c>
    </row>
    <row r="677" spans="1:3">
      <c r="A677" t="s">
        <v>135</v>
      </c>
      <c r="B677">
        <v>2.7888E-2</v>
      </c>
      <c r="C677">
        <v>4.6650999999999998E-2</v>
      </c>
    </row>
    <row r="678" spans="1:3">
      <c r="A678" t="s">
        <v>136</v>
      </c>
      <c r="B678">
        <v>4.4281000000000001E-2</v>
      </c>
      <c r="C678">
        <v>-3.4699999999999998E-4</v>
      </c>
    </row>
    <row r="679" spans="1:3">
      <c r="A679" t="s">
        <v>137</v>
      </c>
      <c r="B679">
        <v>2.7743E-2</v>
      </c>
      <c r="C679">
        <v>-5.6779999999999999E-3</v>
      </c>
    </row>
    <row r="680" spans="1:3">
      <c r="A680" t="s">
        <v>138</v>
      </c>
      <c r="B680">
        <v>3.6212000000000001E-2</v>
      </c>
      <c r="C680">
        <v>2.3266999999999999E-2</v>
      </c>
    </row>
    <row r="681" spans="1:3">
      <c r="A681" t="s">
        <v>139</v>
      </c>
      <c r="B681">
        <v>-1.3006E-2</v>
      </c>
      <c r="C681">
        <v>-5.6401E-2</v>
      </c>
    </row>
    <row r="682" spans="1:3">
      <c r="A682" t="s">
        <v>140</v>
      </c>
      <c r="B682">
        <v>-0.11197699999999999</v>
      </c>
      <c r="C682">
        <v>-4.1257000000000002E-2</v>
      </c>
    </row>
    <row r="683" spans="1:3">
      <c r="A683" t="s">
        <v>141</v>
      </c>
      <c r="B683">
        <v>-7.3729000000000003E-2</v>
      </c>
      <c r="C683">
        <v>-0.15043400000000001</v>
      </c>
    </row>
    <row r="684" spans="1:3">
      <c r="A684" t="s">
        <v>142</v>
      </c>
      <c r="B684">
        <v>0.179086</v>
      </c>
      <c r="C684">
        <v>8.3719000000000002E-2</v>
      </c>
    </row>
    <row r="685" spans="1:3">
      <c r="A685" t="s">
        <v>143</v>
      </c>
      <c r="B685">
        <v>9.6227999999999994E-2</v>
      </c>
      <c r="C685">
        <v>1.8824E-2</v>
      </c>
    </row>
    <row r="686" spans="1:3">
      <c r="A686" t="s">
        <v>144</v>
      </c>
      <c r="B686">
        <v>5.8097999999999997E-2</v>
      </c>
      <c r="C686">
        <v>7.3600000000000002E-3</v>
      </c>
    </row>
    <row r="687" spans="1:3">
      <c r="A687" t="s">
        <v>145</v>
      </c>
      <c r="B687">
        <v>7.7633999999999995E-2</v>
      </c>
      <c r="C687">
        <v>1.6497000000000001E-2</v>
      </c>
    </row>
    <row r="688" spans="1:3">
      <c r="A688" t="s">
        <v>146</v>
      </c>
      <c r="B688">
        <v>0.14960100000000001</v>
      </c>
      <c r="C688">
        <v>2.7768000000000001E-2</v>
      </c>
    </row>
    <row r="689" spans="1:3">
      <c r="A689" t="s">
        <v>147</v>
      </c>
      <c r="B689">
        <v>-4.3188999999999998E-2</v>
      </c>
      <c r="C689">
        <v>-3.3083000000000001E-2</v>
      </c>
    </row>
    <row r="690" spans="1:3">
      <c r="A690" t="s">
        <v>148</v>
      </c>
      <c r="B690">
        <v>-5.5348000000000001E-2</v>
      </c>
      <c r="C690">
        <v>3.6651000000000003E-2</v>
      </c>
    </row>
    <row r="691" spans="1:3">
      <c r="A691" t="s">
        <v>149</v>
      </c>
      <c r="B691">
        <v>0.14902099999999999</v>
      </c>
      <c r="C691">
        <v>9.8651000000000003E-2</v>
      </c>
    </row>
    <row r="692" spans="1:3">
      <c r="A692" t="s">
        <v>150</v>
      </c>
      <c r="B692">
        <v>5.6899999999999999E-2</v>
      </c>
      <c r="C692">
        <v>3.8743E-2</v>
      </c>
    </row>
    <row r="693" spans="1:3">
      <c r="A693" t="s">
        <v>151</v>
      </c>
      <c r="B693">
        <v>1.5654000000000001E-2</v>
      </c>
      <c r="C693">
        <v>4.3771999999999998E-2</v>
      </c>
    </row>
    <row r="694" spans="1:3">
      <c r="A694" t="s">
        <v>152</v>
      </c>
      <c r="B694">
        <v>-5.7590000000000002E-3</v>
      </c>
      <c r="C694">
        <v>7.1138999999999994E-2</v>
      </c>
    </row>
    <row r="695" spans="1:3">
      <c r="A695" t="s">
        <v>153</v>
      </c>
      <c r="B695">
        <v>8.9948E-2</v>
      </c>
      <c r="C695">
        <v>6.8834000000000006E-2</v>
      </c>
    </row>
    <row r="696" spans="1:3">
      <c r="A696" t="s">
        <v>154</v>
      </c>
      <c r="B696">
        <v>6.3660999999999995E-2</v>
      </c>
      <c r="C696">
        <v>1.0800000000000001E-2</v>
      </c>
    </row>
    <row r="697" spans="1:3">
      <c r="A697" t="s">
        <v>155</v>
      </c>
      <c r="B697">
        <v>2.3896000000000001E-2</v>
      </c>
      <c r="C697">
        <v>4.3666999999999997E-2</v>
      </c>
    </row>
    <row r="698" spans="1:3">
      <c r="A698" t="s">
        <v>156</v>
      </c>
      <c r="B698">
        <v>6.6915000000000002E-2</v>
      </c>
      <c r="C698">
        <v>-3.6978999999999998E-2</v>
      </c>
    </row>
    <row r="699" spans="1:3">
      <c r="A699" t="s">
        <v>157</v>
      </c>
      <c r="B699">
        <v>5.7801999999999999E-2</v>
      </c>
      <c r="C699">
        <v>-3.388E-3</v>
      </c>
    </row>
    <row r="700" spans="1:3">
      <c r="A700" t="s">
        <v>158</v>
      </c>
      <c r="B700">
        <v>1.9056E-2</v>
      </c>
      <c r="C700">
        <v>1.8500000000000001E-3</v>
      </c>
    </row>
    <row r="701" spans="1:3">
      <c r="A701" t="s">
        <v>159</v>
      </c>
      <c r="B701">
        <v>-5.4052000000000003E-2</v>
      </c>
      <c r="C701">
        <v>1.0036E-2</v>
      </c>
    </row>
    <row r="702" spans="1:3">
      <c r="A702" t="s">
        <v>160</v>
      </c>
      <c r="B702">
        <v>7.4697E-2</v>
      </c>
      <c r="C702">
        <v>1.3540999999999999E-2</v>
      </c>
    </row>
    <row r="703" spans="1:3">
      <c r="A703" t="s">
        <v>161</v>
      </c>
      <c r="B703">
        <v>8.1414E-2</v>
      </c>
      <c r="C703">
        <v>1.1769E-2</v>
      </c>
    </row>
    <row r="704" spans="1:3">
      <c r="A704" t="s">
        <v>1458</v>
      </c>
      <c r="B704">
        <v>9.8111000000000004E-2</v>
      </c>
      <c r="C704">
        <v>4.0349999999999997E-2</v>
      </c>
    </row>
    <row r="705" spans="1:3">
      <c r="A705" t="s">
        <v>1459</v>
      </c>
      <c r="B705">
        <v>-7.5355000000000005E-2</v>
      </c>
      <c r="C705">
        <v>4.6589999999999999E-3</v>
      </c>
    </row>
    <row r="706" spans="1:3">
      <c r="A706" t="s">
        <v>1460</v>
      </c>
      <c r="B706">
        <v>-2.9089E-2</v>
      </c>
      <c r="C706">
        <v>1.0500000000000001E-2</v>
      </c>
    </row>
    <row r="707" spans="1:3">
      <c r="A707" t="s">
        <v>1461</v>
      </c>
      <c r="B707">
        <v>6.2893000000000004E-2</v>
      </c>
      <c r="C707">
        <v>-4.3819999999999996E-3</v>
      </c>
    </row>
    <row r="708" spans="1:3">
      <c r="A708" t="s">
        <v>1462</v>
      </c>
      <c r="B708">
        <v>-6.3219999999999998E-2</v>
      </c>
      <c r="C708">
        <v>7.1269999999999997E-3</v>
      </c>
    </row>
    <row r="709" spans="1:3">
      <c r="A709" t="s">
        <v>1463</v>
      </c>
      <c r="B709">
        <v>1.2508999999999999E-2</v>
      </c>
      <c r="C709">
        <v>3.5376999999999999E-2</v>
      </c>
    </row>
    <row r="710" spans="1:3">
      <c r="A710" t="s">
        <v>1464</v>
      </c>
      <c r="B710">
        <v>-8.1605999999999998E-2</v>
      </c>
      <c r="C710">
        <v>-3.6000999999999998E-2</v>
      </c>
    </row>
    <row r="711" spans="1:3">
      <c r="A711" t="s">
        <v>1465</v>
      </c>
      <c r="B711">
        <v>9.2456999999999998E-2</v>
      </c>
      <c r="C711">
        <v>3.7385000000000002E-2</v>
      </c>
    </row>
    <row r="712" spans="1:3">
      <c r="A712" t="s">
        <v>1466</v>
      </c>
      <c r="B712">
        <v>-7.0456000000000005E-2</v>
      </c>
      <c r="C712">
        <v>-1.8610999999999999E-2</v>
      </c>
    </row>
    <row r="713" spans="1:3">
      <c r="A713" t="s">
        <v>1467</v>
      </c>
      <c r="B713">
        <v>-0.14000000000000001</v>
      </c>
      <c r="C713">
        <v>-5.7997E-2</v>
      </c>
    </row>
    <row r="714" spans="1:3">
      <c r="A714" t="s">
        <v>440</v>
      </c>
      <c r="B714">
        <v>0.12245499999999999</v>
      </c>
      <c r="C714">
        <v>8.1643999999999994E-2</v>
      </c>
    </row>
    <row r="715" spans="1:3">
      <c r="A715" t="s">
        <v>441</v>
      </c>
      <c r="B715">
        <v>0.119232</v>
      </c>
      <c r="C715">
        <v>3.7984999999999998E-2</v>
      </c>
    </row>
    <row r="716" spans="1:3">
      <c r="A716" t="s">
        <v>442</v>
      </c>
      <c r="B716">
        <v>-4.7477999999999999E-2</v>
      </c>
      <c r="C716">
        <v>-1.3768000000000001E-2</v>
      </c>
    </row>
    <row r="717" spans="1:3">
      <c r="A717" t="s">
        <v>1468</v>
      </c>
      <c r="B717">
        <v>7.1791999999999995E-2</v>
      </c>
      <c r="C717">
        <v>2.8065E-2</v>
      </c>
    </row>
    <row r="718" spans="1:3">
      <c r="A718" t="s">
        <v>1469</v>
      </c>
      <c r="B718">
        <v>-2.2669999999999999E-3</v>
      </c>
      <c r="C718">
        <v>-2.1066000000000001E-2</v>
      </c>
    </row>
    <row r="719" spans="1:3">
      <c r="A719" t="s">
        <v>1470</v>
      </c>
      <c r="B719">
        <v>5.7209999999999997E-2</v>
      </c>
      <c r="C719">
        <v>-5.7017999999999999E-2</v>
      </c>
    </row>
    <row r="720" spans="1:3">
      <c r="A720" t="s">
        <v>1471</v>
      </c>
      <c r="B720">
        <v>5.5313000000000001E-2</v>
      </c>
      <c r="C720">
        <v>-1.2312E-2</v>
      </c>
    </row>
    <row r="721" spans="1:3">
      <c r="A721" t="s">
        <v>1472</v>
      </c>
      <c r="B721">
        <v>-3.6065E-2</v>
      </c>
      <c r="C721">
        <v>-2.8339E-2</v>
      </c>
    </row>
    <row r="722" spans="1:3">
      <c r="A722" t="s">
        <v>1473</v>
      </c>
      <c r="B722">
        <v>9.7267999999999993E-2</v>
      </c>
      <c r="C722">
        <v>3.1725999999999997E-2</v>
      </c>
    </row>
    <row r="723" spans="1:3">
      <c r="A723" t="s">
        <v>1474</v>
      </c>
      <c r="B723">
        <v>1.2907E-2</v>
      </c>
      <c r="C723">
        <v>4.1475999999999999E-2</v>
      </c>
    </row>
    <row r="724" spans="1:3">
      <c r="A724" t="s">
        <v>1475</v>
      </c>
      <c r="B724">
        <v>-1.3194000000000001E-2</v>
      </c>
      <c r="C724">
        <v>-1.847E-2</v>
      </c>
    </row>
    <row r="725" spans="1:3">
      <c r="A725" t="s">
        <v>1476</v>
      </c>
      <c r="B725">
        <v>-7.0044999999999996E-2</v>
      </c>
      <c r="C725">
        <v>-2.5562999999999999E-2</v>
      </c>
    </row>
    <row r="726" spans="1:3">
      <c r="A726" t="s">
        <v>452</v>
      </c>
      <c r="B726">
        <v>-4.1651000000000001E-2</v>
      </c>
      <c r="C726">
        <v>-3.4705E-2</v>
      </c>
    </row>
    <row r="727" spans="1:3">
      <c r="A727" t="s">
        <v>453</v>
      </c>
      <c r="B727">
        <v>4.4873000000000003E-2</v>
      </c>
      <c r="C727">
        <v>2.2460999999999998E-2</v>
      </c>
    </row>
    <row r="728" spans="1:3">
      <c r="A728" t="s">
        <v>454</v>
      </c>
      <c r="B728">
        <v>1.5063E-2</v>
      </c>
      <c r="C728">
        <v>5.3952E-2</v>
      </c>
    </row>
    <row r="729" spans="1:3">
      <c r="A729" t="s">
        <v>1477</v>
      </c>
      <c r="B729">
        <v>1.4024999999999999E-2</v>
      </c>
      <c r="C729">
        <v>-3.7241000000000003E-2</v>
      </c>
    </row>
    <row r="730" spans="1:3">
      <c r="A730" t="s">
        <v>1478</v>
      </c>
      <c r="B730">
        <v>3.4645000000000002E-2</v>
      </c>
      <c r="C730">
        <v>-8.5380000000000005E-3</v>
      </c>
    </row>
    <row r="731" spans="1:3">
      <c r="A731" t="s">
        <v>1479</v>
      </c>
      <c r="B731">
        <v>4.8544999999999998E-2</v>
      </c>
      <c r="C731">
        <v>2.6065000000000001E-2</v>
      </c>
    </row>
    <row r="732" spans="1:3">
      <c r="A732" t="s">
        <v>1480</v>
      </c>
      <c r="B732">
        <v>-3.7053999999999997E-2</v>
      </c>
      <c r="C732">
        <v>-4.1659000000000002E-2</v>
      </c>
    </row>
    <row r="733" spans="1:3">
      <c r="A733" t="s">
        <v>1481</v>
      </c>
      <c r="B733">
        <v>8.3468000000000001E-2</v>
      </c>
      <c r="C733">
        <v>3.0766000000000002E-2</v>
      </c>
    </row>
    <row r="734" spans="1:3">
      <c r="A734" t="s">
        <v>1482</v>
      </c>
      <c r="B734">
        <v>2.8306000000000001E-2</v>
      </c>
      <c r="C734">
        <v>-1.8821999999999998E-2</v>
      </c>
    </row>
    <row r="735" spans="1:3">
      <c r="A735" t="s">
        <v>1483</v>
      </c>
      <c r="B735">
        <v>2.7543999999999999E-2</v>
      </c>
      <c r="C735">
        <v>6.7946000000000006E-2</v>
      </c>
    </row>
    <row r="736" spans="1:3">
      <c r="A736" t="s">
        <v>1484</v>
      </c>
      <c r="B736">
        <v>4.6532999999999998E-2</v>
      </c>
      <c r="C736">
        <v>-1.2062E-2</v>
      </c>
    </row>
    <row r="737" spans="1:3">
      <c r="A737" t="s">
        <v>1485</v>
      </c>
      <c r="B737">
        <v>3.2971E-2</v>
      </c>
      <c r="C737">
        <v>-6.7749999999999998E-3</v>
      </c>
    </row>
    <row r="738" spans="1:3">
      <c r="A738" t="s">
        <v>464</v>
      </c>
      <c r="B738">
        <v>-2.1538000000000002E-2</v>
      </c>
      <c r="C738">
        <v>-1.8389999999999999E-3</v>
      </c>
    </row>
    <row r="739" spans="1:3">
      <c r="A739" t="s">
        <v>465</v>
      </c>
      <c r="B739">
        <v>6.6799999999999998E-2</v>
      </c>
      <c r="C739">
        <v>4.7354E-2</v>
      </c>
    </row>
    <row r="740" spans="1:3">
      <c r="A740" t="s">
        <v>466</v>
      </c>
      <c r="B740">
        <v>-1.823E-2</v>
      </c>
      <c r="C740">
        <v>-3.8618E-2</v>
      </c>
    </row>
    <row r="741" spans="1:3">
      <c r="A741" t="s">
        <v>1486</v>
      </c>
      <c r="B741">
        <v>-3.6433E-2</v>
      </c>
      <c r="C741">
        <v>-1.4047E-2</v>
      </c>
    </row>
    <row r="742" spans="1:3">
      <c r="A742" t="s">
        <v>1487</v>
      </c>
      <c r="B742">
        <v>-2.0653999999999999E-2</v>
      </c>
      <c r="C742">
        <v>-2.5042999999999999E-2</v>
      </c>
    </row>
    <row r="743" spans="1:3">
      <c r="A743" t="s">
        <v>1488</v>
      </c>
      <c r="B743">
        <v>-6.6142999999999993E-2</v>
      </c>
      <c r="C743">
        <v>-2.0619999999999999E-2</v>
      </c>
    </row>
    <row r="744" spans="1:3">
      <c r="A744" t="s">
        <v>1489</v>
      </c>
      <c r="B744">
        <v>-5.3898000000000001E-2</v>
      </c>
      <c r="C744">
        <v>-4.3805999999999998E-2</v>
      </c>
    </row>
    <row r="745" spans="1:3">
      <c r="A745" t="s">
        <v>1490</v>
      </c>
      <c r="B745">
        <v>0.13075999999999999</v>
      </c>
      <c r="C745">
        <v>1.486E-2</v>
      </c>
    </row>
    <row r="746" spans="1:3">
      <c r="A746" t="s">
        <v>1491</v>
      </c>
      <c r="B746">
        <v>5.2074000000000002E-2</v>
      </c>
      <c r="C746">
        <v>1.0057E-2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21" sqref="G21"/>
    </sheetView>
  </sheetViews>
  <sheetFormatPr defaultRowHeight="15"/>
  <cols>
    <col min="1" max="1" width="11.5703125" customWidth="1"/>
    <col min="7" max="7" width="6.5703125" customWidth="1"/>
    <col min="8" max="8" width="10.42578125" customWidth="1"/>
    <col min="9" max="9" width="11.42578125" customWidth="1"/>
  </cols>
  <sheetData>
    <row r="1" spans="1:9">
      <c r="B1" s="250" t="s">
        <v>781</v>
      </c>
      <c r="C1" s="258"/>
      <c r="D1" s="258"/>
      <c r="E1" s="258"/>
      <c r="F1" s="258"/>
    </row>
    <row r="3" spans="1:9">
      <c r="B3" s="3" t="s">
        <v>8</v>
      </c>
      <c r="C3" s="3" t="s">
        <v>9</v>
      </c>
      <c r="D3" s="3" t="s">
        <v>10</v>
      </c>
      <c r="E3" s="3" t="s">
        <v>467</v>
      </c>
      <c r="F3" s="3" t="s">
        <v>468</v>
      </c>
    </row>
    <row r="4" spans="1:9">
      <c r="A4" s="3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467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468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50" t="s">
        <v>478</v>
      </c>
      <c r="C10" s="250"/>
      <c r="D10" s="250"/>
      <c r="E10" s="250"/>
      <c r="F10" s="250"/>
      <c r="G10" s="250"/>
    </row>
    <row r="11" spans="1:9">
      <c r="B11" s="4" t="s">
        <v>8</v>
      </c>
      <c r="C11" s="4" t="s">
        <v>9</v>
      </c>
      <c r="D11" s="4" t="s">
        <v>10</v>
      </c>
      <c r="E11" s="4" t="s">
        <v>467</v>
      </c>
      <c r="F11" s="4" t="s">
        <v>468</v>
      </c>
      <c r="G11" s="4" t="s">
        <v>193</v>
      </c>
      <c r="H11" s="4"/>
    </row>
    <row r="12" spans="1:9">
      <c r="A12" s="227" t="s">
        <v>469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206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50" t="s">
        <v>470</v>
      </c>
      <c r="C15" s="258"/>
      <c r="D15" s="258"/>
      <c r="E15" s="258"/>
      <c r="F15" s="258"/>
      <c r="H15" s="1" t="s">
        <v>471</v>
      </c>
      <c r="I15" s="1" t="s">
        <v>263</v>
      </c>
    </row>
    <row r="16" spans="1:9">
      <c r="A16" s="227" t="s">
        <v>469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64" customWidth="1"/>
    <col min="2" max="2" width="32.42578125" style="64" bestFit="1" customWidth="1"/>
    <col min="3" max="6" width="9.140625" style="64" customWidth="1"/>
    <col min="7" max="7" width="32.42578125" style="64" bestFit="1" customWidth="1"/>
    <col min="8" max="8" width="9.140625" style="64" customWidth="1"/>
    <col min="9" max="9" width="9.5703125" style="64" bestFit="1" customWidth="1"/>
    <col min="10" max="10" width="9.140625" style="64" customWidth="1"/>
    <col min="11" max="11" width="32.42578125" style="64" bestFit="1" customWidth="1"/>
    <col min="12" max="12" width="9.140625" style="64" customWidth="1"/>
    <col min="13" max="13" width="9.5703125" style="64" bestFit="1" customWidth="1"/>
    <col min="14" max="19" width="9.140625" style="64" customWidth="1"/>
    <col min="20" max="16384" width="9.140625" style="64"/>
  </cols>
  <sheetData>
    <row r="2" spans="2:13">
      <c r="B2" s="259" t="s">
        <v>265</v>
      </c>
      <c r="C2" s="260"/>
      <c r="D2" s="261"/>
      <c r="G2" s="259" t="s">
        <v>265</v>
      </c>
      <c r="H2" s="260"/>
      <c r="I2" s="261"/>
      <c r="K2" s="259" t="s">
        <v>265</v>
      </c>
      <c r="L2" s="260"/>
      <c r="M2" s="261"/>
    </row>
    <row r="3" spans="2:13">
      <c r="B3" s="262" t="s">
        <v>266</v>
      </c>
      <c r="C3" s="263"/>
      <c r="D3" s="264"/>
      <c r="G3" s="262" t="s">
        <v>267</v>
      </c>
      <c r="H3" s="263"/>
      <c r="I3" s="264"/>
      <c r="K3" s="262" t="s">
        <v>268</v>
      </c>
      <c r="L3" s="263"/>
      <c r="M3" s="264"/>
    </row>
    <row r="4" spans="2:13">
      <c r="B4" s="265">
        <v>45261</v>
      </c>
      <c r="C4" s="252"/>
      <c r="D4" s="266"/>
      <c r="G4" s="265">
        <v>45261</v>
      </c>
      <c r="H4" s="252"/>
      <c r="I4" s="266"/>
      <c r="K4" s="265">
        <v>45261</v>
      </c>
      <c r="L4" s="252"/>
      <c r="M4" s="266"/>
    </row>
    <row r="5" spans="2:13">
      <c r="B5" s="75" t="s">
        <v>269</v>
      </c>
      <c r="D5" s="76" t="s">
        <v>270</v>
      </c>
      <c r="G5" s="75"/>
      <c r="I5" s="76" t="s">
        <v>270</v>
      </c>
      <c r="K5" s="75"/>
      <c r="M5" s="76" t="s">
        <v>270</v>
      </c>
    </row>
    <row r="6" spans="2:13">
      <c r="B6" s="77" t="s">
        <v>271</v>
      </c>
      <c r="D6" s="76"/>
      <c r="G6" s="78" t="s">
        <v>272</v>
      </c>
      <c r="H6" s="79"/>
      <c r="I6" s="80">
        <v>442</v>
      </c>
      <c r="K6" s="77" t="s">
        <v>273</v>
      </c>
      <c r="M6" s="76"/>
    </row>
    <row r="7" spans="2:13">
      <c r="B7" s="77" t="s">
        <v>274</v>
      </c>
      <c r="D7" s="81">
        <v>20</v>
      </c>
      <c r="G7" s="77"/>
      <c r="I7" s="81"/>
      <c r="K7" s="77" t="s">
        <v>275</v>
      </c>
      <c r="M7" s="81">
        <f>I27</f>
        <v>23.270000000000024</v>
      </c>
    </row>
    <row r="8" spans="2:13">
      <c r="B8" s="77" t="s">
        <v>276</v>
      </c>
      <c r="D8" s="81">
        <v>5</v>
      </c>
      <c r="G8" s="78" t="s">
        <v>277</v>
      </c>
      <c r="H8" s="82"/>
      <c r="I8" s="83"/>
      <c r="K8" s="77" t="s">
        <v>278</v>
      </c>
      <c r="M8" s="81">
        <f>I16</f>
        <v>10</v>
      </c>
    </row>
    <row r="9" spans="2:13">
      <c r="B9" s="77" t="s">
        <v>279</v>
      </c>
      <c r="D9" s="81">
        <v>45</v>
      </c>
      <c r="G9" s="77" t="s">
        <v>280</v>
      </c>
      <c r="I9" s="84">
        <f>I6*0.7</f>
        <v>309.39999999999998</v>
      </c>
      <c r="K9" s="77" t="s">
        <v>281</v>
      </c>
      <c r="M9" s="81"/>
    </row>
    <row r="10" spans="2:13">
      <c r="B10" s="77" t="s">
        <v>282</v>
      </c>
      <c r="D10" s="85">
        <v>25</v>
      </c>
      <c r="G10" s="77" t="s">
        <v>283</v>
      </c>
      <c r="I10" s="81">
        <f>I6-I9</f>
        <v>132.60000000000002</v>
      </c>
      <c r="K10" s="77" t="s">
        <v>284</v>
      </c>
      <c r="M10" s="81"/>
    </row>
    <row r="11" spans="2:13">
      <c r="B11" s="77" t="s">
        <v>285</v>
      </c>
      <c r="D11" s="81">
        <f>SUM(D7:D10)</f>
        <v>95</v>
      </c>
      <c r="G11" s="75"/>
      <c r="I11" s="86"/>
      <c r="K11" s="77" t="s">
        <v>286</v>
      </c>
      <c r="M11" s="81">
        <v>-5</v>
      </c>
    </row>
    <row r="12" spans="2:13">
      <c r="B12" s="77" t="s">
        <v>287</v>
      </c>
      <c r="D12" s="81">
        <v>155</v>
      </c>
      <c r="G12" s="77" t="s">
        <v>288</v>
      </c>
      <c r="I12" s="81"/>
      <c r="K12" s="77" t="s">
        <v>289</v>
      </c>
      <c r="M12" s="81">
        <v>6</v>
      </c>
    </row>
    <row r="13" spans="2:13">
      <c r="B13" s="77" t="s">
        <v>290</v>
      </c>
      <c r="D13" s="85">
        <v>100</v>
      </c>
      <c r="G13" s="77" t="s">
        <v>291</v>
      </c>
      <c r="I13" s="81">
        <v>84</v>
      </c>
      <c r="K13" s="77" t="s">
        <v>292</v>
      </c>
      <c r="M13" s="81"/>
    </row>
    <row r="14" spans="2:13">
      <c r="B14" s="77" t="s">
        <v>293</v>
      </c>
      <c r="D14" s="81">
        <f>D12-D13</f>
        <v>55</v>
      </c>
      <c r="G14" s="75" t="s">
        <v>294</v>
      </c>
      <c r="H14" s="65"/>
      <c r="I14" s="81">
        <v>0.1</v>
      </c>
      <c r="K14" s="77" t="s">
        <v>295</v>
      </c>
      <c r="M14" s="81">
        <v>3</v>
      </c>
    </row>
    <row r="15" spans="2:13">
      <c r="B15" s="77" t="s">
        <v>296</v>
      </c>
      <c r="D15" s="81">
        <v>5</v>
      </c>
      <c r="G15" s="77" t="s">
        <v>297</v>
      </c>
      <c r="H15" s="65"/>
      <c r="I15" s="81">
        <v>0.6</v>
      </c>
      <c r="K15" s="77" t="s">
        <v>298</v>
      </c>
      <c r="M15" s="81">
        <v>1</v>
      </c>
    </row>
    <row r="16" spans="2:13">
      <c r="B16" s="78" t="s">
        <v>299</v>
      </c>
      <c r="C16" s="82"/>
      <c r="D16" s="83">
        <f>D14+D11+D15</f>
        <v>155</v>
      </c>
      <c r="G16" s="77" t="s">
        <v>300</v>
      </c>
      <c r="H16" s="65"/>
      <c r="I16" s="81">
        <v>10</v>
      </c>
      <c r="K16" s="77" t="s">
        <v>301</v>
      </c>
      <c r="M16" s="81">
        <v>-1</v>
      </c>
    </row>
    <row r="17" spans="2:13">
      <c r="B17" s="75" t="s">
        <v>302</v>
      </c>
      <c r="D17" s="76" t="s">
        <v>270</v>
      </c>
      <c r="G17" s="77" t="s">
        <v>303</v>
      </c>
      <c r="I17" s="87">
        <f>SUM(I13:I16)</f>
        <v>94.699999999999989</v>
      </c>
      <c r="K17" s="88" t="s">
        <v>304</v>
      </c>
      <c r="L17" s="89"/>
      <c r="M17" s="85">
        <f>SUM(M11:M16)</f>
        <v>4</v>
      </c>
    </row>
    <row r="18" spans="2:13">
      <c r="B18" s="77" t="s">
        <v>305</v>
      </c>
      <c r="D18" s="81"/>
      <c r="G18" s="77" t="s">
        <v>306</v>
      </c>
      <c r="I18" s="76">
        <f>I10-I17</f>
        <v>37.900000000000034</v>
      </c>
      <c r="K18" s="90" t="s">
        <v>307</v>
      </c>
      <c r="L18" s="91"/>
      <c r="M18" s="92">
        <f>M17+M8+M7</f>
        <v>37.270000000000024</v>
      </c>
    </row>
    <row r="19" spans="2:13">
      <c r="B19" s="77" t="s">
        <v>308</v>
      </c>
      <c r="D19" s="81">
        <v>40</v>
      </c>
      <c r="G19" s="77"/>
      <c r="I19" s="81"/>
      <c r="K19" s="93" t="s">
        <v>309</v>
      </c>
      <c r="L19" s="94"/>
      <c r="M19" s="95"/>
    </row>
    <row r="20" spans="2:13">
      <c r="B20" s="77" t="s">
        <v>310</v>
      </c>
      <c r="D20" s="81">
        <v>15</v>
      </c>
      <c r="G20" s="77" t="s">
        <v>311</v>
      </c>
      <c r="I20" s="81"/>
      <c r="K20" s="77" t="s">
        <v>312</v>
      </c>
      <c r="M20" s="81"/>
    </row>
    <row r="21" spans="2:13">
      <c r="B21" s="77" t="s">
        <v>313</v>
      </c>
      <c r="D21" s="85">
        <v>5</v>
      </c>
      <c r="G21" s="77" t="s">
        <v>314</v>
      </c>
      <c r="I21" s="96">
        <f>0.05*5</f>
        <v>0.25</v>
      </c>
      <c r="K21" s="77" t="s">
        <v>315</v>
      </c>
      <c r="M21" s="81">
        <v>-5</v>
      </c>
    </row>
    <row r="22" spans="2:13">
      <c r="B22" s="77" t="s">
        <v>316</v>
      </c>
      <c r="C22" s="65"/>
      <c r="D22" s="81">
        <f>SUM(D19:D21)</f>
        <v>60</v>
      </c>
      <c r="G22" s="77" t="s">
        <v>317</v>
      </c>
      <c r="I22" s="97">
        <f>0.08*D23</f>
        <v>2.4</v>
      </c>
      <c r="K22" s="77" t="s">
        <v>318</v>
      </c>
      <c r="M22" s="87">
        <v>10</v>
      </c>
    </row>
    <row r="23" spans="2:13">
      <c r="B23" s="77" t="s">
        <v>319</v>
      </c>
      <c r="C23" s="65"/>
      <c r="D23" s="85">
        <v>30</v>
      </c>
      <c r="G23" s="77" t="s">
        <v>320</v>
      </c>
      <c r="I23" s="98">
        <v>-2.1</v>
      </c>
      <c r="K23" s="77" t="s">
        <v>321</v>
      </c>
      <c r="M23" s="81">
        <f>SUM(M21:M22)</f>
        <v>5</v>
      </c>
    </row>
    <row r="24" spans="2:13">
      <c r="B24" s="77" t="s">
        <v>322</v>
      </c>
      <c r="D24" s="81">
        <f>SUM(D22:D23)</f>
        <v>90</v>
      </c>
      <c r="G24" s="77"/>
      <c r="H24" s="65"/>
      <c r="I24" s="81"/>
      <c r="K24" s="77" t="s">
        <v>323</v>
      </c>
      <c r="M24" s="81"/>
    </row>
    <row r="25" spans="2:13">
      <c r="B25" s="88" t="s">
        <v>324</v>
      </c>
      <c r="C25" s="89"/>
      <c r="D25" s="85">
        <f>155-90</f>
        <v>65</v>
      </c>
      <c r="G25" s="77" t="s">
        <v>325</v>
      </c>
      <c r="I25" s="99">
        <f>I10-I17+I23</f>
        <v>35.800000000000033</v>
      </c>
      <c r="K25" s="77" t="s">
        <v>326</v>
      </c>
      <c r="M25" s="81">
        <v>-3</v>
      </c>
    </row>
    <row r="26" spans="2:13">
      <c r="B26" s="90" t="s">
        <v>327</v>
      </c>
      <c r="C26" s="100"/>
      <c r="D26" s="101">
        <f>SUM(D24:D25)</f>
        <v>155</v>
      </c>
      <c r="G26" s="77" t="s">
        <v>328</v>
      </c>
      <c r="H26" s="65"/>
      <c r="I26" s="81">
        <f>0.35*I25</f>
        <v>12.53000000000001</v>
      </c>
      <c r="K26" s="77" t="s">
        <v>329</v>
      </c>
      <c r="M26" s="87">
        <v>2</v>
      </c>
    </row>
    <row r="27" spans="2:13">
      <c r="G27" s="78" t="s">
        <v>330</v>
      </c>
      <c r="H27" s="82"/>
      <c r="I27" s="102">
        <f>I25-I26</f>
        <v>23.270000000000024</v>
      </c>
      <c r="K27" s="88" t="s">
        <v>331</v>
      </c>
      <c r="L27" s="89"/>
      <c r="M27" s="85">
        <f>SUM(M25:M26)</f>
        <v>-1</v>
      </c>
    </row>
    <row r="28" spans="2:13">
      <c r="K28" s="78" t="s">
        <v>332</v>
      </c>
      <c r="L28" s="82"/>
      <c r="M28" s="103">
        <f>M27+M23</f>
        <v>4</v>
      </c>
    </row>
    <row r="29" spans="2:13">
      <c r="K29" s="77" t="s">
        <v>333</v>
      </c>
      <c r="M29" s="104"/>
    </row>
    <row r="30" spans="2:13">
      <c r="K30" s="77" t="s">
        <v>334</v>
      </c>
      <c r="M30" s="81">
        <v>-5</v>
      </c>
    </row>
    <row r="31" spans="2:13">
      <c r="K31" s="77" t="s">
        <v>335</v>
      </c>
      <c r="M31" s="81">
        <v>2</v>
      </c>
    </row>
    <row r="32" spans="2:13">
      <c r="K32" s="77" t="s">
        <v>336</v>
      </c>
      <c r="M32" s="81">
        <v>1</v>
      </c>
    </row>
    <row r="33" spans="11:13">
      <c r="K33" s="88" t="s">
        <v>337</v>
      </c>
      <c r="L33" s="89"/>
      <c r="M33" s="85">
        <v>-2.4</v>
      </c>
    </row>
    <row r="34" spans="11:13">
      <c r="K34" s="90" t="s">
        <v>338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339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5703125" style="129" customWidth="1"/>
    <col min="2" max="2" width="12.42578125" style="129" customWidth="1"/>
    <col min="3" max="3" width="11.85546875" style="129" customWidth="1"/>
    <col min="4" max="4" width="14.5703125" style="129" customWidth="1"/>
    <col min="5" max="5" width="23" style="129" customWidth="1"/>
    <col min="6" max="6" width="18" style="129" customWidth="1"/>
    <col min="7" max="7" width="11" style="129" customWidth="1"/>
    <col min="8" max="8" width="13.5703125" style="129" customWidth="1"/>
    <col min="9" max="9" width="3.42578125" style="129" customWidth="1"/>
    <col min="10" max="10" width="12.5703125" style="129" customWidth="1"/>
    <col min="11" max="11" width="12.140625" style="129" customWidth="1"/>
    <col min="12" max="12" width="12" style="129" customWidth="1"/>
    <col min="13" max="13" width="15.85546875" style="129" customWidth="1"/>
    <col min="14" max="14" width="2" style="129" customWidth="1"/>
    <col min="15" max="15" width="10.42578125" style="129" customWidth="1"/>
    <col min="16" max="16" width="9.5703125" style="129" customWidth="1"/>
    <col min="17" max="17" width="12.140625" style="129" customWidth="1"/>
    <col min="18" max="18" width="10.5703125" style="129" bestFit="1" customWidth="1"/>
    <col min="19" max="24" width="9.140625" style="129" customWidth="1"/>
    <col min="25" max="16384" width="9.140625" style="129"/>
  </cols>
  <sheetData>
    <row r="1" spans="2:22" ht="20.25" customHeight="1">
      <c r="B1" s="115" t="s">
        <v>340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267" t="s">
        <v>341</v>
      </c>
      <c r="D4" s="268"/>
      <c r="E4" s="268"/>
      <c r="F4" s="268"/>
      <c r="G4" s="268"/>
      <c r="H4" s="268"/>
      <c r="I4" s="128"/>
      <c r="J4" s="267" t="s">
        <v>342</v>
      </c>
      <c r="K4" s="268"/>
      <c r="L4" s="268"/>
      <c r="M4" s="115"/>
      <c r="N4" s="130"/>
      <c r="O4" s="130"/>
      <c r="P4" s="130"/>
    </row>
    <row r="5" spans="2:22" ht="20.25" customHeight="1">
      <c r="B5" s="115" t="s">
        <v>343</v>
      </c>
      <c r="C5" s="117" t="s">
        <v>344</v>
      </c>
      <c r="D5" s="117" t="s">
        <v>345</v>
      </c>
      <c r="E5" s="117" t="s">
        <v>346</v>
      </c>
      <c r="F5" s="117" t="s">
        <v>347</v>
      </c>
      <c r="G5" s="117" t="s">
        <v>348</v>
      </c>
      <c r="H5" s="117" t="s">
        <v>345</v>
      </c>
      <c r="I5" s="117"/>
      <c r="J5" s="117" t="s">
        <v>349</v>
      </c>
      <c r="K5" s="115" t="s">
        <v>350</v>
      </c>
      <c r="L5" s="117" t="s">
        <v>351</v>
      </c>
      <c r="M5" s="117" t="s">
        <v>352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353</v>
      </c>
      <c r="D12" s="117" t="s">
        <v>354</v>
      </c>
      <c r="E12" s="117" t="s">
        <v>355</v>
      </c>
      <c r="F12" s="117"/>
      <c r="I12" s="116"/>
      <c r="J12" s="118"/>
      <c r="K12" s="117" t="s">
        <v>356</v>
      </c>
      <c r="L12" s="116"/>
      <c r="M12" s="116"/>
      <c r="U12" s="130"/>
      <c r="V12" s="130"/>
    </row>
    <row r="13" spans="2:22" ht="20.25" customHeight="1">
      <c r="B13" s="115" t="s">
        <v>19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348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357</v>
      </c>
      <c r="D14" s="157" t="s">
        <v>351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358</v>
      </c>
      <c r="C15" s="120">
        <v>0.1</v>
      </c>
      <c r="D15" s="120">
        <v>0.14000000000000001</v>
      </c>
      <c r="E15" s="116"/>
      <c r="F15" s="116"/>
      <c r="I15" s="116"/>
      <c r="J15" s="135" t="s">
        <v>344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359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1" width="9.5703125" style="64" bestFit="1" customWidth="1"/>
    <col min="12" max="12" width="8.85546875" style="64" customWidth="1"/>
    <col min="13" max="13" width="9.570312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69" t="s">
        <v>360</v>
      </c>
      <c r="B1" s="263"/>
      <c r="C1" s="263"/>
      <c r="D1" s="263"/>
      <c r="E1" s="263"/>
      <c r="F1" s="108"/>
      <c r="G1" s="108"/>
      <c r="H1" s="108"/>
      <c r="J1" s="270"/>
      <c r="K1" s="263"/>
      <c r="L1" s="263"/>
      <c r="M1" s="263"/>
      <c r="N1" s="263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275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361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277</v>
      </c>
      <c r="B7" s="65"/>
      <c r="C7" s="65"/>
      <c r="D7" s="65"/>
      <c r="E7" s="65"/>
      <c r="F7" s="65"/>
      <c r="J7" s="64" t="s">
        <v>364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280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283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366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367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369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303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344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306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370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371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253</v>
      </c>
    </row>
    <row r="16" spans="1:17">
      <c r="A16" s="64" t="s">
        <v>317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330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364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344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30">
      <c r="A19" s="64" t="s">
        <v>325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9" t="s">
        <v>372</v>
      </c>
    </row>
    <row r="20" spans="1:19">
      <c r="A20" s="64" t="s">
        <v>328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70" t="s">
        <v>330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359</v>
      </c>
      <c r="K21" s="64">
        <v>0.18</v>
      </c>
    </row>
    <row r="22" spans="1:19">
      <c r="G22" s="73"/>
      <c r="J22" s="64" t="s">
        <v>374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349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375</v>
      </c>
      <c r="K24" s="64">
        <f>30-20</f>
        <v>10</v>
      </c>
      <c r="N24" s="70"/>
    </row>
    <row r="25" spans="1:19">
      <c r="H25" s="110"/>
      <c r="J25" s="64" t="s">
        <v>376</v>
      </c>
      <c r="K25" s="66">
        <f>K23-K24</f>
        <v>607.50035360888171</v>
      </c>
    </row>
    <row r="26" spans="1:19">
      <c r="J26" s="64" t="s">
        <v>377</v>
      </c>
      <c r="K26" s="64">
        <v>50</v>
      </c>
      <c r="N26" s="70"/>
    </row>
    <row r="27" spans="1:19">
      <c r="J27" s="64" t="s">
        <v>378</v>
      </c>
      <c r="K27" s="71">
        <f>K25/K26</f>
        <v>12.150007072177635</v>
      </c>
    </row>
    <row r="28" spans="1:19">
      <c r="J28" s="64" t="s">
        <v>379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3" width="9.570312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69" t="s">
        <v>360</v>
      </c>
      <c r="B1" s="263"/>
      <c r="C1" s="263"/>
      <c r="D1" s="263"/>
      <c r="E1" s="263"/>
      <c r="F1" s="108"/>
      <c r="G1" s="108"/>
      <c r="H1" s="108"/>
      <c r="J1" s="270"/>
      <c r="K1" s="263"/>
      <c r="L1" s="263"/>
      <c r="M1" s="263"/>
      <c r="N1" s="263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275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380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381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382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364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277</v>
      </c>
      <c r="B9" s="113"/>
      <c r="C9" s="65"/>
      <c r="D9" s="65"/>
      <c r="E9" s="65"/>
      <c r="F9" s="65"/>
      <c r="J9" s="64" t="s">
        <v>366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280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283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369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367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344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253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303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370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306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371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253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330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317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364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372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64" t="s">
        <v>325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359</v>
      </c>
      <c r="K21" s="64">
        <v>0.18</v>
      </c>
    </row>
    <row r="22" spans="1:19">
      <c r="A22" s="64" t="s">
        <v>328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374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330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383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375</v>
      </c>
      <c r="K24" s="64">
        <f>30-20</f>
        <v>10</v>
      </c>
      <c r="N24" s="70"/>
    </row>
    <row r="25" spans="1:19">
      <c r="H25" s="73"/>
      <c r="J25" s="64" t="s">
        <v>376</v>
      </c>
      <c r="K25" s="66">
        <f>K23-K24</f>
        <v>670.33731375149682</v>
      </c>
    </row>
    <row r="26" spans="1:19">
      <c r="G26" s="110"/>
      <c r="J26" s="64" t="s">
        <v>377</v>
      </c>
      <c r="K26" s="64">
        <v>50</v>
      </c>
      <c r="N26" s="70"/>
    </row>
    <row r="27" spans="1:19">
      <c r="H27" s="110"/>
      <c r="J27" s="64" t="s">
        <v>378</v>
      </c>
      <c r="K27" s="71">
        <f>K25/K26</f>
        <v>13.406746275029937</v>
      </c>
    </row>
    <row r="28" spans="1:19">
      <c r="J28" s="64" t="s">
        <v>379</v>
      </c>
      <c r="K28" s="64">
        <v>12.15</v>
      </c>
    </row>
    <row r="29" spans="1:19">
      <c r="J29" s="112" t="s">
        <v>100</v>
      </c>
      <c r="K29" s="114">
        <f>K27/K28-1</f>
        <v>0.10343590740987141</v>
      </c>
      <c r="L29" s="64" t="s">
        <v>598</v>
      </c>
    </row>
    <row r="31" spans="1:19">
      <c r="J31" s="68" t="s">
        <v>599</v>
      </c>
      <c r="K31" s="64">
        <v>0.19</v>
      </c>
    </row>
    <row r="32" spans="1:19">
      <c r="J32" s="64" t="s">
        <v>601</v>
      </c>
      <c r="R32" s="71"/>
      <c r="S32" s="71"/>
    </row>
    <row r="33" spans="10:18">
      <c r="J33" s="64" t="s">
        <v>600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602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40625" defaultRowHeight="15"/>
  <cols>
    <col min="1" max="1" width="8.5703125" style="64" customWidth="1"/>
    <col min="2" max="2" width="9.140625" style="142" customWidth="1"/>
    <col min="3" max="3" width="22.42578125" style="65" customWidth="1"/>
    <col min="4" max="4" width="32.42578125" style="64" customWidth="1"/>
    <col min="5" max="5" width="10.85546875" style="64" customWidth="1"/>
    <col min="6" max="6" width="9.5703125" style="64" bestFit="1" customWidth="1"/>
    <col min="7" max="9" width="9.140625" style="64" customWidth="1"/>
    <col min="10" max="10" width="10.140625" style="64" bestFit="1" customWidth="1"/>
    <col min="11" max="16" width="9.140625" style="64" customWidth="1"/>
    <col min="17" max="16384" width="9.140625" style="64"/>
  </cols>
  <sheetData>
    <row r="1" spans="2:6">
      <c r="B1" s="143"/>
      <c r="C1" s="138"/>
      <c r="D1" s="89"/>
      <c r="E1" s="89"/>
      <c r="F1" s="89"/>
    </row>
    <row r="2" spans="2:6">
      <c r="E2" s="271" t="s">
        <v>384</v>
      </c>
      <c r="F2" s="263"/>
    </row>
    <row r="3" spans="2:6">
      <c r="B3" s="143" t="s">
        <v>385</v>
      </c>
      <c r="C3" s="138"/>
      <c r="D3" s="89"/>
      <c r="E3" s="139" t="s">
        <v>8</v>
      </c>
      <c r="F3" s="139" t="s">
        <v>9</v>
      </c>
    </row>
    <row r="4" spans="2:6">
      <c r="C4" s="272"/>
      <c r="D4" s="260"/>
      <c r="E4" s="260"/>
      <c r="F4" s="260"/>
    </row>
    <row r="5" spans="2:6">
      <c r="B5" s="144">
        <v>1</v>
      </c>
      <c r="C5" s="65" t="s">
        <v>386</v>
      </c>
      <c r="D5" s="64" t="s">
        <v>269</v>
      </c>
      <c r="E5" s="64">
        <v>200</v>
      </c>
      <c r="F5" s="64">
        <v>200</v>
      </c>
    </row>
    <row r="6" spans="2:6">
      <c r="B6" s="144">
        <f>B5+1</f>
        <v>2</v>
      </c>
      <c r="C6" s="65" t="s">
        <v>266</v>
      </c>
      <c r="D6" s="64" t="s">
        <v>387</v>
      </c>
      <c r="E6" s="64">
        <v>20</v>
      </c>
      <c r="F6" s="64">
        <v>20</v>
      </c>
    </row>
    <row r="7" spans="2:6">
      <c r="B7" s="144">
        <f>B6+1</f>
        <v>3</v>
      </c>
      <c r="D7" s="140" t="s">
        <v>350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388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389</v>
      </c>
      <c r="D10" s="64" t="s">
        <v>390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391</v>
      </c>
      <c r="D11" s="64" t="s">
        <v>392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306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366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368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393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330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394</v>
      </c>
      <c r="D18" s="64" t="s">
        <v>330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395</v>
      </c>
      <c r="D19" s="64" t="s">
        <v>396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521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397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522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398</v>
      </c>
      <c r="D24" s="64" t="s">
        <v>344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399</v>
      </c>
      <c r="D25" s="64" t="s">
        <v>400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401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348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402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403</v>
      </c>
      <c r="D30" s="64" t="s">
        <v>404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405</v>
      </c>
      <c r="D31" s="64" t="s">
        <v>406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407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408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409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410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411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412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373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413</v>
      </c>
      <c r="D40" s="64" t="s">
        <v>414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415</v>
      </c>
      <c r="D41" s="64" t="s">
        <v>416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417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418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5703125" bestFit="1" customWidth="1"/>
    <col min="9" max="9" width="13.42578125" bestFit="1" customWidth="1"/>
    <col min="11" max="11" width="27" bestFit="1" customWidth="1"/>
    <col min="12" max="12" width="12" bestFit="1" customWidth="1"/>
    <col min="13" max="15" width="11.5703125" bestFit="1" customWidth="1"/>
    <col min="18" max="18" width="12.5703125" bestFit="1" customWidth="1"/>
    <col min="19" max="19" width="14.5703125" bestFit="1" customWidth="1"/>
    <col min="22" max="23" width="12.5703125" bestFit="1" customWidth="1"/>
  </cols>
  <sheetData>
    <row r="1" spans="1:15">
      <c r="A1" t="s">
        <v>98</v>
      </c>
    </row>
    <row r="2" spans="1:15">
      <c r="A2">
        <v>5.0000000000000001E-3</v>
      </c>
      <c r="C2" t="s">
        <v>262</v>
      </c>
      <c r="E2" s="247" t="s">
        <v>94</v>
      </c>
      <c r="F2" s="248"/>
      <c r="G2" s="248"/>
      <c r="H2" s="248"/>
      <c r="I2" s="248"/>
    </row>
    <row r="3" spans="1:15">
      <c r="A3" t="s">
        <v>244</v>
      </c>
      <c r="B3" t="s">
        <v>419</v>
      </c>
      <c r="C3" t="s">
        <v>420</v>
      </c>
      <c r="E3" t="s">
        <v>419</v>
      </c>
      <c r="F3" t="s">
        <v>420</v>
      </c>
      <c r="G3" t="s">
        <v>420</v>
      </c>
      <c r="H3" t="s">
        <v>420</v>
      </c>
      <c r="I3" t="s">
        <v>420</v>
      </c>
    </row>
    <row r="4" spans="1:15">
      <c r="F4" t="s">
        <v>421</v>
      </c>
      <c r="G4" t="s">
        <v>422</v>
      </c>
      <c r="H4" t="s">
        <v>423</v>
      </c>
      <c r="I4" t="s">
        <v>424</v>
      </c>
      <c r="L4" t="s">
        <v>224</v>
      </c>
    </row>
    <row r="5" spans="1:15">
      <c r="A5" t="s">
        <v>425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426</v>
      </c>
      <c r="M5" t="s">
        <v>427</v>
      </c>
      <c r="N5" t="s">
        <v>428</v>
      </c>
      <c r="O5" t="s">
        <v>429</v>
      </c>
    </row>
    <row r="6" spans="1:15">
      <c r="A6" t="s">
        <v>430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431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432</v>
      </c>
      <c r="L7">
        <v>1</v>
      </c>
      <c r="M7">
        <v>1.2</v>
      </c>
      <c r="N7">
        <v>1.6</v>
      </c>
      <c r="O7">
        <v>2</v>
      </c>
    </row>
    <row r="8" spans="1:15">
      <c r="A8" t="s">
        <v>433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434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435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436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437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438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439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440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441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442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443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444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445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446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447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448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449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450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451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452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453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454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455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456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457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458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459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460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461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462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463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464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465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466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247" t="s">
        <v>191</v>
      </c>
      <c r="C1" s="248"/>
      <c r="D1" s="248"/>
      <c r="E1" s="248"/>
      <c r="F1" s="248"/>
    </row>
    <row r="2" spans="1:9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473</v>
      </c>
      <c r="G9" t="s">
        <v>474</v>
      </c>
      <c r="H9" t="s">
        <v>475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42578125" customWidth="1"/>
  </cols>
  <sheetData>
    <row r="1" spans="1:10">
      <c r="B1" s="247" t="s">
        <v>191</v>
      </c>
      <c r="C1" s="248"/>
      <c r="D1" s="248"/>
      <c r="E1" s="248"/>
      <c r="F1" s="248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473</v>
      </c>
      <c r="G13" t="s">
        <v>474</v>
      </c>
      <c r="H13" t="s">
        <v>475</v>
      </c>
      <c r="I13" t="s">
        <v>476</v>
      </c>
      <c r="J13" t="s">
        <v>477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42578125" customWidth="1"/>
  </cols>
  <sheetData>
    <row r="1" spans="1:10">
      <c r="B1" s="247" t="s">
        <v>191</v>
      </c>
      <c r="C1" s="248"/>
      <c r="D1" s="248"/>
      <c r="E1" s="248"/>
      <c r="F1" s="248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473</v>
      </c>
      <c r="B13" t="s">
        <v>8</v>
      </c>
      <c r="C13" t="s">
        <v>10</v>
      </c>
      <c r="D13" t="s">
        <v>467</v>
      </c>
      <c r="E13" t="s">
        <v>468</v>
      </c>
      <c r="F13" t="s">
        <v>174</v>
      </c>
      <c r="G13" t="s">
        <v>474</v>
      </c>
      <c r="H13" t="s">
        <v>475</v>
      </c>
      <c r="I13" t="s">
        <v>476</v>
      </c>
      <c r="J13" t="s">
        <v>477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478</v>
      </c>
      <c r="B16" t="s">
        <v>8</v>
      </c>
      <c r="C16" t="s">
        <v>10</v>
      </c>
      <c r="D16" t="s">
        <v>467</v>
      </c>
      <c r="E16" t="s">
        <v>468</v>
      </c>
      <c r="F16" t="s">
        <v>174</v>
      </c>
    </row>
    <row r="17" spans="1:6">
      <c r="A17" t="s">
        <v>206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479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570312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250" t="s">
        <v>226</v>
      </c>
      <c r="C1" s="248"/>
      <c r="D1" s="248"/>
    </row>
    <row r="2" spans="1:12">
      <c r="B2" s="1" t="s">
        <v>227</v>
      </c>
      <c r="C2" s="1" t="s">
        <v>228</v>
      </c>
      <c r="D2" s="1" t="s">
        <v>229</v>
      </c>
      <c r="E2" s="1" t="s">
        <v>480</v>
      </c>
      <c r="F2" s="1" t="s">
        <v>481</v>
      </c>
      <c r="G2" s="1" t="s">
        <v>482</v>
      </c>
      <c r="H2" s="1" t="s">
        <v>483</v>
      </c>
      <c r="I2" s="1" t="s">
        <v>484</v>
      </c>
      <c r="J2" s="1" t="s">
        <v>485</v>
      </c>
      <c r="K2" s="1" t="s">
        <v>486</v>
      </c>
      <c r="L2" s="1" t="s">
        <v>193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50" t="s">
        <v>191</v>
      </c>
      <c r="C5" s="248"/>
      <c r="D5" s="248"/>
    </row>
    <row r="7" spans="1:12">
      <c r="B7" s="1" t="s">
        <v>227</v>
      </c>
      <c r="C7" s="1" t="s">
        <v>228</v>
      </c>
      <c r="D7" s="1" t="s">
        <v>229</v>
      </c>
      <c r="E7" s="1" t="s">
        <v>480</v>
      </c>
      <c r="F7" s="1" t="s">
        <v>481</v>
      </c>
      <c r="G7" s="1" t="s">
        <v>482</v>
      </c>
      <c r="H7" s="1" t="s">
        <v>483</v>
      </c>
      <c r="I7" s="1" t="s">
        <v>484</v>
      </c>
      <c r="J7" s="1" t="s">
        <v>485</v>
      </c>
      <c r="K7" s="1" t="s">
        <v>486</v>
      </c>
    </row>
    <row r="8" spans="1:12">
      <c r="A8" s="1" t="s">
        <v>227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228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229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480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481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482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483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484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485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486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50" t="s">
        <v>232</v>
      </c>
      <c r="C19" s="248"/>
      <c r="D19" s="248"/>
    </row>
    <row r="20" spans="1:12">
      <c r="B20" s="1" t="s">
        <v>227</v>
      </c>
      <c r="C20" s="1" t="s">
        <v>228</v>
      </c>
      <c r="D20" s="1" t="s">
        <v>229</v>
      </c>
      <c r="E20" s="1" t="s">
        <v>480</v>
      </c>
      <c r="F20" s="1" t="s">
        <v>481</v>
      </c>
      <c r="G20" s="1" t="s">
        <v>482</v>
      </c>
      <c r="H20" s="1" t="s">
        <v>483</v>
      </c>
      <c r="I20" s="1" t="s">
        <v>484</v>
      </c>
      <c r="J20" s="1" t="s">
        <v>485</v>
      </c>
      <c r="K20" s="1" t="s">
        <v>486</v>
      </c>
    </row>
    <row r="21" spans="1:12">
      <c r="A21" s="1" t="s">
        <v>487</v>
      </c>
      <c r="B21" s="162">
        <v>0.12</v>
      </c>
      <c r="C21" s="162">
        <v>0.08</v>
      </c>
      <c r="D21" s="162">
        <v>0.16</v>
      </c>
      <c r="E21" s="162">
        <v>7.0000000000000007E-2</v>
      </c>
      <c r="F21" s="162">
        <v>0.08</v>
      </c>
      <c r="G21" s="162">
        <v>0.11</v>
      </c>
      <c r="H21" s="162">
        <v>0.09</v>
      </c>
      <c r="I21" s="162">
        <v>0.08</v>
      </c>
      <c r="J21" s="162">
        <v>0.11</v>
      </c>
      <c r="K21" s="162">
        <f>1-SUM(B21:J21)</f>
        <v>0.10000000000000009</v>
      </c>
    </row>
    <row r="22" spans="1:12">
      <c r="A22" s="1" t="s">
        <v>488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489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206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490</v>
      </c>
      <c r="C26" s="1" t="s">
        <v>225</v>
      </c>
      <c r="D26" s="1" t="s">
        <v>37</v>
      </c>
      <c r="E26" s="1" t="s">
        <v>100</v>
      </c>
      <c r="F26" s="1"/>
      <c r="G26" s="1"/>
      <c r="H26" s="1"/>
      <c r="I26" s="1"/>
      <c r="J26" s="1"/>
    </row>
    <row r="27" spans="1:12">
      <c r="A27" s="1" t="s">
        <v>227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228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229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480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481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482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483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484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485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486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491</v>
      </c>
      <c r="C38" t="s">
        <v>225</v>
      </c>
      <c r="D38" t="s">
        <v>37</v>
      </c>
      <c r="E38" t="s">
        <v>100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206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492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493</v>
      </c>
      <c r="B43">
        <f>SQRT(B40)</f>
        <v>5.0000999960443923E-2</v>
      </c>
    </row>
    <row r="44" spans="1:19">
      <c r="A44" s="1" t="s">
        <v>100</v>
      </c>
      <c r="B44">
        <f>E40</f>
        <v>3.1611561870672031E-2</v>
      </c>
    </row>
    <row r="45" spans="1:19">
      <c r="A45" s="1" t="s">
        <v>494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5703125" bestFit="1" customWidth="1"/>
    <col min="8" max="8" width="15.85546875" bestFit="1" customWidth="1"/>
  </cols>
  <sheetData>
    <row r="1" spans="1:12">
      <c r="B1" s="250" t="s">
        <v>226</v>
      </c>
      <c r="C1" s="248"/>
      <c r="D1" s="248"/>
    </row>
    <row r="2" spans="1:12">
      <c r="B2" s="1" t="s">
        <v>227</v>
      </c>
      <c r="C2" s="1" t="s">
        <v>228</v>
      </c>
      <c r="D2" s="1" t="s">
        <v>495</v>
      </c>
      <c r="E2" s="1" t="s">
        <v>98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50" t="s">
        <v>191</v>
      </c>
      <c r="C5" s="248"/>
      <c r="D5" s="248"/>
    </row>
    <row r="7" spans="1:12">
      <c r="B7" s="1" t="s">
        <v>227</v>
      </c>
      <c r="C7" s="1" t="s">
        <v>228</v>
      </c>
      <c r="D7" s="1" t="s">
        <v>495</v>
      </c>
    </row>
    <row r="8" spans="1:12">
      <c r="A8" s="1" t="s">
        <v>227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228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495</v>
      </c>
      <c r="B10">
        <v>7.8192000000000018E-3</v>
      </c>
      <c r="C10">
        <v>1.371E-2</v>
      </c>
      <c r="D10">
        <v>1.6866720000000002E-2</v>
      </c>
    </row>
    <row r="13" spans="1:12">
      <c r="B13" s="247" t="s">
        <v>232</v>
      </c>
      <c r="C13" s="248"/>
      <c r="D13" s="248"/>
    </row>
    <row r="14" spans="1:12">
      <c r="B14" s="1" t="s">
        <v>227</v>
      </c>
      <c r="C14" s="1" t="s">
        <v>228</v>
      </c>
      <c r="D14" s="1" t="s">
        <v>495</v>
      </c>
      <c r="I14" s="1">
        <v>-0.25</v>
      </c>
      <c r="J14" s="1"/>
      <c r="K14" s="1"/>
      <c r="L14" s="1"/>
    </row>
    <row r="15" spans="1:12">
      <c r="A15" s="1" t="s">
        <v>230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487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496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497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498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499</v>
      </c>
      <c r="B21" t="s">
        <v>490</v>
      </c>
      <c r="C21" t="s">
        <v>225</v>
      </c>
      <c r="D21" t="s">
        <v>37</v>
      </c>
      <c r="E21" t="s">
        <v>100</v>
      </c>
      <c r="F21" t="s">
        <v>500</v>
      </c>
    </row>
    <row r="22" spans="1:9">
      <c r="A22" s="1" t="s">
        <v>227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228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206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493</v>
      </c>
      <c r="B28">
        <f>SQRT(SUMPRODUCT(MMULT(B17:D17,B8:D10),B17:D17))</f>
        <v>4.999997371290596E-2</v>
      </c>
    </row>
    <row r="29" spans="1:9">
      <c r="A29" s="1" t="s">
        <v>100</v>
      </c>
      <c r="B29">
        <f>SUMPRODUCT(B17:D17,B3:D3)</f>
        <v>6.7571003603079105E-3</v>
      </c>
    </row>
    <row r="30" spans="1:9">
      <c r="A30" s="1" t="s">
        <v>494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506</v>
      </c>
      <c r="C3">
        <v>30</v>
      </c>
    </row>
    <row r="4" spans="1:3">
      <c r="A4" s="47" t="s">
        <v>223</v>
      </c>
      <c r="B4" t="s">
        <v>507</v>
      </c>
      <c r="C4">
        <v>0.5</v>
      </c>
    </row>
    <row r="5" spans="1:3">
      <c r="A5" t="s">
        <v>85</v>
      </c>
      <c r="B5" t="s">
        <v>508</v>
      </c>
      <c r="C5">
        <v>40</v>
      </c>
    </row>
    <row r="6" spans="1:3">
      <c r="A6" t="s">
        <v>509</v>
      </c>
      <c r="B6" t="s">
        <v>510</v>
      </c>
      <c r="C6">
        <v>0.5</v>
      </c>
    </row>
    <row r="7" spans="1:3">
      <c r="A7" t="s">
        <v>193</v>
      </c>
      <c r="B7" t="s">
        <v>511</v>
      </c>
      <c r="C7">
        <v>0.01</v>
      </c>
    </row>
    <row r="8" spans="1:3">
      <c r="A8" t="s">
        <v>512</v>
      </c>
      <c r="B8" t="s">
        <v>513</v>
      </c>
      <c r="C8">
        <v>69.342915559511255</v>
      </c>
    </row>
    <row r="9" spans="1:3">
      <c r="A9" t="s">
        <v>514</v>
      </c>
      <c r="B9" t="s">
        <v>515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516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4-VW</vt:lpstr>
      <vt:lpstr>4-EW</vt:lpstr>
      <vt:lpstr>4-Direct_Indirect</vt:lpstr>
      <vt:lpstr>4-Zero_Cost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7-Beta_and_Var</vt:lpstr>
      <vt:lpstr>7-alpha beta 1</vt:lpstr>
      <vt:lpstr>7-alpha beta 2</vt:lpstr>
      <vt:lpstr>7-Google and Tech</vt:lpstr>
      <vt:lpstr>7-Google Tech and Oil</vt:lpstr>
      <vt:lpstr>9-Lakers</vt:lpstr>
      <vt:lpstr>9-alpha beta</vt:lpstr>
      <vt:lpstr>9-Lakers2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2025-08-18T22:16:22Z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